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C:\Users\Admin\Downloads\"/>
    </mc:Choice>
  </mc:AlternateContent>
  <xr:revisionPtr revIDLastSave="0" documentId="13_ncr:1_{4D62611B-2430-46CD-B03C-8991BD4F54DA}" xr6:coauthVersionLast="47" xr6:coauthVersionMax="47" xr10:uidLastSave="{00000000-0000-0000-0000-000000000000}"/>
  <bookViews>
    <workbookView xWindow="-120" yWindow="-120" windowWidth="20730" windowHeight="11160" activeTab="2" xr2:uid="{00000000-000D-0000-FFFF-FFFF00000000}"/>
  </bookViews>
  <sheets>
    <sheet name="DDM" sheetId="58790" r:id="rId1"/>
    <sheet name="FCF MODEL" sheetId="10" r:id="rId2"/>
    <sheet name="Price multiple &amp; Ratio Analysis" sheetId="58795" r:id="rId3"/>
    <sheet name="Stock Value" sheetId="58794" r:id="rId4"/>
    <sheet name="Income - Adjusted" sheetId="58791" r:id="rId5"/>
    <sheet name="Bal Sheet - Standardized" sheetId="58792" r:id="rId6"/>
    <sheet name="Cash flow - standardized" sheetId="58793" r:id="rId7"/>
  </sheets>
  <calcPr calcId="181029" iterate="1"/>
</workbook>
</file>

<file path=xl/calcChain.xml><?xml version="1.0" encoding="utf-8"?>
<calcChain xmlns="http://schemas.openxmlformats.org/spreadsheetml/2006/main">
  <c r="D17" i="58790" l="1"/>
  <c r="E17" i="58790"/>
  <c r="E18" i="58790" s="1"/>
  <c r="E141" i="58795"/>
  <c r="D16" i="58790"/>
  <c r="E16" i="58790" s="1"/>
  <c r="E15" i="58790"/>
  <c r="E14" i="58790"/>
  <c r="E13" i="58790"/>
  <c r="E12" i="58790"/>
  <c r="D22" i="58790"/>
  <c r="P6" i="58791"/>
  <c r="O6" i="58791"/>
  <c r="C133" i="58795"/>
  <c r="V71" i="58795"/>
  <c r="T71" i="58795"/>
  <c r="T70" i="58795"/>
  <c r="S71" i="58795"/>
  <c r="S70" i="58795"/>
  <c r="R71" i="58795"/>
  <c r="R70" i="58795"/>
  <c r="Q71" i="58795"/>
  <c r="Q70" i="58795"/>
  <c r="F40" i="58795"/>
  <c r="E40" i="58795"/>
  <c r="D40" i="58795"/>
  <c r="D41" i="58795"/>
  <c r="U42" i="58795"/>
  <c r="M68" i="58795"/>
  <c r="D68" i="58795"/>
  <c r="V60" i="58795"/>
  <c r="O63" i="58795"/>
  <c r="D60" i="58795"/>
  <c r="E60" i="58795"/>
  <c r="D16" i="58795"/>
  <c r="D12" i="58795"/>
  <c r="D8" i="58795"/>
  <c r="D64" i="58795"/>
  <c r="D66" i="58795"/>
  <c r="H132" i="58795"/>
  <c r="H131" i="58795"/>
  <c r="H130" i="58795"/>
  <c r="I132" i="58795"/>
  <c r="I131" i="58795"/>
  <c r="I130" i="58795"/>
  <c r="J130" i="58795"/>
  <c r="J131" i="58795"/>
  <c r="J132" i="58795"/>
  <c r="C40" i="58794" l="1"/>
  <c r="E28" i="58794"/>
  <c r="E30" i="58794" s="1"/>
  <c r="F28" i="58794"/>
  <c r="D28" i="58794"/>
  <c r="D30" i="58794" s="1"/>
  <c r="F30" i="58794"/>
  <c r="N112" i="58795"/>
  <c r="N108" i="58795"/>
  <c r="N104" i="58795"/>
  <c r="N100" i="58795"/>
  <c r="M112" i="58795"/>
  <c r="M108" i="58795"/>
  <c r="M104" i="58795"/>
  <c r="M100" i="58795"/>
  <c r="M84" i="58795"/>
  <c r="M90" i="58795"/>
  <c r="N76" i="58795"/>
  <c r="N80" i="58795"/>
  <c r="N84" i="58795"/>
  <c r="N88" i="58795"/>
  <c r="N92" i="58795"/>
  <c r="M92" i="58795"/>
  <c r="M88" i="58795"/>
  <c r="M80" i="58795"/>
  <c r="M76" i="58795"/>
  <c r="N60" i="58795"/>
  <c r="N64" i="58795"/>
  <c r="N68" i="58795"/>
  <c r="M64" i="58795"/>
  <c r="M60" i="58795"/>
  <c r="N52" i="58795"/>
  <c r="N48" i="58795"/>
  <c r="N44" i="58795"/>
  <c r="N40" i="58795"/>
  <c r="M52" i="58795"/>
  <c r="M48" i="58795"/>
  <c r="M44" i="58795"/>
  <c r="M40" i="58795"/>
  <c r="N28" i="58795"/>
  <c r="N24" i="58795"/>
  <c r="N20" i="58795"/>
  <c r="N16" i="58795"/>
  <c r="N12" i="58795"/>
  <c r="N8" i="58795"/>
  <c r="M28" i="58795"/>
  <c r="M24" i="58795"/>
  <c r="M20" i="58795"/>
  <c r="M16" i="58795"/>
  <c r="M12" i="58795"/>
  <c r="M8" i="58795"/>
  <c r="N90" i="58795"/>
  <c r="N62" i="58795"/>
  <c r="N50" i="58795"/>
  <c r="N46" i="58795"/>
  <c r="N45" i="58795"/>
  <c r="N21" i="58795"/>
  <c r="N17" i="58795"/>
  <c r="M62" i="58795"/>
  <c r="M50" i="58795"/>
  <c r="M46" i="58795"/>
  <c r="M45" i="58795"/>
  <c r="M21" i="58795"/>
  <c r="L8" i="58795"/>
  <c r="L100" i="58795"/>
  <c r="L108" i="58795"/>
  <c r="L112" i="58795"/>
  <c r="L104" i="58795"/>
  <c r="K100" i="58795"/>
  <c r="L90" i="58795"/>
  <c r="L88" i="58795" s="1"/>
  <c r="L92" i="58795"/>
  <c r="L84" i="58795"/>
  <c r="L80" i="58795"/>
  <c r="L76" i="58795"/>
  <c r="L68" i="58795"/>
  <c r="L64" i="58795"/>
  <c r="L62" i="58795"/>
  <c r="L60" i="58795" s="1"/>
  <c r="L52" i="58795"/>
  <c r="L50" i="58795"/>
  <c r="L48" i="58795" s="1"/>
  <c r="L46" i="58795"/>
  <c r="L45" i="58795"/>
  <c r="L40" i="58795"/>
  <c r="L32" i="58795"/>
  <c r="L28" i="58795"/>
  <c r="L24" i="58795"/>
  <c r="L21" i="58795"/>
  <c r="L20" i="58795" s="1"/>
  <c r="L17" i="58795"/>
  <c r="L16" i="58795" s="1"/>
  <c r="L12" i="58795"/>
  <c r="J45" i="58795"/>
  <c r="K49" i="58795"/>
  <c r="J25" i="58795"/>
  <c r="J24" i="58795" s="1"/>
  <c r="K25" i="58795"/>
  <c r="K24" i="58795" s="1"/>
  <c r="K41" i="58795"/>
  <c r="K40" i="58795" s="1"/>
  <c r="J41" i="58795"/>
  <c r="J40" i="58795" s="1"/>
  <c r="G50" i="58795"/>
  <c r="G48" i="58795" s="1"/>
  <c r="H50" i="58795"/>
  <c r="E50" i="58795"/>
  <c r="E48" i="58795" s="1"/>
  <c r="F50" i="58795"/>
  <c r="F48" i="58795" s="1"/>
  <c r="D50" i="58795"/>
  <c r="E49" i="58795"/>
  <c r="F49" i="58795"/>
  <c r="G49" i="58795"/>
  <c r="H49" i="58795"/>
  <c r="D49" i="58795"/>
  <c r="E45" i="58795"/>
  <c r="E44" i="58795" s="1"/>
  <c r="F45" i="58795"/>
  <c r="F44" i="58795" s="1"/>
  <c r="G45" i="58795"/>
  <c r="G44" i="58795" s="1"/>
  <c r="H45" i="58795"/>
  <c r="H44" i="58795" s="1"/>
  <c r="D45" i="58795"/>
  <c r="D44" i="58795" s="1"/>
  <c r="E41" i="58795"/>
  <c r="F41" i="58795"/>
  <c r="G41" i="58795"/>
  <c r="G40" i="58795" s="1"/>
  <c r="H41" i="58795"/>
  <c r="H40" i="58795" s="1"/>
  <c r="K29" i="58795"/>
  <c r="J29" i="58795"/>
  <c r="J28" i="58795" s="1"/>
  <c r="E29" i="58795"/>
  <c r="F29" i="58795"/>
  <c r="G29" i="58795"/>
  <c r="H29" i="58795"/>
  <c r="D29" i="58795"/>
  <c r="E25" i="58795"/>
  <c r="E24" i="58795" s="1"/>
  <c r="F25" i="58795"/>
  <c r="F24" i="58795" s="1"/>
  <c r="G25" i="58795"/>
  <c r="G24" i="58795" s="1"/>
  <c r="H25" i="58795"/>
  <c r="H24" i="58795" s="1"/>
  <c r="D25" i="58795"/>
  <c r="D24" i="58795" s="1"/>
  <c r="K108" i="58795"/>
  <c r="K112" i="58795"/>
  <c r="K104" i="58795"/>
  <c r="K89" i="58795"/>
  <c r="K88" i="58795" s="1"/>
  <c r="K85" i="58795"/>
  <c r="K84" i="58795" s="1"/>
  <c r="K90" i="58795"/>
  <c r="K92" i="58795"/>
  <c r="K80" i="58795"/>
  <c r="K68" i="58795"/>
  <c r="J68" i="58795"/>
  <c r="K64" i="58795"/>
  <c r="K62" i="58795"/>
  <c r="K60" i="58795" s="1"/>
  <c r="K52" i="58795"/>
  <c r="K50" i="58795"/>
  <c r="K46" i="58795"/>
  <c r="K45" i="58795"/>
  <c r="K44" i="58795" s="1"/>
  <c r="K20" i="58795"/>
  <c r="K12" i="58795"/>
  <c r="K8" i="58795"/>
  <c r="K33" i="58795"/>
  <c r="K21" i="58795"/>
  <c r="K17" i="58795"/>
  <c r="K16" i="58795" s="1"/>
  <c r="J88" i="58795"/>
  <c r="J84" i="58795"/>
  <c r="J104" i="58795"/>
  <c r="J108" i="58795"/>
  <c r="J112" i="58795"/>
  <c r="J100" i="58795"/>
  <c r="J92" i="58795"/>
  <c r="J80" i="58795"/>
  <c r="J76" i="58795"/>
  <c r="J90" i="58795"/>
  <c r="J62" i="58795"/>
  <c r="J50" i="58795"/>
  <c r="J48" i="58795" s="1"/>
  <c r="J46" i="58795"/>
  <c r="J17" i="58795"/>
  <c r="J16" i="58795" s="1"/>
  <c r="J33" i="58795"/>
  <c r="J32" i="58795" s="1"/>
  <c r="J20" i="58795"/>
  <c r="J12" i="58795"/>
  <c r="J8" i="58795"/>
  <c r="D48" i="58795" l="1"/>
  <c r="J44" i="58795"/>
  <c r="H48" i="58795"/>
  <c r="L44" i="58795"/>
  <c r="K48" i="58795"/>
  <c r="K132" i="58795" l="1"/>
  <c r="E105" i="58795"/>
  <c r="F105" i="58795"/>
  <c r="G105" i="58795"/>
  <c r="H105" i="58795"/>
  <c r="D105" i="58795"/>
  <c r="H106" i="58795"/>
  <c r="E106" i="58795"/>
  <c r="F106" i="58795"/>
  <c r="G106" i="58795"/>
  <c r="D106" i="58795"/>
  <c r="E102" i="58795"/>
  <c r="F102" i="58795"/>
  <c r="G102" i="58795"/>
  <c r="H102" i="58795"/>
  <c r="D102" i="58795"/>
  <c r="E101" i="58795"/>
  <c r="F101" i="58795"/>
  <c r="G101" i="58795"/>
  <c r="G100" i="58795" s="1"/>
  <c r="H101" i="58795"/>
  <c r="H100" i="58795" s="1"/>
  <c r="D101" i="58795"/>
  <c r="D100" i="58795" s="1"/>
  <c r="E94" i="58795"/>
  <c r="F94" i="58795"/>
  <c r="G94" i="58795"/>
  <c r="H94" i="58795"/>
  <c r="D94" i="58795"/>
  <c r="E93" i="58795"/>
  <c r="F93" i="58795"/>
  <c r="G93" i="58795"/>
  <c r="H93" i="58795"/>
  <c r="D93" i="58795"/>
  <c r="E90" i="58795"/>
  <c r="F90" i="58795"/>
  <c r="H90" i="58795"/>
  <c r="D90" i="58795"/>
  <c r="E89" i="58795"/>
  <c r="F89" i="58795"/>
  <c r="G89" i="58795"/>
  <c r="G88" i="58795" s="1"/>
  <c r="H89" i="58795"/>
  <c r="D89" i="58795"/>
  <c r="E85" i="58795"/>
  <c r="E84" i="58795" s="1"/>
  <c r="F85" i="58795"/>
  <c r="F84" i="58795" s="1"/>
  <c r="G85" i="58795"/>
  <c r="G84" i="58795" s="1"/>
  <c r="H85" i="58795"/>
  <c r="H84" i="58795" s="1"/>
  <c r="D85" i="58795"/>
  <c r="D84" i="58795" s="1"/>
  <c r="E81" i="58795"/>
  <c r="E80" i="58795" s="1"/>
  <c r="F81" i="58795"/>
  <c r="F80" i="58795" s="1"/>
  <c r="G81" i="58795"/>
  <c r="G80" i="58795" s="1"/>
  <c r="H81" i="58795"/>
  <c r="H80" i="58795" s="1"/>
  <c r="D81" i="58795"/>
  <c r="D80" i="58795" s="1"/>
  <c r="E77" i="58795"/>
  <c r="F77" i="58795"/>
  <c r="F76" i="58795" s="1"/>
  <c r="G77" i="58795"/>
  <c r="H77" i="58795"/>
  <c r="H76" i="58795" s="1"/>
  <c r="D77" i="58795"/>
  <c r="D76" i="58795" s="1"/>
  <c r="E70" i="58795"/>
  <c r="E68" i="58795" s="1"/>
  <c r="F70" i="58795"/>
  <c r="F68" i="58795" s="1"/>
  <c r="G70" i="58795"/>
  <c r="G68" i="58795" s="1"/>
  <c r="H70" i="58795"/>
  <c r="H68" i="58795" s="1"/>
  <c r="D70" i="58795"/>
  <c r="E66" i="58795"/>
  <c r="E64" i="58795" s="1"/>
  <c r="F66" i="58795"/>
  <c r="F64" i="58795" s="1"/>
  <c r="G66" i="58795"/>
  <c r="G64" i="58795" s="1"/>
  <c r="H66" i="58795"/>
  <c r="H64" i="58795" s="1"/>
  <c r="E62" i="58795"/>
  <c r="F62" i="58795"/>
  <c r="F60" i="58795" s="1"/>
  <c r="G62" i="58795"/>
  <c r="G60" i="58795" s="1"/>
  <c r="H62" i="58795"/>
  <c r="H60" i="58795" s="1"/>
  <c r="D62" i="58795"/>
  <c r="G52" i="58795"/>
  <c r="E52" i="58795"/>
  <c r="F100" i="58795" l="1"/>
  <c r="E100" i="58795"/>
  <c r="F88" i="58795"/>
  <c r="E88" i="58795"/>
  <c r="E104" i="58795"/>
  <c r="K130" i="58795"/>
  <c r="K131" i="58795"/>
  <c r="F92" i="58795"/>
  <c r="E92" i="58795"/>
  <c r="G104" i="58795"/>
  <c r="H92" i="58795"/>
  <c r="D88" i="58795"/>
  <c r="H88" i="58795"/>
  <c r="D92" i="58795"/>
  <c r="H104" i="58795"/>
  <c r="G92" i="58795"/>
  <c r="D104" i="58795"/>
  <c r="F104" i="58795"/>
  <c r="F32" i="58795" l="1"/>
  <c r="D32" i="58795"/>
  <c r="M132" i="58795"/>
  <c r="M130" i="58795"/>
  <c r="E112" i="58795"/>
  <c r="F112" i="58795"/>
  <c r="G112" i="58795"/>
  <c r="H112" i="58795"/>
  <c r="D112" i="58795"/>
  <c r="E108" i="58795"/>
  <c r="F108" i="58795"/>
  <c r="G108" i="58795"/>
  <c r="H108" i="58795"/>
  <c r="D108" i="58795"/>
  <c r="L130" i="58795"/>
  <c r="F28" i="58795"/>
  <c r="H28" i="58795"/>
  <c r="D28" i="58795"/>
  <c r="E20" i="58795"/>
  <c r="F20" i="58795"/>
  <c r="G20" i="58795"/>
  <c r="H20" i="58795"/>
  <c r="D20" i="58795"/>
  <c r="E16" i="58795"/>
  <c r="F16" i="58795"/>
  <c r="G16" i="58795"/>
  <c r="H16" i="58795"/>
  <c r="E12" i="58795"/>
  <c r="F12" i="58795"/>
  <c r="G12" i="58795"/>
  <c r="H12" i="58795"/>
  <c r="E8" i="58795"/>
  <c r="F8" i="58795"/>
  <c r="G8" i="58795"/>
  <c r="H8" i="58795"/>
  <c r="L85" i="58791"/>
  <c r="L84" i="58791"/>
  <c r="K85" i="58791"/>
  <c r="K84" i="58791"/>
  <c r="G87" i="58791"/>
  <c r="G86" i="58791"/>
  <c r="I84" i="58791"/>
  <c r="G83" i="58791"/>
  <c r="E84" i="58791"/>
  <c r="E83" i="58791"/>
  <c r="D84" i="58791"/>
  <c r="D83" i="58791"/>
  <c r="L9" i="58790"/>
  <c r="L10" i="58790" s="1"/>
  <c r="N77" i="58791"/>
  <c r="J16" i="58790"/>
  <c r="J17" i="58790"/>
  <c r="J18" i="58790"/>
  <c r="J19" i="58790"/>
  <c r="J15" i="58790"/>
  <c r="D15" i="58790"/>
  <c r="D13" i="58790"/>
  <c r="D14" i="58790"/>
  <c r="D12" i="58790"/>
  <c r="J9" i="58790"/>
  <c r="J8" i="58790"/>
  <c r="J7" i="58790"/>
  <c r="J6" i="58790"/>
  <c r="J12" i="58790" l="1"/>
  <c r="J13" i="58790" s="1"/>
  <c r="N132" i="58795"/>
  <c r="N130" i="58795"/>
  <c r="N6" i="58791"/>
  <c r="N7" i="58791" s="1"/>
  <c r="N9" i="58791"/>
  <c r="O9" i="58791"/>
  <c r="P9" i="58791"/>
  <c r="P10" i="58791" s="1"/>
  <c r="P11" i="58791" s="1"/>
  <c r="Q9" i="58791"/>
  <c r="R9" i="58791"/>
  <c r="N10" i="58791"/>
  <c r="O10" i="58791"/>
  <c r="O11" i="58791" s="1"/>
  <c r="Q10" i="58791"/>
  <c r="R10" i="58791"/>
  <c r="N11" i="58791"/>
  <c r="Q11" i="58791"/>
  <c r="R11" i="58791"/>
  <c r="N13" i="58791"/>
  <c r="N14" i="58791"/>
  <c r="N15" i="58791"/>
  <c r="N136" i="58795" l="1"/>
  <c r="N138" i="58795" s="1"/>
  <c r="S11" i="58791"/>
  <c r="B64" i="10" l="1"/>
  <c r="C38" i="10" l="1"/>
  <c r="D38" i="10" s="1"/>
  <c r="E38" i="10" s="1"/>
  <c r="F38" i="10" s="1"/>
  <c r="G38" i="10" s="1"/>
  <c r="C16" i="10" l="1"/>
  <c r="C36" i="10" s="1"/>
  <c r="C29" i="10" l="1"/>
  <c r="C47" i="10" s="1"/>
  <c r="D16" i="10"/>
  <c r="D33" i="10" s="1"/>
  <c r="C33" i="10"/>
  <c r="C17" i="10"/>
  <c r="B66" i="10"/>
  <c r="C48" i="10"/>
  <c r="D17" i="10" l="1"/>
  <c r="D29" i="10"/>
  <c r="D47" i="10" s="1"/>
  <c r="E16" i="10"/>
  <c r="E29" i="10" s="1"/>
  <c r="D36" i="10"/>
  <c r="D48" i="10" s="1"/>
  <c r="C37" i="10"/>
  <c r="E47" i="10" l="1"/>
  <c r="E36" i="10"/>
  <c r="E48" i="10" s="1"/>
  <c r="E17" i="10"/>
  <c r="F16" i="10"/>
  <c r="F33" i="10" s="1"/>
  <c r="E33" i="10"/>
  <c r="D37" i="10"/>
  <c r="D18" i="10" s="1"/>
  <c r="C18" i="10"/>
  <c r="F36" i="10" l="1"/>
  <c r="F48" i="10" s="1"/>
  <c r="F29" i="10"/>
  <c r="F47" i="10" s="1"/>
  <c r="F17" i="10"/>
  <c r="G16" i="10"/>
  <c r="G17" i="10" s="1"/>
  <c r="C50" i="10"/>
  <c r="E37" i="10"/>
  <c r="E18" i="10" s="1"/>
  <c r="D50" i="10"/>
  <c r="G36" i="10" l="1"/>
  <c r="G48" i="10" s="1"/>
  <c r="G33" i="10"/>
  <c r="G29" i="10"/>
  <c r="G47" i="10" s="1"/>
  <c r="F37" i="10"/>
  <c r="F18" i="10" s="1"/>
  <c r="E50" i="10"/>
  <c r="G37" i="10" l="1"/>
  <c r="G18" i="10" s="1"/>
  <c r="F50" i="10"/>
  <c r="G50" i="10" l="1"/>
  <c r="C19" i="10"/>
  <c r="D19" i="10"/>
  <c r="E19" i="10"/>
  <c r="F19" i="10"/>
  <c r="G19" i="10"/>
  <c r="C20" i="10"/>
  <c r="D20" i="10"/>
  <c r="E20" i="10"/>
  <c r="F20" i="10"/>
  <c r="G20" i="10"/>
  <c r="C21" i="10"/>
  <c r="D21" i="10"/>
  <c r="E21" i="10"/>
  <c r="F21" i="10"/>
  <c r="G21" i="10"/>
  <c r="C22" i="10"/>
  <c r="D22" i="10"/>
  <c r="E22" i="10"/>
  <c r="F22" i="10"/>
  <c r="G22" i="10"/>
  <c r="C23" i="10"/>
  <c r="D23" i="10"/>
  <c r="E23" i="10"/>
  <c r="F23" i="10"/>
  <c r="G23" i="10"/>
  <c r="C24" i="10"/>
  <c r="D24" i="10"/>
  <c r="E24" i="10"/>
  <c r="F24" i="10"/>
  <c r="G24" i="10"/>
  <c r="C25" i="10"/>
  <c r="D25" i="10"/>
  <c r="E25" i="10"/>
  <c r="F25" i="10"/>
  <c r="G25" i="10"/>
  <c r="C28" i="10"/>
  <c r="D28" i="10"/>
  <c r="E28" i="10"/>
  <c r="F28" i="10"/>
  <c r="G28" i="10"/>
  <c r="C31" i="10"/>
  <c r="D31" i="10"/>
  <c r="E31" i="10"/>
  <c r="F31" i="10"/>
  <c r="G31" i="10"/>
  <c r="C32" i="10"/>
  <c r="D32" i="10"/>
  <c r="E32" i="10"/>
  <c r="F32" i="10"/>
  <c r="G32" i="10"/>
  <c r="C34" i="10"/>
  <c r="D34" i="10"/>
  <c r="E34" i="10"/>
  <c r="F34" i="10"/>
  <c r="G34" i="10"/>
  <c r="C39" i="10"/>
  <c r="D39" i="10"/>
  <c r="E39" i="10"/>
  <c r="F39" i="10"/>
  <c r="G39" i="10"/>
  <c r="C40" i="10"/>
  <c r="D40" i="10"/>
  <c r="E40" i="10"/>
  <c r="F40" i="10"/>
  <c r="G40" i="10"/>
  <c r="C45" i="10"/>
  <c r="D45" i="10"/>
  <c r="E45" i="10"/>
  <c r="F45" i="10"/>
  <c r="G45" i="10"/>
  <c r="C46" i="10"/>
  <c r="D46" i="10"/>
  <c r="E46" i="10"/>
  <c r="F46" i="10"/>
  <c r="G46" i="10"/>
  <c r="C49" i="10"/>
  <c r="D49" i="10"/>
  <c r="E49" i="10"/>
  <c r="F49" i="10"/>
  <c r="G49" i="10"/>
  <c r="C51" i="10"/>
  <c r="D51" i="10"/>
  <c r="E51" i="10"/>
  <c r="F51" i="10"/>
  <c r="G51" i="10"/>
  <c r="C52" i="10"/>
  <c r="D52" i="10"/>
  <c r="E52" i="10"/>
  <c r="F52" i="10"/>
  <c r="G52" i="10"/>
  <c r="C59" i="10"/>
  <c r="D59" i="10"/>
  <c r="E59" i="10"/>
  <c r="F59" i="10"/>
  <c r="G59" i="10"/>
  <c r="G60" i="10"/>
  <c r="C61" i="10"/>
  <c r="D61" i="10"/>
  <c r="E61" i="10"/>
  <c r="F61" i="10"/>
  <c r="G61" i="10"/>
  <c r="B63" i="10"/>
  <c r="B65" i="10"/>
  <c r="B67" i="10"/>
  <c r="B69" i="10"/>
</calcChain>
</file>

<file path=xl/sharedStrings.xml><?xml version="1.0" encoding="utf-8"?>
<sst xmlns="http://schemas.openxmlformats.org/spreadsheetml/2006/main" count="1208" uniqueCount="640">
  <si>
    <t>Current liabilities/Sales</t>
  </si>
  <si>
    <t>Depreciation rate</t>
  </si>
  <si>
    <t>Dividend payout ratio</t>
  </si>
  <si>
    <t>Year</t>
  </si>
  <si>
    <t>Income statement</t>
  </si>
  <si>
    <t>Depreciation</t>
  </si>
  <si>
    <t>Profit before tax</t>
  </si>
  <si>
    <t>Profit after tax</t>
  </si>
  <si>
    <t>Dividends</t>
  </si>
  <si>
    <t xml:space="preserve">     At cost</t>
  </si>
  <si>
    <t xml:space="preserve">     Depreciation</t>
  </si>
  <si>
    <t>Total assets</t>
  </si>
  <si>
    <t>Current liabilities</t>
  </si>
  <si>
    <t>Accumulated retained earnings</t>
  </si>
  <si>
    <t>Total liabilities and equity</t>
  </si>
  <si>
    <t>Cash and marketable securities</t>
  </si>
  <si>
    <t>Total</t>
  </si>
  <si>
    <t>Free cash flow</t>
  </si>
  <si>
    <t>Add back depreciation</t>
  </si>
  <si>
    <t>Add back increase in current liabilities</t>
  </si>
  <si>
    <t>Subtract increase in current assets</t>
  </si>
  <si>
    <t>Free cash flow calculation</t>
  </si>
  <si>
    <t>Valuing the firm</t>
  </si>
  <si>
    <t>FCF</t>
  </si>
  <si>
    <t>Terminal value</t>
  </si>
  <si>
    <t>Weighted average cost of capital</t>
  </si>
  <si>
    <t>&lt;-- =NPV(B56,C61:G61)</t>
  </si>
  <si>
    <t>Enterprise value</t>
  </si>
  <si>
    <t>NPV of row 61</t>
  </si>
  <si>
    <t>5-YEAR PROJECTED MODEL INCLUDING VALUATION</t>
  </si>
  <si>
    <t>Sales revenue growth</t>
  </si>
  <si>
    <t>Non-current assets/Sales</t>
  </si>
  <si>
    <t>Statement of Financial Position</t>
  </si>
  <si>
    <t>Sales revenue</t>
  </si>
  <si>
    <t>Income tax expense</t>
  </si>
  <si>
    <t>Income (corporation) tax rate</t>
  </si>
  <si>
    <t>Retained earnings (for the year)</t>
  </si>
  <si>
    <t>Other current assets (excl. CMS)</t>
  </si>
  <si>
    <t>Non-current assets</t>
  </si>
  <si>
    <t>Other current assets/Sales</t>
  </si>
  <si>
    <t xml:space="preserve">     Non-current assets</t>
  </si>
  <si>
    <t>Borrowings (debt)</t>
  </si>
  <si>
    <t>Finance costs</t>
  </si>
  <si>
    <t>Interest rate on debt (finance costs)</t>
  </si>
  <si>
    <t>Interest paid on CMS (finance income)</t>
  </si>
  <si>
    <t>Finance income (interest earned on CMS)</t>
  </si>
  <si>
    <t>Subtract increase in non-current assets at cost</t>
  </si>
  <si>
    <t>Add back after-tax finance costs</t>
  </si>
  <si>
    <t>Subtract after-tax finance income</t>
  </si>
  <si>
    <t>Subtract out value of firm's year 0 debt (borrowings)</t>
  </si>
  <si>
    <t>Add in year 0 cash and mkt. securities</t>
  </si>
  <si>
    <t>Total equity value</t>
  </si>
  <si>
    <t>Shareholders' equity excl. retained earnings</t>
  </si>
  <si>
    <t>EBITDA/Sales</t>
  </si>
  <si>
    <t>EBITDA</t>
  </si>
  <si>
    <t>Year 1</t>
  </si>
  <si>
    <t>Year 2</t>
  </si>
  <si>
    <t>Year 3</t>
  </si>
  <si>
    <t>Year 4</t>
  </si>
  <si>
    <t>Year 5</t>
  </si>
  <si>
    <t>Terminal growth rate</t>
  </si>
  <si>
    <t>Year 6</t>
  </si>
  <si>
    <t>&lt;-- =G59*(1+G3)/(B56-B57)</t>
  </si>
  <si>
    <t>Number of shares</t>
  </si>
  <si>
    <t xml:space="preserve">Risk free rate </t>
  </si>
  <si>
    <t>R=risk free rate + beta*(market return - risk free rate )</t>
  </si>
  <si>
    <t>DIVIDEND PER SHARE</t>
  </si>
  <si>
    <t>The dividends of Tata Consultancy Service is expected to grow at the following rate:</t>
  </si>
  <si>
    <t>Right click to show data transparency (not supported for all values)</t>
  </si>
  <si>
    <t>Source: Bloomberg</t>
  </si>
  <si>
    <t>—</t>
  </si>
  <si>
    <t>BS_CURR_RENTAL_EXPENSE</t>
  </si>
  <si>
    <t>Rental Expense</t>
  </si>
  <si>
    <t>IS_DEPR_EXP</t>
  </si>
  <si>
    <t>Depreciation Expense</t>
  </si>
  <si>
    <t>IS_PERSONNEL_EXP</t>
  </si>
  <si>
    <t>Personnel Expenses</t>
  </si>
  <si>
    <t>IS_TOT_CASH_COM_DVD</t>
  </si>
  <si>
    <t>Total Cash Common Dividends</t>
  </si>
  <si>
    <t>EQY_DPS</t>
  </si>
  <si>
    <t>Dividends per Share</t>
  </si>
  <si>
    <t>ACTUAL_SALES_PER_EMPL</t>
  </si>
  <si>
    <t>Sales per Employee</t>
  </si>
  <si>
    <t>CUR_PROFIT_JAPAN</t>
  </si>
  <si>
    <t>Current Profit</t>
  </si>
  <si>
    <t>PROF_MARGIN</t>
  </si>
  <si>
    <t>Profit Margin</t>
  </si>
  <si>
    <t>OPER_MARGIN</t>
  </si>
  <si>
    <t>Operating Margin</t>
  </si>
  <si>
    <t>GROSS_MARGIN</t>
  </si>
  <si>
    <t>Gross Margin</t>
  </si>
  <si>
    <t>EBIT</t>
  </si>
  <si>
    <t>EBITA</t>
  </si>
  <si>
    <t>EBITDA_MARGIN</t>
  </si>
  <si>
    <t>EBITDA Margin (T12M)</t>
  </si>
  <si>
    <t>IAS/IFRS</t>
  </si>
  <si>
    <t>IN GAAP</t>
  </si>
  <si>
    <t>ACCOUNTING_STANDARD</t>
  </si>
  <si>
    <t>Accounting Standard</t>
  </si>
  <si>
    <t>Reference Items</t>
  </si>
  <si>
    <t>IS_DIL_EPS_CONT_OPS</t>
  </si>
  <si>
    <t>Diluted EPS from Cont Ops, Adjusted</t>
  </si>
  <si>
    <t>IS_DIL_EPS_BEF_XO</t>
  </si>
  <si>
    <t>Diluted EPS from Cont Ops, GAAP</t>
  </si>
  <si>
    <t>IS_DILUTED_EPS</t>
  </si>
  <si>
    <t>Diluted EPS, GAAP</t>
  </si>
  <si>
    <t>IS_SH_FOR_DILUTED_EPS</t>
  </si>
  <si>
    <t>Diluted Weighted Avg Shares</t>
  </si>
  <si>
    <t>IS_BASIC_EPS_CONT_OPS</t>
  </si>
  <si>
    <t>Basic EPS from Cont Ops, Adjusted</t>
  </si>
  <si>
    <t>IS_EARN_BEF_XO_ITEMS_PER_SH</t>
  </si>
  <si>
    <t>Basic EPS from Cont Ops, GAAP</t>
  </si>
  <si>
    <t>IS_EPS</t>
  </si>
  <si>
    <t>Basic EPS, GAAP</t>
  </si>
  <si>
    <t>IS_AVG_NUM_SH_FOR_EPS</t>
  </si>
  <si>
    <t>Basic Weighted Avg Shares</t>
  </si>
  <si>
    <t>XO_GL_NET_OF_TAX</t>
  </si>
  <si>
    <t xml:space="preserve">  Net Extraordinary Losses (Gains)</t>
  </si>
  <si>
    <t>IS_NET_ABNORMAL_ITEMS</t>
  </si>
  <si>
    <t xml:space="preserve">  Net Abnormal Losses (Gains)</t>
  </si>
  <si>
    <t>EARN_FOR_COMMON</t>
  </si>
  <si>
    <t>Net Income Avail to Common, Adj</t>
  </si>
  <si>
    <t>Net Income Avail to Common, GAAP</t>
  </si>
  <si>
    <t>OTHER_ADJUSTMENTS</t>
  </si>
  <si>
    <t xml:space="preserve">  - Other Adjustments</t>
  </si>
  <si>
    <t>IS_TOT_CASH_PFD_DVD</t>
  </si>
  <si>
    <t xml:space="preserve">  - Preferred Dividends</t>
  </si>
  <si>
    <t>NET_INCOME</t>
  </si>
  <si>
    <t>Net Income, GAAP</t>
  </si>
  <si>
    <t>MIN_NONCONTROL_INTEREST_CREDITS</t>
  </si>
  <si>
    <t xml:space="preserve">  - Minority Interest</t>
  </si>
  <si>
    <t>NI_INCLUDING_MINORITY_INT_RATIO</t>
  </si>
  <si>
    <t>Income (Loss) Incl. MI</t>
  </si>
  <si>
    <t>EXTRAORD_ITEMS_ACCOUNTING_CHANGS</t>
  </si>
  <si>
    <t xml:space="preserve">    + XO &amp; Accounting Changes</t>
  </si>
  <si>
    <t>IS_DISCONTINUED_OPERATIONS</t>
  </si>
  <si>
    <t xml:space="preserve">    + Discontinued Operations</t>
  </si>
  <si>
    <t xml:space="preserve">  - Net Extraordinary Losses (Gains)</t>
  </si>
  <si>
    <t>IS_INC_BEF_XO_ITEM</t>
  </si>
  <si>
    <t>Income (Loss) from Cont Ops</t>
  </si>
  <si>
    <t>IS_TAX_VALN_ALLOWNCE_CREDITS</t>
  </si>
  <si>
    <t xml:space="preserve">    + Tax Allowance/Credit</t>
  </si>
  <si>
    <t>IS_DEFERRED_INCOME_TAX_BENEFIT</t>
  </si>
  <si>
    <t xml:space="preserve">    + Deferred Income Tax</t>
  </si>
  <si>
    <t>IS_CURRENT_INCOME_TAX_BENEFIT</t>
  </si>
  <si>
    <t xml:space="preserve">    + Current Income Tax</t>
  </si>
  <si>
    <t>IS_INC_TAX_EXP</t>
  </si>
  <si>
    <t xml:space="preserve">  - Income Tax Expense (Benefit)</t>
  </si>
  <si>
    <t>PRETAX_INC</t>
  </si>
  <si>
    <t>Pretax Income (Loss), GAAP</t>
  </si>
  <si>
    <t>IS_OTHER_ONE_TIME_ITEMS</t>
  </si>
  <si>
    <t xml:space="preserve">    + Other Abnormal Items</t>
  </si>
  <si>
    <t>IS_UNREALIZED_INVESTMENTS</t>
  </si>
  <si>
    <t xml:space="preserve">    + Unrealized Investments</t>
  </si>
  <si>
    <t>IS_GAIN_LOSS_ON_INVESTMENTS</t>
  </si>
  <si>
    <t xml:space="preserve">    + Sale of Investments</t>
  </si>
  <si>
    <t>IS_LEGAL_LITIGATION_SETTLEMENT</t>
  </si>
  <si>
    <t xml:space="preserve">    + Legal Settlement</t>
  </si>
  <si>
    <t>IS_GAIN_LOSS_DISPOSAL_ASSETS</t>
  </si>
  <si>
    <t xml:space="preserve">    + Disposal of Assets</t>
  </si>
  <si>
    <t>IS_ABNORMAL_ITEM</t>
  </si>
  <si>
    <t xml:space="preserve">  - Abnormal Losses (Gains)</t>
  </si>
  <si>
    <t>Pretax Income (Loss), Adjusted</t>
  </si>
  <si>
    <t>IS_OTHER_NON_OPERATING_INC_LOSS</t>
  </si>
  <si>
    <t xml:space="preserve">    + Other Non-Op (Income) Loss</t>
  </si>
  <si>
    <t>INCOME_LOSS_FROM_AFFILIATES</t>
  </si>
  <si>
    <t xml:space="preserve">    + (Income) Loss from Affiliates</t>
  </si>
  <si>
    <t>IS_FOREIGN_EXCH_LOSS</t>
  </si>
  <si>
    <t xml:space="preserve">    + Foreign Exch (Gain) Loss</t>
  </si>
  <si>
    <t>IS_OTHER_INVESTMENT_INCOME_LOSS</t>
  </si>
  <si>
    <t xml:space="preserve">    + Other Investment (Inc) Loss</t>
  </si>
  <si>
    <t>IS_INT_INC</t>
  </si>
  <si>
    <t xml:space="preserve">    - Interest Income</t>
  </si>
  <si>
    <t>IS_INT_EXPENSE</t>
  </si>
  <si>
    <t xml:space="preserve">    + Interest Expense</t>
  </si>
  <si>
    <t>IS_NET_INTEREST_EXPENSE</t>
  </si>
  <si>
    <t xml:space="preserve">    + Interest Expense, Net</t>
  </si>
  <si>
    <t>IS_NONOP_INCOME_LOSS</t>
  </si>
  <si>
    <t xml:space="preserve">  - Non-Operating (Income) Loss</t>
  </si>
  <si>
    <t>IS_OPER_INC</t>
  </si>
  <si>
    <t>Operating Income (Loss)</t>
  </si>
  <si>
    <t>IS_OTHER_OPERATING_EXPENSES</t>
  </si>
  <si>
    <t xml:space="preserve">    + Other Operating Expense</t>
  </si>
  <si>
    <t>IS_PROVISION_DOUBTFUL_ACCOUNTS</t>
  </si>
  <si>
    <t xml:space="preserve">    + Prov For Doubtful Accts</t>
  </si>
  <si>
    <t>IS_DEPRECIATION_AND_AMORTIZATION</t>
  </si>
  <si>
    <t xml:space="preserve">    + Depreciation &amp; Amortization</t>
  </si>
  <si>
    <t>IS_OPERATING_EXPENSES_RD</t>
  </si>
  <si>
    <t xml:space="preserve">    + Research &amp; Development</t>
  </si>
  <si>
    <t>IS_SGA_EXPENSE</t>
  </si>
  <si>
    <t xml:space="preserve">    + Selling, General &amp; Admin</t>
  </si>
  <si>
    <t>IS_OPERATING_EXPN</t>
  </si>
  <si>
    <t xml:space="preserve">  - Operating Expenses</t>
  </si>
  <si>
    <t>IS_OTHER_OPER_INC</t>
  </si>
  <si>
    <t xml:space="preserve">  + Other Operating Income</t>
  </si>
  <si>
    <t>GROSS_PROFIT</t>
  </si>
  <si>
    <t>Gross Profit</t>
  </si>
  <si>
    <t>IS_DA_COST_OF_REVENUE_GAAP</t>
  </si>
  <si>
    <t>IS_COG_AND_SERVICES_SOLD</t>
  </si>
  <si>
    <t xml:space="preserve">    + Cost of Goods &amp; Services</t>
  </si>
  <si>
    <t>IS_COGS_TO_FE_AND_PP_AND_G</t>
  </si>
  <si>
    <t xml:space="preserve">  - Cost of Revenue</t>
  </si>
  <si>
    <t>IS_SALES_AND_SERVICES_REVENUES</t>
  </si>
  <si>
    <t xml:space="preserve">    + Sales &amp; Services Revenue</t>
  </si>
  <si>
    <t>SALES_REV_TURN</t>
  </si>
  <si>
    <t>Revenue</t>
  </si>
  <si>
    <t>03/31/2025</t>
  </si>
  <si>
    <t>03/31/2024</t>
  </si>
  <si>
    <t>09/30/2023</t>
  </si>
  <si>
    <t>03/31/2023</t>
  </si>
  <si>
    <t>03/31/2022</t>
  </si>
  <si>
    <t>03/31/2021</t>
  </si>
  <si>
    <t>03/31/2020</t>
  </si>
  <si>
    <t>03/31/2019</t>
  </si>
  <si>
    <t>03/31/2018</t>
  </si>
  <si>
    <t>03/31/2017</t>
  </si>
  <si>
    <t>12 Months Ending</t>
  </si>
  <si>
    <t>FY 2025 Est</t>
  </si>
  <si>
    <t>FY 2024 Est</t>
  </si>
  <si>
    <t>Last 12M</t>
  </si>
  <si>
    <t>FY 2023</t>
  </si>
  <si>
    <t>FY 2022</t>
  </si>
  <si>
    <t>FY 2021</t>
  </si>
  <si>
    <t>FY 2020</t>
  </si>
  <si>
    <t>FY 2019</t>
  </si>
  <si>
    <t>FY 2018</t>
  </si>
  <si>
    <t>FY 2017</t>
  </si>
  <si>
    <t>In Millions of INR except Per Share</t>
  </si>
  <si>
    <t>Tata Consultancy Services Ltd (TCS IN) - Adjusted</t>
  </si>
  <si>
    <t>NUM_OF_EMPLOYEES</t>
  </si>
  <si>
    <t>Number of Employees</t>
  </si>
  <si>
    <t>CASH_CONVERSION_CYCLE</t>
  </si>
  <si>
    <t>Cash Conversion Cycle</t>
  </si>
  <si>
    <t>CUR_RATIO</t>
  </si>
  <si>
    <t>Current Ratio</t>
  </si>
  <si>
    <t>TCE_RATIO</t>
  </si>
  <si>
    <t>Tangible Common Equity Ratio</t>
  </si>
  <si>
    <t>NET_DEBT_TO_SHRHLDR_EQTY</t>
  </si>
  <si>
    <t>Net Debt to Equity</t>
  </si>
  <si>
    <t>NET_DEBT</t>
  </si>
  <si>
    <t>Net Debt</t>
  </si>
  <si>
    <t>BS_OPTIONS_OUTSTANDING</t>
  </si>
  <si>
    <t>Options Outstanding at Period End</t>
  </si>
  <si>
    <t>BS_OPTIONS_GRANTED</t>
  </si>
  <si>
    <t>Options Granted During Period</t>
  </si>
  <si>
    <t>BS_NUM_OF_SHAREHOLDERS</t>
  </si>
  <si>
    <t>Number Of Shareholders</t>
  </si>
  <si>
    <t>BS_PERCENT_OF_FOREIGN_OWNERSHIP</t>
  </si>
  <si>
    <t>Percent Of Foreign Ownership</t>
  </si>
  <si>
    <t>BS_TOTAL_CAPITAL_LEASES</t>
  </si>
  <si>
    <t>Capital Leases - Total</t>
  </si>
  <si>
    <t>BS_FUTURE_MIN_OPER_LEASE_OBLIG</t>
  </si>
  <si>
    <t>Future Minimum Operating Lease Obligations</t>
  </si>
  <si>
    <t>BS_PENSION_RSRV</t>
  </si>
  <si>
    <t>Pension Obligations</t>
  </si>
  <si>
    <t>BS_NUM_OF_TSY_SH</t>
  </si>
  <si>
    <t>Number of Treasury Shares</t>
  </si>
  <si>
    <t>BS_SH_OUT</t>
  </si>
  <si>
    <t>Shares Outstanding</t>
  </si>
  <si>
    <t>TOT_LIAB_AND_EQY</t>
  </si>
  <si>
    <t>Total Liabilities &amp; Equity</t>
  </si>
  <si>
    <t>TOTAL_EQUITY</t>
  </si>
  <si>
    <t>Total Equity</t>
  </si>
  <si>
    <t>MINORITY_NONCONTROLLING_INTEREST</t>
  </si>
  <si>
    <t xml:space="preserve">  + Minority/Non Controlling Interest</t>
  </si>
  <si>
    <t>EQTY_BEF_MINORITY_INT_DETAILED</t>
  </si>
  <si>
    <t>Equity Before Minority Interest</t>
  </si>
  <si>
    <t>OTHER_EQUITY_RATIO</t>
  </si>
  <si>
    <t xml:space="preserve">  + Other Equity</t>
  </si>
  <si>
    <t>BS_PURE_RETAINED_EARNINGS</t>
  </si>
  <si>
    <t xml:space="preserve">  + Retained Earnings</t>
  </si>
  <si>
    <t>BS_AMT_OF_TSY_STOCK</t>
  </si>
  <si>
    <t xml:space="preserve">  - Treasury Stock</t>
  </si>
  <si>
    <t>BS_ADD_PAID_IN_CAP</t>
  </si>
  <si>
    <t xml:space="preserve">    + Additional Paid in Capital</t>
  </si>
  <si>
    <t>BS_COMMON_STOCK</t>
  </si>
  <si>
    <t xml:space="preserve">    + Common Stock</t>
  </si>
  <si>
    <t>BS_SH_CAP_AND_APIC</t>
  </si>
  <si>
    <t xml:space="preserve">  + Share Capital &amp; APIC</t>
  </si>
  <si>
    <t>PFD_EQTY_HYBRID_CAPITAL</t>
  </si>
  <si>
    <t xml:space="preserve">  + Preferred Equity and Hybrid Capital</t>
  </si>
  <si>
    <t>BS_TOT_LIAB2</t>
  </si>
  <si>
    <t>Total Liabilities</t>
  </si>
  <si>
    <t>NON_CUR_LIAB</t>
  </si>
  <si>
    <t>Total Noncurrent Liabilities</t>
  </si>
  <si>
    <t>OTHER_NONCURRENT_LIABS_DETAILED</t>
  </si>
  <si>
    <t xml:space="preserve">    + Misc LT Liabilities</t>
  </si>
  <si>
    <t>BS_DERIV_HEDGING_LIAB_LT</t>
  </si>
  <si>
    <t xml:space="preserve">    + Derivatives &amp; Hedging</t>
  </si>
  <si>
    <t>BS_DEFERRED_TAX_LIABILITIES_LT</t>
  </si>
  <si>
    <t xml:space="preserve">    + Deferred Tax Liabilities</t>
  </si>
  <si>
    <t>LT_DEFERRED_REVENUE</t>
  </si>
  <si>
    <t xml:space="preserve">    + Deferred Revenue</t>
  </si>
  <si>
    <t>BS_DEFERRED_COMP_LT_LIABS</t>
  </si>
  <si>
    <t xml:space="preserve">    + Deferred Compensation</t>
  </si>
  <si>
    <t>PENSION_LIABILITIES</t>
  </si>
  <si>
    <t xml:space="preserve">    + Pension Liabilities</t>
  </si>
  <si>
    <t>BS_ACCRUED_LIABILITIES</t>
  </si>
  <si>
    <t xml:space="preserve">    + Accrued Liabilities</t>
  </si>
  <si>
    <t>OTHER_NONCUR_LIABS_SUB_DETAILED</t>
  </si>
  <si>
    <t xml:space="preserve">  + Other LT Liabilities</t>
  </si>
  <si>
    <t>LT_CAPITAL_LEASE_OBLIGATIONS</t>
  </si>
  <si>
    <t xml:space="preserve">      + LT Finance Leases</t>
  </si>
  <si>
    <t>LT_CAPITALIZED_LEASE_LIABILITIES</t>
  </si>
  <si>
    <t xml:space="preserve">    + LT Lease Liabilities</t>
  </si>
  <si>
    <t>LONG_TERM_BORROWINGS_DETAILED</t>
  </si>
  <si>
    <t xml:space="preserve">    + LT Borrowings</t>
  </si>
  <si>
    <t>BS_LT_BORROW</t>
  </si>
  <si>
    <t xml:space="preserve">  + LT Debt</t>
  </si>
  <si>
    <t>BS_CUR_LIAB</t>
  </si>
  <si>
    <t>Total Current Liabilities</t>
  </si>
  <si>
    <t>OTHER_CURRENT_LIABS_DETAILED</t>
  </si>
  <si>
    <t xml:space="preserve">    + Misc ST Liabilities</t>
  </si>
  <si>
    <t>BS_DERIV_HEDGING_LIAB_ST</t>
  </si>
  <si>
    <t>ST_DEFERRED_REVENUE</t>
  </si>
  <si>
    <t>OTHER_CURRENT_LIABS_SUB_DETAILED</t>
  </si>
  <si>
    <t xml:space="preserve">  + Other ST Liabilities</t>
  </si>
  <si>
    <t>BS_ST_OPERATING_LEASE_LIABS</t>
  </si>
  <si>
    <t xml:space="preserve">      + ST Operating Leases</t>
  </si>
  <si>
    <t>ST_CAPITAL_LEASE_OBLIGATIONS</t>
  </si>
  <si>
    <t xml:space="preserve">      + ST Finance Leases</t>
  </si>
  <si>
    <t>ST_CAPITALIZED_LEASE_LIABILITIES</t>
  </si>
  <si>
    <t xml:space="preserve">    + ST Lease Liabilities</t>
  </si>
  <si>
    <t>SHORT_TERM_DEBT_DETAILED</t>
  </si>
  <si>
    <t xml:space="preserve">    + ST Borrowings</t>
  </si>
  <si>
    <t>BS_ST_BORROW</t>
  </si>
  <si>
    <t xml:space="preserve">  + ST Debt</t>
  </si>
  <si>
    <t>BS_ACCRUAL</t>
  </si>
  <si>
    <t xml:space="preserve">    + Other Payables &amp; Accruals</t>
  </si>
  <si>
    <t>INTEREST_DIVIDENDS_PAYABLE</t>
  </si>
  <si>
    <t xml:space="preserve">    + Interest &amp; Dividends Payable</t>
  </si>
  <si>
    <t>BS_TAXES_PAYABLE</t>
  </si>
  <si>
    <t xml:space="preserve">    + Accrued Taxes</t>
  </si>
  <si>
    <t>BS_ACCT_PAYABLE</t>
  </si>
  <si>
    <t xml:space="preserve">    + Accounts Payable</t>
  </si>
  <si>
    <t>ACCT_PAYABLE_ACCRUALS_DETAILED</t>
  </si>
  <si>
    <t xml:space="preserve">  + Payables &amp; Accruals</t>
  </si>
  <si>
    <t>Liabilities &amp; Shareholders' Equity</t>
  </si>
  <si>
    <t>BS_TOT_ASSET</t>
  </si>
  <si>
    <t>Total Assets</t>
  </si>
  <si>
    <t>BS_TOT_NON_CUR_ASSET</t>
  </si>
  <si>
    <t>Total Noncurrent Assets</t>
  </si>
  <si>
    <t>OTHER_NONCURRENT_ASSETS_DETAILED</t>
  </si>
  <si>
    <t xml:space="preserve">    + Misc LT Assets</t>
  </si>
  <si>
    <t>BS_INVEST_IN_ASSOC_CO</t>
  </si>
  <si>
    <t xml:space="preserve">    + Investments in Affiliates</t>
  </si>
  <si>
    <t>BS_DEFERRED_TAX_ASSETS_LT</t>
  </si>
  <si>
    <t xml:space="preserve">    + Deferred Tax Assets</t>
  </si>
  <si>
    <t>BS_PREPAID_EXPENSE_LT</t>
  </si>
  <si>
    <t xml:space="preserve">    + Prepaid Expense</t>
  </si>
  <si>
    <t>OTHER_INTANGIBLE_ASSETS_DETAILED</t>
  </si>
  <si>
    <t xml:space="preserve">    + Other Intangible Assets</t>
  </si>
  <si>
    <t>BS_GOODWILL</t>
  </si>
  <si>
    <t xml:space="preserve">    + Goodwill</t>
  </si>
  <si>
    <t>BS_DISCLOSED_INTANGIBLES</t>
  </si>
  <si>
    <t xml:space="preserve">    + Total Intangible Assets</t>
  </si>
  <si>
    <t>BS_OTHER_ASSETS_DEF_CHRG_OTHER</t>
  </si>
  <si>
    <t xml:space="preserve">  + Other LT Assets</t>
  </si>
  <si>
    <t>BS_LT_RECEIVABLES</t>
  </si>
  <si>
    <t xml:space="preserve">    + LT Receivables</t>
  </si>
  <si>
    <t>BS_LONG_TERM_INVESTMENTS</t>
  </si>
  <si>
    <t xml:space="preserve">    + LT Investments</t>
  </si>
  <si>
    <t>BS_LT_INVEST</t>
  </si>
  <si>
    <t xml:space="preserve">  + LT Investments &amp; Receivables</t>
  </si>
  <si>
    <t>BS_ACCUM_DEPR</t>
  </si>
  <si>
    <t xml:space="preserve">    - Accumulated Depreciation</t>
  </si>
  <si>
    <t>BS_GROSS_FIX_ASSET</t>
  </si>
  <si>
    <t xml:space="preserve">    + Property, Plant &amp; Equip</t>
  </si>
  <si>
    <t>BS_NET_FIX_ASSET</t>
  </si>
  <si>
    <t xml:space="preserve">  + Property, Plant &amp; Equip, Net</t>
  </si>
  <si>
    <t>BS_CUR_ASSET_REPORT</t>
  </si>
  <si>
    <t>Total Current Assets</t>
  </si>
  <si>
    <t>BS_OTHER_CUR_ASSET_LESS_PREPAY</t>
  </si>
  <si>
    <t xml:space="preserve">    + Misc ST Assets</t>
  </si>
  <si>
    <t>BS_TAXES_RECEIVABLE_SHORT_TERM</t>
  </si>
  <si>
    <t xml:space="preserve">    + Taxes Receivable</t>
  </si>
  <si>
    <t>BS_PREPAY</t>
  </si>
  <si>
    <t xml:space="preserve">    + Prepaid Expenses</t>
  </si>
  <si>
    <t>OTHER_CURRENT_ASSETS_DETAILED</t>
  </si>
  <si>
    <t xml:space="preserve">  + Other ST Assets</t>
  </si>
  <si>
    <t>BS_OTHER_INV</t>
  </si>
  <si>
    <t xml:space="preserve">    + Other Inventory</t>
  </si>
  <si>
    <t>INVTRY_FINISHED_GOODS</t>
  </si>
  <si>
    <t xml:space="preserve">    + Finished Goods</t>
  </si>
  <si>
    <t>INVTRY_IN_PROGRESS</t>
  </si>
  <si>
    <t xml:space="preserve">    + Work In Process</t>
  </si>
  <si>
    <t>INVTRY_RAW_MATERIALS</t>
  </si>
  <si>
    <t xml:space="preserve">    + Raw Materials</t>
  </si>
  <si>
    <t>BS_INVENTORIES</t>
  </si>
  <si>
    <t xml:space="preserve">  + Inventories</t>
  </si>
  <si>
    <t>BS_UNBILLED_REVENUES</t>
  </si>
  <si>
    <t xml:space="preserve">  + Unbilled Revenues</t>
  </si>
  <si>
    <t>NOTES_RECEIVABLE</t>
  </si>
  <si>
    <t xml:space="preserve">    + Notes Receivable, Net</t>
  </si>
  <si>
    <t>BS_ACCTS_REC_EXCL_NOTES_REC</t>
  </si>
  <si>
    <t xml:space="preserve">    + Accounts Receivable, Net</t>
  </si>
  <si>
    <t>BS_ACCT_NOTE_RCV</t>
  </si>
  <si>
    <t xml:space="preserve">  + Accounts &amp; Notes Receiv</t>
  </si>
  <si>
    <t>BS_MKT_SEC_OTHER_ST_INVEST</t>
  </si>
  <si>
    <t xml:space="preserve">    + ST Investments</t>
  </si>
  <si>
    <t>BS_CASH_NEAR_CASH_ITEM</t>
  </si>
  <si>
    <t xml:space="preserve">    + Cash &amp; Cash Equivalents</t>
  </si>
  <si>
    <t>CASH_CASH_EQTY_STI_DETAILED</t>
  </si>
  <si>
    <t xml:space="preserve">  + Cash, Cash Equivalents &amp; STI</t>
  </si>
  <si>
    <t>03/31/2016</t>
  </si>
  <si>
    <t>03/31/2015</t>
  </si>
  <si>
    <t>03/31/2014</t>
  </si>
  <si>
    <t>FY 2016</t>
  </si>
  <si>
    <t>FY 2015</t>
  </si>
  <si>
    <t>FY 2014</t>
  </si>
  <si>
    <t>Tata Consultancy Services Ltd (TCS IN) - Standardized</t>
  </si>
  <si>
    <t> </t>
  </si>
  <si>
    <t>Cash Flow to Net Income</t>
  </si>
  <si>
    <t>Price to Free Cash Flow</t>
  </si>
  <si>
    <t>Free Cash Flow per Basic Share</t>
  </si>
  <si>
    <t>Free Cash Flow to Equity</t>
  </si>
  <si>
    <t>Free Cash Flow to Firm</t>
  </si>
  <si>
    <t>Free Cash Flow</t>
  </si>
  <si>
    <t>Net Cash Paid for Acquisitions</t>
  </si>
  <si>
    <t>Interest Received</t>
  </si>
  <si>
    <t>Trailing 12M EBITDA Margin</t>
  </si>
  <si>
    <t>Cash Paid for Interest</t>
  </si>
  <si>
    <t>Cash Paid for Taxes</t>
  </si>
  <si>
    <t>Net Changes in Cash</t>
  </si>
  <si>
    <t xml:space="preserve">  Effect of Foreign Exchange Rates</t>
  </si>
  <si>
    <t>Cash from Financing Activities</t>
  </si>
  <si>
    <t xml:space="preserve">  + Net Cash From Disc Ops</t>
  </si>
  <si>
    <t xml:space="preserve">  + Other Financing Activities</t>
  </si>
  <si>
    <t xml:space="preserve">    + Decrease in Capital Stock</t>
  </si>
  <si>
    <t xml:space="preserve">    + Increase in Capital Stock</t>
  </si>
  <si>
    <t xml:space="preserve">  + Cash (Repurchase) of Equity</t>
  </si>
  <si>
    <t xml:space="preserve">    + Repayments of LT Debt</t>
  </si>
  <si>
    <t xml:space="preserve">    + Cash From LT Debt</t>
  </si>
  <si>
    <t xml:space="preserve">    + Cash From (Repay) ST Debt</t>
  </si>
  <si>
    <t xml:space="preserve">  + Cash From (Repayment) Debt</t>
  </si>
  <si>
    <t xml:space="preserve">  + Dividends Paid</t>
  </si>
  <si>
    <t>Cash from Investing Activities</t>
  </si>
  <si>
    <t xml:space="preserve">  + Other Investing Activities</t>
  </si>
  <si>
    <t xml:space="preserve">    + Cash for JVs</t>
  </si>
  <si>
    <t xml:space="preserve">    + Cash for Acq of Subs</t>
  </si>
  <si>
    <t xml:space="preserve">    + Cash from Divestitures</t>
  </si>
  <si>
    <t xml:space="preserve">  + Net Cash From Acq &amp; Div</t>
  </si>
  <si>
    <t xml:space="preserve">    + Inc in LT Investment</t>
  </si>
  <si>
    <t xml:space="preserve">    + Dec in LT Investment</t>
  </si>
  <si>
    <t xml:space="preserve">  + Net Change in LT Investment</t>
  </si>
  <si>
    <t xml:space="preserve">    + Acq of Intangible Assets</t>
  </si>
  <si>
    <t xml:space="preserve">    + Acq of Fixed Prod Assets</t>
  </si>
  <si>
    <t xml:space="preserve">    + Acq of Fixed &amp; Intang</t>
  </si>
  <si>
    <t xml:space="preserve">    + Disp of Intangible Assets</t>
  </si>
  <si>
    <t xml:space="preserve">    + Disp of Fixed Prod Assets</t>
  </si>
  <si>
    <t xml:space="preserve">    + Disp in Fixed &amp; Intang</t>
  </si>
  <si>
    <t xml:space="preserve">  + Change in Fixed &amp; Intang</t>
  </si>
  <si>
    <t>Cash from Operating Activities</t>
  </si>
  <si>
    <t xml:space="preserve">    + Inc (Dec) in Other</t>
  </si>
  <si>
    <t xml:space="preserve">    + Inc (Dec) in Accts Payable</t>
  </si>
  <si>
    <t xml:space="preserve">    + (Inc) Dec in Inventories</t>
  </si>
  <si>
    <t xml:space="preserve">    + (Inc) Dec in Accts Receiv</t>
  </si>
  <si>
    <t xml:space="preserve">  + Chg in Non-Cash Work Cap</t>
  </si>
  <si>
    <t xml:space="preserve">    + Other Non-Cash Adj</t>
  </si>
  <si>
    <t xml:space="preserve">  + Non-Cash Items</t>
  </si>
  <si>
    <t xml:space="preserve">  + Depreciation &amp; Amortization</t>
  </si>
  <si>
    <t xml:space="preserve">  + Net Income</t>
  </si>
  <si>
    <t>EQY_FLOAT</t>
  </si>
  <si>
    <t xml:space="preserve">  Equity Float</t>
  </si>
  <si>
    <t>EQY_SH_OUT</t>
  </si>
  <si>
    <t xml:space="preserve">  Current Shares Outstanding</t>
  </si>
  <si>
    <t>HISTORICAL_MARKET_CAP</t>
  </si>
  <si>
    <t>Market Capitalization</t>
  </si>
  <si>
    <t>PX_LOW</t>
  </si>
  <si>
    <t>Low Price</t>
  </si>
  <si>
    <t>PX_HIGH</t>
  </si>
  <si>
    <t>High Price</t>
  </si>
  <si>
    <t>PX_OPEN</t>
  </si>
  <si>
    <t>Open Price</t>
  </si>
  <si>
    <t>CHG_PCT_PERIOD</t>
  </si>
  <si>
    <t xml:space="preserve">  Period-over-Period % Change</t>
  </si>
  <si>
    <t>PX_LAST</t>
  </si>
  <si>
    <t>Last Price</t>
  </si>
  <si>
    <t>11/01/2023</t>
  </si>
  <si>
    <t>Current</t>
  </si>
  <si>
    <t>Tata Consultancy Services Ltd (TCS IN) - Stock Value</t>
  </si>
  <si>
    <t>(Average 5 year)</t>
  </si>
  <si>
    <t>(Average 5 year )</t>
  </si>
  <si>
    <t>(straight constant since 2020)</t>
  </si>
  <si>
    <t>(Average of 5 year )</t>
  </si>
  <si>
    <t>(straight constant since 2021)</t>
  </si>
  <si>
    <t>Time</t>
  </si>
  <si>
    <t xml:space="preserve">Dividend or terminal value </t>
  </si>
  <si>
    <t xml:space="preserve">growth rate calculation </t>
  </si>
  <si>
    <t>D1</t>
  </si>
  <si>
    <t>D2</t>
  </si>
  <si>
    <t>D3</t>
  </si>
  <si>
    <t>D4</t>
  </si>
  <si>
    <t>D5</t>
  </si>
  <si>
    <t>V5</t>
  </si>
  <si>
    <t>115(1.16)</t>
  </si>
  <si>
    <t>115(1.16)(1.04)</t>
  </si>
  <si>
    <t>115(1.16)(1.04)(1.07)</t>
  </si>
  <si>
    <t>115(1.16)(1.04)(1.07)(1.18)</t>
  </si>
  <si>
    <t>year</t>
  </si>
  <si>
    <t>DPS</t>
  </si>
  <si>
    <t xml:space="preserve">Dividend growth </t>
  </si>
  <si>
    <t xml:space="preserve">No of periods </t>
  </si>
  <si>
    <t xml:space="preserve">dividend growth rate formula </t>
  </si>
  <si>
    <t>(Dn/D0)^1/n-1</t>
  </si>
  <si>
    <t xml:space="preserve">dividend growth rate  </t>
  </si>
  <si>
    <t>-</t>
  </si>
  <si>
    <t xml:space="preserve">GROWTH RATE = (DIVIDEND AT Y1 - DIVIDEND AT Y0)/DIVIDEND AT YO </t>
  </si>
  <si>
    <t xml:space="preserve">Share value </t>
  </si>
  <si>
    <t xml:space="preserve">Liquidity ratios </t>
  </si>
  <si>
    <t xml:space="preserve">Operating cash flow </t>
  </si>
  <si>
    <t>OCF</t>
  </si>
  <si>
    <t>Current Liabilities</t>
  </si>
  <si>
    <t>Current ratio</t>
  </si>
  <si>
    <t>Current assets</t>
  </si>
  <si>
    <t>Quick ratio</t>
  </si>
  <si>
    <t>Current assets-inventories</t>
  </si>
  <si>
    <t xml:space="preserve">Current liabilities </t>
  </si>
  <si>
    <t xml:space="preserve">Working capital to sales </t>
  </si>
  <si>
    <t>Current assets-Current liabilities</t>
  </si>
  <si>
    <t>Sales</t>
  </si>
  <si>
    <t xml:space="preserve">Debtor days </t>
  </si>
  <si>
    <t>Trade receivables*365</t>
  </si>
  <si>
    <t xml:space="preserve">Credit sales revenue </t>
  </si>
  <si>
    <t xml:space="preserve">Creditor days </t>
  </si>
  <si>
    <t>Trade payables*365</t>
  </si>
  <si>
    <t>Credit purchases</t>
  </si>
  <si>
    <t xml:space="preserve">Stock days </t>
  </si>
  <si>
    <t>closing inventory *365</t>
  </si>
  <si>
    <t xml:space="preserve">COGS </t>
  </si>
  <si>
    <t>Geraring ratios</t>
  </si>
  <si>
    <t xml:space="preserve">Debt to eqiuity </t>
  </si>
  <si>
    <t>Long term debt *100</t>
  </si>
  <si>
    <t xml:space="preserve">Total equity </t>
  </si>
  <si>
    <t xml:space="preserve">Borrowing ratio </t>
  </si>
  <si>
    <t>Short term debt + Long term debt *100</t>
  </si>
  <si>
    <t xml:space="preserve">Short term debt + Long term debt + Total equity </t>
  </si>
  <si>
    <t xml:space="preserve">Gearing ratio </t>
  </si>
  <si>
    <t>Non current liabilities *100</t>
  </si>
  <si>
    <t xml:space="preserve">Total equity + Non current liabilities </t>
  </si>
  <si>
    <t>Interest cover (GAAP)</t>
  </si>
  <si>
    <t xml:space="preserve">Profit before interest and taxation </t>
  </si>
  <si>
    <t xml:space="preserve">Finance cost ( interest expense) </t>
  </si>
  <si>
    <t>Main efficiency ratio</t>
  </si>
  <si>
    <t xml:space="preserve">Sales to capital employed </t>
  </si>
  <si>
    <t xml:space="preserve">Sales </t>
  </si>
  <si>
    <t xml:space="preserve">Total Equity + Long term debt </t>
  </si>
  <si>
    <t xml:space="preserve">Total sales turnover </t>
  </si>
  <si>
    <t xml:space="preserve">Total assets </t>
  </si>
  <si>
    <t xml:space="preserve">Fixed asset turnover </t>
  </si>
  <si>
    <t xml:space="preserve">Fixed assets </t>
  </si>
  <si>
    <t xml:space="preserve">Profitability ratios </t>
  </si>
  <si>
    <t xml:space="preserve">Gross profit margin </t>
  </si>
  <si>
    <t xml:space="preserve">Gross profit </t>
  </si>
  <si>
    <t xml:space="preserve">Net profit </t>
  </si>
  <si>
    <t xml:space="preserve">Net profit margin </t>
  </si>
  <si>
    <t xml:space="preserve">EBIT Margin </t>
  </si>
  <si>
    <t xml:space="preserve">Profit before interest and tax </t>
  </si>
  <si>
    <t xml:space="preserve">Return on capital employed </t>
  </si>
  <si>
    <t>total equity + long term borrowings</t>
  </si>
  <si>
    <t xml:space="preserve">Return on equity </t>
  </si>
  <si>
    <t xml:space="preserve">Investor related ratios </t>
  </si>
  <si>
    <t xml:space="preserve">Dividend Yield </t>
  </si>
  <si>
    <t xml:space="preserve">Dividend per share </t>
  </si>
  <si>
    <t xml:space="preserve">Market price per share </t>
  </si>
  <si>
    <t xml:space="preserve">Dividend payout ratio </t>
  </si>
  <si>
    <t xml:space="preserve">Dividends paid and declared </t>
  </si>
  <si>
    <t xml:space="preserve">Price earnings Ratio </t>
  </si>
  <si>
    <t xml:space="preserve">Earnings per share (EPS) </t>
  </si>
  <si>
    <t>Market to book Ratio</t>
  </si>
  <si>
    <t>Market Capitalisation</t>
  </si>
  <si>
    <t>FY2022</t>
  </si>
  <si>
    <t>FY2023</t>
  </si>
  <si>
    <t xml:space="preserve">TATA CONSULTANCY SERVICES </t>
  </si>
  <si>
    <t xml:space="preserve">TCS </t>
  </si>
  <si>
    <t xml:space="preserve">Mean </t>
  </si>
  <si>
    <t xml:space="preserve">TCS Ratio </t>
  </si>
  <si>
    <t xml:space="preserve">TCS financial data </t>
  </si>
  <si>
    <t xml:space="preserve">Multiple Model  </t>
  </si>
  <si>
    <t>Market price/ sales</t>
  </si>
  <si>
    <t>P/E</t>
  </si>
  <si>
    <t xml:space="preserve">Value of equity </t>
  </si>
  <si>
    <t xml:space="preserve">Stock price value </t>
  </si>
  <si>
    <t xml:space="preserve">Mean market capitalisation </t>
  </si>
  <si>
    <t>Value ( market to book ratio )</t>
  </si>
  <si>
    <t>(This is for rough work )</t>
  </si>
  <si>
    <r>
      <t xml:space="preserve">      </t>
    </r>
    <r>
      <rPr>
        <b/>
        <sz val="12"/>
        <color rgb="FF9C5700"/>
        <rFont val="Calibri"/>
        <family val="2"/>
        <scheme val="minor"/>
      </rPr>
      <t xml:space="preserve">      competitor </t>
    </r>
  </si>
  <si>
    <t xml:space="preserve">FY2022 </t>
  </si>
  <si>
    <t xml:space="preserve">Infosys </t>
  </si>
  <si>
    <t xml:space="preserve">HCL tech </t>
  </si>
  <si>
    <t>Wipro</t>
  </si>
  <si>
    <t>Capgemini</t>
  </si>
  <si>
    <t xml:space="preserve">cognizant </t>
  </si>
  <si>
    <t>COMPETITORS</t>
  </si>
  <si>
    <t xml:space="preserve">** FY 23 is regardes as the fiscal year for both HCL tech and Capgemini, as their financial cycle spans from april to march. </t>
  </si>
  <si>
    <t>**competitor's data is solely utilized for ratio calculation and analysis  **</t>
  </si>
  <si>
    <t xml:space="preserve">Revenue by category </t>
  </si>
  <si>
    <t>(** TCS provides a comprehensive range of services encompassing IT, BPS, Infrastructure, engineering, and assurance all guided by a consulting approch **)</t>
  </si>
  <si>
    <t>Banking, Financial Services &amp; Insurance</t>
  </si>
  <si>
    <t xml:space="preserve">Communication Media &amp; Technology </t>
  </si>
  <si>
    <t>Retail &amp; Consumer Business</t>
  </si>
  <si>
    <t>Manufacturing</t>
  </si>
  <si>
    <t>Others</t>
  </si>
  <si>
    <t xml:space="preserve">operating profit </t>
  </si>
  <si>
    <t>products</t>
  </si>
  <si>
    <t>others</t>
  </si>
  <si>
    <t xml:space="preserve">TOTAL </t>
  </si>
  <si>
    <t xml:space="preserve">amount </t>
  </si>
  <si>
    <t>Americas</t>
  </si>
  <si>
    <t>Europe</t>
  </si>
  <si>
    <t>India</t>
  </si>
  <si>
    <t xml:space="preserve">Asia pacific </t>
  </si>
  <si>
    <t xml:space="preserve">Middle east &amp; Africa </t>
  </si>
  <si>
    <t xml:space="preserve">Total net sales </t>
  </si>
  <si>
    <t xml:space="preserve">( Source : Bloomberg ) </t>
  </si>
  <si>
    <t>Net sales by geographical segment</t>
  </si>
  <si>
    <t>Calculating Required Rate of Return ® (june-2024)</t>
  </si>
  <si>
    <t xml:space="preserve">beta </t>
  </si>
  <si>
    <t xml:space="preserve">market return </t>
  </si>
  <si>
    <t>Number of shares (june-2024)</t>
  </si>
  <si>
    <t xml:space="preserve">ind average </t>
  </si>
  <si>
    <t xml:space="preserve">Target Price </t>
  </si>
  <si>
    <t xml:space="preserve">DDM </t>
  </si>
  <si>
    <t xml:space="preserve">PRICE MULTIPLE </t>
  </si>
  <si>
    <t>115(1.16)(1.04)(1.07)(1.18)(1.04)</t>
  </si>
  <si>
    <t>115(1.16)(1.04)(1.07)(1.18)(1.04)/(0.1-0.07)</t>
  </si>
  <si>
    <t>present values (discounted rate 10%)</t>
  </si>
  <si>
    <t xml:space="preserve">Target price calculation </t>
  </si>
  <si>
    <t xml:space="preserve">HCL Tech </t>
  </si>
  <si>
    <t xml:space="preserve">Wipro </t>
  </si>
  <si>
    <t>Estimation</t>
  </si>
  <si>
    <t>DDM</t>
  </si>
  <si>
    <t>Multiples</t>
  </si>
  <si>
    <t>Target Price</t>
  </si>
  <si>
    <t>Trading Price(21/6/2024)</t>
  </si>
  <si>
    <t>Difference</t>
  </si>
  <si>
    <t xml:space="preserve">                                                                                                                                                        (**Apart from the three intermediate dividends of 8, TCS announced a special dividend of 67 per share. The total dividend per share was 115 when this was added to the  finaldividend of 24 A total of 42,079 crore was distributed to shareholders during the year.**)                                                                                                                                                      (**The largest long-term savings and retirements provider in the UK, Phoenix Group, and TCS have extended their cooperation to use the TCS BaNCSTM based digital platform to digitally transform Phoenix Group's ReAssure business. This will entail managing the three million policies held by the insurer. Phoenix Group will be able to increase synergies and enhance the client experience by utilizing the TCS platform.**)
</t>
  </si>
  <si>
    <t xml:space="preserve">                                                                                                                                                                    Revenue performance of the company: Consolidated revenue in FY 2023 was 22.25 trillion, a 17.6% increase from 19.32 trillion the year before. In FY 2023, the profit after taxes was 342.30 trillion, while in FY 2022, it was 238.45 trillion. PAT attributable to shareholders increased by 10% to $242.15 trillion in FY 2023 from $219.75 trillion in FY 2022.FY 2023 saw a 10% growth from FY 2022's 219.75 trillion to 242.15 trillion. Revenue for FY 2023 was 71.90 trillion on a stand-alone basis, increasing 18.7% from FY 2022's 60.34 trillion. In FY 2023, the profit after tax attributable to shareholders (PAT) increased by 2.4% to 39.11 trillion from FY 2022's 38.19 trillion. Details about each reportable segment's revenue and expenses are provided. Expenses that aren't directly related to a certain section are distributed according to related labor or revenue.  Unallocable expenses are those that remain after being linked or assigned to a segment.
</t>
  </si>
  <si>
    <t xml:space="preserve">dividend paid for the fiscal year ending March 31, 2023, consisted of 91 per equity share for interim dividends (including special dividends) for the fiscal year ending March 31, 2023, and 22 per equity share for the final dividend of the previous fiscal year (ending March 31, 2022).Dividends for the prior fiscal year's final dividend (ending March 31, 2021) were $15 per equity share, and interim dividends for the fiscal year ending March 31, 2022 were &lt;21 per equity share. Dividend announcements from the corporation are determined by available profits. The Board of Directors suggested a final dividend of twenty-four dollars per share on April 12, 2023, for the fiscal year that ends on March 31, 2023, subject to shareholder approval at the Annual General Meeting.                           </t>
  </si>
  <si>
    <t xml:space="preserve">** Hear I took 7% growth rate. I mentioned reason in word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</si>
</sst>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_);\(0\)"/>
    <numFmt numFmtId="167" formatCode="#,##0.0"/>
    <numFmt numFmtId="168" formatCode="#,##0.0000000000000"/>
    <numFmt numFmtId="169" formatCode="#,##0.0000000000000000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sz val="14"/>
      <name val="Arial"/>
      <family val="2"/>
    </font>
    <font>
      <sz val="10"/>
      <name val="Arial"/>
      <family val="2"/>
    </font>
    <font>
      <b/>
      <sz val="10"/>
      <name val="Arial"/>
      <family val="2"/>
    </font>
    <font>
      <b/>
      <sz val="10"/>
      <color indexed="12"/>
      <name val="Arial"/>
      <family val="2"/>
    </font>
    <font>
      <b/>
      <sz val="12"/>
      <name val="Arial"/>
      <family val="2"/>
    </font>
    <font>
      <sz val="11"/>
      <color rgb="FF006100"/>
      <name val="Calibri"/>
      <family val="2"/>
      <scheme val="minor"/>
    </font>
    <font>
      <sz val="11"/>
      <color rgb="FF9C5700"/>
      <name val="Calibri"/>
      <family val="2"/>
      <scheme val="minor"/>
    </font>
    <font>
      <i/>
      <sz val="10"/>
      <color indexed="8"/>
      <name val="Arial"/>
      <family val="2"/>
    </font>
    <font>
      <sz val="10"/>
      <color indexed="8"/>
      <name val="Arial"/>
      <family val="2"/>
    </font>
    <font>
      <sz val="10"/>
      <color indexed="63"/>
      <name val="Arial"/>
      <family val="2"/>
    </font>
    <font>
      <b/>
      <sz val="10"/>
      <color indexed="8"/>
      <name val="Arial"/>
      <family val="2"/>
    </font>
    <font>
      <i/>
      <sz val="10"/>
      <color indexed="63"/>
      <name val="Arial"/>
      <family val="2"/>
    </font>
    <font>
      <b/>
      <sz val="10"/>
      <color indexed="9"/>
      <name val="Arial"/>
      <family val="2"/>
    </font>
    <font>
      <sz val="10"/>
      <name val="Calibri"/>
      <family val="2"/>
    </font>
    <font>
      <b/>
      <sz val="16"/>
      <color indexed="9"/>
      <name val="Arial"/>
      <family val="2"/>
    </font>
    <font>
      <b/>
      <sz val="11"/>
      <color indexed="9"/>
      <name val="Calibri"/>
      <family val="2"/>
    </font>
    <font>
      <i/>
      <sz val="10"/>
      <color rgb="FF000000"/>
      <name val="Arial"/>
      <family val="2"/>
    </font>
    <font>
      <sz val="10"/>
      <color rgb="FF000000"/>
      <name val="Arial"/>
      <family val="2"/>
    </font>
    <font>
      <sz val="10"/>
      <color rgb="FF333333"/>
      <name val="Arial"/>
      <family val="2"/>
    </font>
    <font>
      <b/>
      <sz val="10"/>
      <color rgb="FF000000"/>
      <name val="Arial"/>
      <family val="2"/>
    </font>
    <font>
      <i/>
      <sz val="10"/>
      <color rgb="FF333333"/>
      <name val="Arial"/>
      <family val="2"/>
    </font>
    <font>
      <b/>
      <sz val="10"/>
      <color rgb="FFFFFFFF"/>
      <name val="Arial"/>
      <family val="2"/>
    </font>
    <font>
      <b/>
      <sz val="16"/>
      <color rgb="FFFFFFFF"/>
      <name val="Arial"/>
      <family val="2"/>
    </font>
    <font>
      <b/>
      <sz val="11"/>
      <color rgb="FFFFFFFF"/>
      <name val="Calibri"/>
      <family val="2"/>
    </font>
    <font>
      <sz val="20"/>
      <color rgb="FF006100"/>
      <name val="Calibri"/>
      <family val="2"/>
      <scheme val="minor"/>
    </font>
    <font>
      <b/>
      <sz val="20"/>
      <color rgb="FF006100"/>
      <name val="Calibri"/>
      <family val="2"/>
      <scheme val="minor"/>
    </font>
    <font>
      <sz val="18"/>
      <color theme="1"/>
      <name val="Calibri"/>
      <family val="2"/>
      <scheme val="minor"/>
    </font>
    <font>
      <sz val="14"/>
      <name val="Arial"/>
      <family val="2"/>
    </font>
    <font>
      <b/>
      <sz val="11"/>
      <color rgb="FF9C5700"/>
      <name val="Calibri"/>
      <family val="2"/>
      <scheme val="minor"/>
    </font>
    <font>
      <b/>
      <sz val="12"/>
      <color rgb="FF9C5700"/>
      <name val="Calibri"/>
      <family val="2"/>
      <scheme val="minor"/>
    </font>
    <font>
      <b/>
      <sz val="16"/>
      <name val="Arial"/>
      <family val="2"/>
    </font>
    <font>
      <b/>
      <sz val="11"/>
      <color theme="1"/>
      <name val="Calibri"/>
      <family val="2"/>
      <scheme val="minor"/>
    </font>
    <font>
      <sz val="11"/>
      <color theme="0"/>
      <name val="Calibri"/>
      <family val="2"/>
      <scheme val="minor"/>
    </font>
    <font>
      <sz val="12"/>
      <color theme="0"/>
      <name val="Calibri"/>
      <family val="2"/>
      <scheme val="minor"/>
    </font>
    <font>
      <sz val="10"/>
      <color theme="1"/>
      <name val="Calibri"/>
      <family val="2"/>
      <scheme val="minor"/>
    </font>
    <font>
      <b/>
      <sz val="14"/>
      <color theme="1"/>
      <name val="Calibri"/>
      <family val="2"/>
      <scheme val="minor"/>
    </font>
    <font>
      <b/>
      <sz val="14"/>
      <color rgb="FFFF0000"/>
      <name val="Calibri"/>
      <family val="2"/>
      <scheme val="minor"/>
    </font>
    <font>
      <b/>
      <sz val="12"/>
      <color theme="1"/>
      <name val="Calibri"/>
      <family val="2"/>
      <scheme val="minor"/>
    </font>
    <font>
      <sz val="10"/>
      <color theme="3" tint="-0.249977111117893"/>
      <name val="Arial"/>
      <family val="2"/>
    </font>
    <font>
      <sz val="10"/>
      <name val="Arial"/>
    </font>
    <font>
      <sz val="11"/>
      <color rgb="FFFF0000"/>
      <name val="Calibri"/>
      <family val="2"/>
      <scheme val="minor"/>
    </font>
    <font>
      <b/>
      <sz val="10"/>
      <color theme="1"/>
      <name val="Arial"/>
      <family val="2"/>
    </font>
  </fonts>
  <fills count="21">
    <fill>
      <patternFill patternType="none"/>
    </fill>
    <fill>
      <patternFill patternType="gray125"/>
    </fill>
    <fill>
      <patternFill patternType="solid">
        <fgColor theme="6" tint="0.39997558519241921"/>
        <bgColor indexed="64"/>
      </patternFill>
    </fill>
    <fill>
      <patternFill patternType="solid">
        <fgColor rgb="FFC6EFCE"/>
      </patternFill>
    </fill>
    <fill>
      <patternFill patternType="solid">
        <fgColor rgb="FFFFEB9C"/>
      </patternFill>
    </fill>
    <fill>
      <patternFill patternType="solid">
        <fgColor theme="5" tint="0.79998168889431442"/>
        <bgColor indexed="65"/>
      </patternFill>
    </fill>
    <fill>
      <patternFill patternType="solid">
        <fgColor rgb="FFF2F2F2"/>
        <bgColor indexed="64"/>
      </patternFill>
    </fill>
    <fill>
      <patternFill patternType="solid">
        <fgColor rgb="FFFFFFFF"/>
        <bgColor indexed="64"/>
      </patternFill>
    </fill>
    <fill>
      <patternFill patternType="solid">
        <fgColor rgb="FFD8D8D8"/>
        <bgColor indexed="64"/>
      </patternFill>
    </fill>
    <fill>
      <patternFill patternType="solid">
        <fgColor rgb="FF4F81BD"/>
        <bgColor indexed="64"/>
      </patternFill>
    </fill>
    <fill>
      <patternFill patternType="solid">
        <fgColor rgb="FFF2F2F2"/>
        <bgColor rgb="FF000000"/>
      </patternFill>
    </fill>
    <fill>
      <patternFill patternType="solid">
        <fgColor rgb="FFD8D8D8"/>
        <bgColor rgb="FF000000"/>
      </patternFill>
    </fill>
    <fill>
      <patternFill patternType="solid">
        <fgColor rgb="FFFFFFFF"/>
        <bgColor rgb="FF000000"/>
      </patternFill>
    </fill>
    <fill>
      <patternFill patternType="solid">
        <fgColor rgb="FF4F81BD"/>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4" tint="0.79998168889431442"/>
        <bgColor indexed="65"/>
      </patternFill>
    </fill>
    <fill>
      <patternFill patternType="solid">
        <fgColor theme="7"/>
      </patternFill>
    </fill>
    <fill>
      <patternFill patternType="solid">
        <fgColor theme="4" tint="0.59999389629810485"/>
        <bgColor indexed="64"/>
      </patternFill>
    </fill>
    <fill>
      <patternFill patternType="solid">
        <fgColor rgb="FFFFC000"/>
        <bgColor indexed="64"/>
      </patternFill>
    </fill>
    <fill>
      <patternFill patternType="solid">
        <fgColor rgb="FFFFFFCC"/>
      </patternFill>
    </fill>
  </fills>
  <borders count="13">
    <border>
      <left/>
      <right/>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style="thin">
        <color rgb="FFB2B2B2"/>
      </right>
      <top/>
      <bottom/>
      <diagonal/>
    </border>
  </borders>
  <cellStyleXfs count="38">
    <xf numFmtId="0" fontId="0" fillId="0" borderId="0"/>
    <xf numFmtId="164" fontId="9" fillId="0" borderId="0" applyFont="0" applyFill="0" applyBorder="0" applyAlignment="0" applyProtection="0"/>
    <xf numFmtId="9" fontId="9" fillId="0" borderId="0" applyFon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7" fillId="5" borderId="0" applyNumberFormat="0" applyBorder="0" applyAlignment="0" applyProtection="0"/>
    <xf numFmtId="0" fontId="7" fillId="0" borderId="0"/>
    <xf numFmtId="0" fontId="17" fillId="6" borderId="1" applyNumberFormat="0" applyAlignment="0" applyProtection="0"/>
    <xf numFmtId="167" fontId="18" fillId="7" borderId="2">
      <alignment horizontal="right"/>
    </xf>
    <xf numFmtId="167" fontId="18" fillId="8" borderId="2">
      <alignment horizontal="right"/>
    </xf>
    <xf numFmtId="0" fontId="19" fillId="7" borderId="3"/>
    <xf numFmtId="4" fontId="18" fillId="7" borderId="2">
      <alignment horizontal="right"/>
    </xf>
    <xf numFmtId="4" fontId="18" fillId="8" borderId="2">
      <alignment horizontal="right"/>
    </xf>
    <xf numFmtId="3" fontId="18" fillId="7" borderId="2">
      <alignment horizontal="right"/>
    </xf>
    <xf numFmtId="3" fontId="18" fillId="8" borderId="2">
      <alignment horizontal="right"/>
    </xf>
    <xf numFmtId="3" fontId="20" fillId="7" borderId="2">
      <alignment horizontal="right"/>
    </xf>
    <xf numFmtId="3" fontId="20" fillId="8" borderId="2">
      <alignment horizontal="right"/>
    </xf>
    <xf numFmtId="0" fontId="20" fillId="7" borderId="3"/>
    <xf numFmtId="4" fontId="20" fillId="7" borderId="2">
      <alignment horizontal="right"/>
    </xf>
    <xf numFmtId="4" fontId="20" fillId="8" borderId="2">
      <alignment horizontal="right"/>
    </xf>
    <xf numFmtId="167" fontId="20" fillId="7" borderId="2">
      <alignment horizontal="right"/>
    </xf>
    <xf numFmtId="167" fontId="20" fillId="8" borderId="2">
      <alignment horizontal="right"/>
    </xf>
    <xf numFmtId="167" fontId="17" fillId="7" borderId="2">
      <alignment horizontal="right"/>
    </xf>
    <xf numFmtId="167" fontId="17" fillId="8" borderId="2">
      <alignment horizontal="right"/>
    </xf>
    <xf numFmtId="0" fontId="21" fillId="7" borderId="3"/>
    <xf numFmtId="0" fontId="22" fillId="9" borderId="4">
      <alignment horizontal="right"/>
    </xf>
    <xf numFmtId="0" fontId="22" fillId="9" borderId="4">
      <alignment horizontal="left"/>
    </xf>
    <xf numFmtId="0" fontId="22" fillId="9" borderId="5">
      <alignment horizontal="right"/>
    </xf>
    <xf numFmtId="0" fontId="22" fillId="9" borderId="5">
      <alignment horizontal="left"/>
    </xf>
    <xf numFmtId="0" fontId="23" fillId="7" borderId="0" applyNumberFormat="0" applyBorder="0" applyProtection="0">
      <alignment horizontal="center"/>
    </xf>
    <xf numFmtId="0" fontId="24" fillId="9" borderId="6" applyNumberFormat="0" applyProtection="0">
      <alignment horizontal="left" vertical="center" readingOrder="1"/>
    </xf>
    <xf numFmtId="0" fontId="25" fillId="9" borderId="0"/>
    <xf numFmtId="4" fontId="17" fillId="8" borderId="2">
      <alignment horizontal="right"/>
    </xf>
    <xf numFmtId="4" fontId="17" fillId="7" borderId="2">
      <alignment horizontal="right"/>
    </xf>
    <xf numFmtId="0" fontId="5" fillId="16" borderId="0" applyNumberFormat="0" applyBorder="0" applyAlignment="0" applyProtection="0"/>
    <xf numFmtId="0" fontId="42" fillId="17" borderId="0" applyNumberFormat="0" applyBorder="0" applyAlignment="0" applyProtection="0"/>
    <xf numFmtId="0" fontId="50" fillId="0" borderId="0" applyNumberFormat="0" applyFill="0" applyBorder="0" applyAlignment="0" applyProtection="0"/>
    <xf numFmtId="0" fontId="49" fillId="20" borderId="11" applyNumberFormat="0" applyFont="0" applyAlignment="0" applyProtection="0"/>
  </cellStyleXfs>
  <cellXfs count="137">
    <xf numFmtId="0" fontId="0" fillId="0" borderId="0" xfId="0"/>
    <xf numFmtId="0" fontId="8" fillId="0" borderId="0" xfId="0" applyFont="1"/>
    <xf numFmtId="165" fontId="0" fillId="0" borderId="0" xfId="1" applyNumberFormat="1" applyFont="1"/>
    <xf numFmtId="3" fontId="0" fillId="0" borderId="0" xfId="0" applyNumberFormat="1"/>
    <xf numFmtId="0" fontId="0" fillId="0" borderId="0" xfId="0" applyAlignment="1">
      <alignment horizontal="centerContinuous"/>
    </xf>
    <xf numFmtId="0" fontId="11" fillId="0" borderId="0" xfId="0" applyFont="1"/>
    <xf numFmtId="0" fontId="8" fillId="0" borderId="0" xfId="0" applyFont="1" applyAlignment="1">
      <alignment horizontal="center"/>
    </xf>
    <xf numFmtId="166" fontId="8" fillId="0" borderId="0" xfId="0" applyNumberFormat="1" applyFont="1"/>
    <xf numFmtId="166" fontId="8" fillId="0" borderId="0" xfId="0" applyNumberFormat="1" applyFont="1" applyAlignment="1">
      <alignment horizontal="center"/>
    </xf>
    <xf numFmtId="166" fontId="12" fillId="0" borderId="0" xfId="0" applyNumberFormat="1" applyFont="1"/>
    <xf numFmtId="166" fontId="0" fillId="0" borderId="0" xfId="0" applyNumberFormat="1"/>
    <xf numFmtId="3" fontId="0" fillId="0" borderId="0" xfId="0" quotePrefix="1" applyNumberFormat="1"/>
    <xf numFmtId="0" fontId="10" fillId="0" borderId="0" xfId="0" applyFont="1"/>
    <xf numFmtId="165" fontId="0" fillId="0" borderId="0" xfId="0" applyNumberFormat="1"/>
    <xf numFmtId="165" fontId="11" fillId="0" borderId="0" xfId="1" applyNumberFormat="1" applyFont="1"/>
    <xf numFmtId="0" fontId="10" fillId="0" borderId="0" xfId="0" applyFont="1" applyAlignment="1">
      <alignment horizontal="left"/>
    </xf>
    <xf numFmtId="0" fontId="13" fillId="0" borderId="0" xfId="0" applyFont="1"/>
    <xf numFmtId="0" fontId="12" fillId="0" borderId="0" xfId="0" applyFont="1"/>
    <xf numFmtId="9" fontId="0" fillId="2" borderId="0" xfId="0" applyNumberFormat="1" applyFill="1"/>
    <xf numFmtId="0" fontId="0" fillId="2" borderId="0" xfId="0" applyFill="1"/>
    <xf numFmtId="10" fontId="0" fillId="2" borderId="0" xfId="0" applyNumberFormat="1" applyFill="1"/>
    <xf numFmtId="0" fontId="11" fillId="2" borderId="0" xfId="0" applyFont="1" applyFill="1"/>
    <xf numFmtId="9" fontId="11" fillId="2" borderId="0" xfId="0" applyNumberFormat="1" applyFont="1" applyFill="1"/>
    <xf numFmtId="9" fontId="0" fillId="2" borderId="0" xfId="2" applyFont="1" applyFill="1"/>
    <xf numFmtId="3" fontId="12" fillId="0" borderId="0" xfId="0" applyNumberFormat="1" applyFont="1"/>
    <xf numFmtId="0" fontId="9" fillId="0" borderId="0" xfId="0" applyFont="1"/>
    <xf numFmtId="9" fontId="0" fillId="0" borderId="0" xfId="0" applyNumberFormat="1"/>
    <xf numFmtId="0" fontId="7" fillId="0" borderId="0" xfId="6"/>
    <xf numFmtId="9" fontId="7" fillId="0" borderId="0" xfId="6" applyNumberFormat="1"/>
    <xf numFmtId="0" fontId="17" fillId="6" borderId="1" xfId="7"/>
    <xf numFmtId="167" fontId="18" fillId="7" borderId="2" xfId="8">
      <alignment horizontal="right"/>
    </xf>
    <xf numFmtId="167" fontId="18" fillId="8" borderId="2" xfId="9">
      <alignment horizontal="right"/>
    </xf>
    <xf numFmtId="0" fontId="19" fillId="7" borderId="3" xfId="10"/>
    <xf numFmtId="4" fontId="18" fillId="7" borderId="2" xfId="11">
      <alignment horizontal="right"/>
    </xf>
    <xf numFmtId="4" fontId="18" fillId="8" borderId="2" xfId="12">
      <alignment horizontal="right"/>
    </xf>
    <xf numFmtId="3" fontId="18" fillId="7" borderId="2" xfId="13">
      <alignment horizontal="right"/>
    </xf>
    <xf numFmtId="3" fontId="18" fillId="8" borderId="2" xfId="14">
      <alignment horizontal="right"/>
    </xf>
    <xf numFmtId="3" fontId="20" fillId="7" borderId="2" xfId="15">
      <alignment horizontal="right"/>
    </xf>
    <xf numFmtId="3" fontId="20" fillId="8" borderId="2" xfId="16">
      <alignment horizontal="right"/>
    </xf>
    <xf numFmtId="0" fontId="20" fillId="7" borderId="3" xfId="17"/>
    <xf numFmtId="4" fontId="20" fillId="7" borderId="2" xfId="18">
      <alignment horizontal="right"/>
    </xf>
    <xf numFmtId="4" fontId="20" fillId="8" borderId="2" xfId="19">
      <alignment horizontal="right"/>
    </xf>
    <xf numFmtId="167" fontId="20" fillId="7" borderId="2" xfId="20">
      <alignment horizontal="right"/>
    </xf>
    <xf numFmtId="167" fontId="20" fillId="8" borderId="2" xfId="21">
      <alignment horizontal="right"/>
    </xf>
    <xf numFmtId="167" fontId="17" fillId="7" borderId="2" xfId="22">
      <alignment horizontal="right"/>
    </xf>
    <xf numFmtId="167" fontId="17" fillId="8" borderId="2" xfId="23">
      <alignment horizontal="right"/>
    </xf>
    <xf numFmtId="0" fontId="21" fillId="7" borderId="3" xfId="24"/>
    <xf numFmtId="167" fontId="7" fillId="0" borderId="0" xfId="6" applyNumberFormat="1"/>
    <xf numFmtId="0" fontId="22" fillId="9" borderId="4" xfId="25">
      <alignment horizontal="right"/>
    </xf>
    <xf numFmtId="0" fontId="22" fillId="9" borderId="4" xfId="26">
      <alignment horizontal="left"/>
    </xf>
    <xf numFmtId="0" fontId="22" fillId="9" borderId="5" xfId="27">
      <alignment horizontal="right"/>
    </xf>
    <xf numFmtId="0" fontId="22" fillId="9" borderId="5" xfId="28">
      <alignment horizontal="left"/>
    </xf>
    <xf numFmtId="0" fontId="23" fillId="7" borderId="0" xfId="29">
      <alignment horizontal="center"/>
    </xf>
    <xf numFmtId="0" fontId="24" fillId="9" borderId="6" xfId="30">
      <alignment horizontal="left" vertical="center" readingOrder="1"/>
    </xf>
    <xf numFmtId="0" fontId="25" fillId="9" borderId="0" xfId="31"/>
    <xf numFmtId="0" fontId="26" fillId="10" borderId="1" xfId="6" applyFont="1" applyFill="1" applyBorder="1"/>
    <xf numFmtId="0" fontId="26" fillId="10" borderId="0" xfId="6" applyFont="1" applyFill="1"/>
    <xf numFmtId="0" fontId="27" fillId="11" borderId="7" xfId="6" applyFont="1" applyFill="1" applyBorder="1"/>
    <xf numFmtId="0" fontId="27" fillId="12" borderId="7" xfId="6" applyFont="1" applyFill="1" applyBorder="1"/>
    <xf numFmtId="0" fontId="27" fillId="12" borderId="2" xfId="6" applyFont="1" applyFill="1" applyBorder="1"/>
    <xf numFmtId="0" fontId="28" fillId="12" borderId="3" xfId="6" applyFont="1" applyFill="1" applyBorder="1"/>
    <xf numFmtId="4" fontId="27" fillId="11" borderId="7" xfId="6" applyNumberFormat="1" applyFont="1" applyFill="1" applyBorder="1"/>
    <xf numFmtId="4" fontId="27" fillId="12" borderId="7" xfId="6" applyNumberFormat="1" applyFont="1" applyFill="1" applyBorder="1"/>
    <xf numFmtId="4" fontId="27" fillId="12" borderId="2" xfId="6" applyNumberFormat="1" applyFont="1" applyFill="1" applyBorder="1"/>
    <xf numFmtId="0" fontId="29" fillId="11" borderId="7" xfId="6" applyFont="1" applyFill="1" applyBorder="1"/>
    <xf numFmtId="0" fontId="29" fillId="12" borderId="7" xfId="6" applyFont="1" applyFill="1" applyBorder="1"/>
    <xf numFmtId="0" fontId="29" fillId="12" borderId="3" xfId="6" applyFont="1" applyFill="1" applyBorder="1"/>
    <xf numFmtId="4" fontId="29" fillId="11" borderId="7" xfId="6" applyNumberFormat="1" applyFont="1" applyFill="1" applyBorder="1"/>
    <xf numFmtId="4" fontId="29" fillId="12" borderId="7" xfId="6" applyNumberFormat="1" applyFont="1" applyFill="1" applyBorder="1"/>
    <xf numFmtId="4" fontId="29" fillId="12" borderId="2" xfId="6" applyNumberFormat="1" applyFont="1" applyFill="1" applyBorder="1"/>
    <xf numFmtId="4" fontId="26" fillId="11" borderId="7" xfId="6" applyNumberFormat="1" applyFont="1" applyFill="1" applyBorder="1"/>
    <xf numFmtId="4" fontId="26" fillId="12" borderId="7" xfId="6" applyNumberFormat="1" applyFont="1" applyFill="1" applyBorder="1"/>
    <xf numFmtId="0" fontId="26" fillId="12" borderId="7" xfId="6" applyFont="1" applyFill="1" applyBorder="1"/>
    <xf numFmtId="0" fontId="26" fillId="12" borderId="2" xfId="6" applyFont="1" applyFill="1" applyBorder="1"/>
    <xf numFmtId="0" fontId="30" fillId="12" borderId="3" xfId="6" applyFont="1" applyFill="1" applyBorder="1"/>
    <xf numFmtId="4" fontId="26" fillId="12" borderId="2" xfId="6" applyNumberFormat="1" applyFont="1" applyFill="1" applyBorder="1"/>
    <xf numFmtId="0" fontId="26" fillId="11" borderId="7" xfId="6" applyFont="1" applyFill="1" applyBorder="1"/>
    <xf numFmtId="14" fontId="31" fillId="13" borderId="8" xfId="6" applyNumberFormat="1" applyFont="1" applyFill="1" applyBorder="1"/>
    <xf numFmtId="0" fontId="31" fillId="13" borderId="4" xfId="6" applyFont="1" applyFill="1" applyBorder="1"/>
    <xf numFmtId="0" fontId="31" fillId="13" borderId="9" xfId="6" applyFont="1" applyFill="1" applyBorder="1"/>
    <xf numFmtId="0" fontId="31" fillId="13" borderId="5" xfId="6" applyFont="1" applyFill="1" applyBorder="1"/>
    <xf numFmtId="0" fontId="23" fillId="12" borderId="0" xfId="6" applyFont="1" applyFill="1"/>
    <xf numFmtId="0" fontId="32" fillId="13" borderId="6" xfId="6" applyFont="1" applyFill="1" applyBorder="1" applyAlignment="1">
      <alignment readingOrder="1"/>
    </xf>
    <xf numFmtId="0" fontId="32" fillId="13" borderId="0" xfId="6" applyFont="1" applyFill="1" applyAlignment="1">
      <alignment readingOrder="1"/>
    </xf>
    <xf numFmtId="0" fontId="33" fillId="13" borderId="0" xfId="6" applyFont="1" applyFill="1"/>
    <xf numFmtId="4" fontId="17" fillId="8" borderId="2" xfId="32">
      <alignment horizontal="right"/>
    </xf>
    <xf numFmtId="4" fontId="17" fillId="7" borderId="2" xfId="33">
      <alignment horizontal="right"/>
    </xf>
    <xf numFmtId="0" fontId="7" fillId="14" borderId="0" xfId="6" applyFill="1"/>
    <xf numFmtId="4" fontId="7" fillId="0" borderId="0" xfId="6" applyNumberFormat="1"/>
    <xf numFmtId="0" fontId="15" fillId="3" borderId="0" xfId="3"/>
    <xf numFmtId="0" fontId="34" fillId="3" borderId="0" xfId="3" applyFont="1"/>
    <xf numFmtId="0" fontId="34" fillId="3" borderId="0" xfId="3" applyFont="1" applyAlignment="1">
      <alignment horizontal="left" indent="3"/>
    </xf>
    <xf numFmtId="0" fontId="35" fillId="3" borderId="0" xfId="3" applyFont="1" applyAlignment="1">
      <alignment horizontal="left"/>
    </xf>
    <xf numFmtId="0" fontId="7" fillId="5" borderId="0" xfId="5" applyAlignment="1">
      <alignment horizontal="left" vertical="center" indent="5"/>
    </xf>
    <xf numFmtId="0" fontId="7" fillId="5" borderId="0" xfId="5"/>
    <xf numFmtId="4" fontId="0" fillId="0" borderId="0" xfId="0" applyNumberFormat="1"/>
    <xf numFmtId="0" fontId="16" fillId="4" borderId="0" xfId="4"/>
    <xf numFmtId="0" fontId="10" fillId="0" borderId="0" xfId="0" applyFont="1" applyAlignment="1">
      <alignment horizontal="center"/>
    </xf>
    <xf numFmtId="0" fontId="0" fillId="0" borderId="10" xfId="0" applyBorder="1"/>
    <xf numFmtId="2" fontId="0" fillId="0" borderId="0" xfId="0" applyNumberFormat="1"/>
    <xf numFmtId="0" fontId="6" fillId="0" borderId="0" xfId="6" applyFont="1"/>
    <xf numFmtId="0" fontId="36" fillId="0" borderId="0" xfId="6" applyFont="1"/>
    <xf numFmtId="0" fontId="37" fillId="15" borderId="0" xfId="0" applyFont="1" applyFill="1"/>
    <xf numFmtId="0" fontId="16" fillId="4" borderId="0" xfId="4" applyAlignment="1">
      <alignment horizontal="right" vertical="center"/>
    </xf>
    <xf numFmtId="0" fontId="38" fillId="4" borderId="0" xfId="4" applyFont="1" applyAlignment="1">
      <alignment horizontal="right" vertical="center"/>
    </xf>
    <xf numFmtId="0" fontId="5" fillId="16" borderId="0" xfId="34"/>
    <xf numFmtId="0" fontId="8" fillId="0" borderId="0" xfId="0" applyFont="1" applyAlignment="1">
      <alignment horizontal="left" indent="2"/>
    </xf>
    <xf numFmtId="0" fontId="40" fillId="0" borderId="0" xfId="0" applyFont="1" applyAlignment="1">
      <alignment horizontal="left" indent="2"/>
    </xf>
    <xf numFmtId="0" fontId="0" fillId="14" borderId="0" xfId="0" applyFill="1"/>
    <xf numFmtId="10" fontId="0" fillId="14" borderId="0" xfId="0" applyNumberFormat="1" applyFill="1"/>
    <xf numFmtId="0" fontId="14" fillId="0" borderId="0" xfId="0" applyFont="1"/>
    <xf numFmtId="0" fontId="9" fillId="14" borderId="0" xfId="0" applyFont="1" applyFill="1"/>
    <xf numFmtId="0" fontId="4" fillId="16" borderId="0" xfId="34" applyFont="1"/>
    <xf numFmtId="0" fontId="4" fillId="0" borderId="0" xfId="6" applyFont="1"/>
    <xf numFmtId="164" fontId="43" fillId="17" borderId="0" xfId="35" applyNumberFormat="1" applyFont="1"/>
    <xf numFmtId="0" fontId="43" fillId="17" borderId="0" xfId="35" applyFont="1"/>
    <xf numFmtId="0" fontId="44" fillId="18" borderId="0" xfId="6" applyFont="1" applyFill="1"/>
    <xf numFmtId="3" fontId="7" fillId="0" borderId="0" xfId="6" applyNumberFormat="1"/>
    <xf numFmtId="0" fontId="41" fillId="0" borderId="0" xfId="6" applyFont="1"/>
    <xf numFmtId="0" fontId="45" fillId="0" borderId="0" xfId="6" applyFont="1"/>
    <xf numFmtId="10" fontId="7" fillId="0" borderId="0" xfId="6" applyNumberFormat="1"/>
    <xf numFmtId="0" fontId="46" fillId="0" borderId="0" xfId="6" applyFont="1"/>
    <xf numFmtId="3" fontId="41" fillId="0" borderId="0" xfId="6" applyNumberFormat="1" applyFont="1"/>
    <xf numFmtId="0" fontId="47" fillId="0" borderId="0" xfId="6" applyFont="1"/>
    <xf numFmtId="0" fontId="3" fillId="0" borderId="0" xfId="6" applyFont="1"/>
    <xf numFmtId="10" fontId="0" fillId="0" borderId="0" xfId="0" applyNumberFormat="1"/>
    <xf numFmtId="168" fontId="7" fillId="0" borderId="0" xfId="6" applyNumberFormat="1"/>
    <xf numFmtId="169" fontId="7" fillId="0" borderId="0" xfId="6" applyNumberFormat="1"/>
    <xf numFmtId="0" fontId="2" fillId="0" borderId="0" xfId="6" applyFont="1"/>
    <xf numFmtId="0" fontId="48" fillId="19" borderId="0" xfId="0" applyFont="1" applyFill="1"/>
    <xf numFmtId="9" fontId="48" fillId="19" borderId="0" xfId="0" applyNumberFormat="1" applyFont="1" applyFill="1"/>
    <xf numFmtId="0" fontId="0" fillId="0" borderId="12" xfId="0" applyBorder="1"/>
    <xf numFmtId="0" fontId="51" fillId="15" borderId="0" xfId="0" applyFont="1" applyFill="1" applyAlignment="1">
      <alignment horizontal="left" vertical="top" wrapText="1"/>
    </xf>
    <xf numFmtId="0" fontId="1" fillId="15" borderId="11" xfId="37" applyFont="1" applyFill="1" applyAlignment="1">
      <alignment horizontal="center" wrapText="1"/>
    </xf>
    <xf numFmtId="0" fontId="1" fillId="15" borderId="11" xfId="37" applyFont="1" applyFill="1" applyAlignment="1">
      <alignment horizontal="center"/>
    </xf>
    <xf numFmtId="0" fontId="1" fillId="15" borderId="11" xfId="36" applyFont="1" applyFill="1" applyBorder="1" applyAlignment="1">
      <alignment horizontal="center" wrapText="1"/>
    </xf>
    <xf numFmtId="0" fontId="1" fillId="15" borderId="11" xfId="36" applyFont="1" applyFill="1" applyBorder="1" applyAlignment="1">
      <alignment horizontal="center"/>
    </xf>
  </cellXfs>
  <cellStyles count="38">
    <cellStyle name="20% - Accent1" xfId="34" builtinId="30"/>
    <cellStyle name="20% - Accent2" xfId="5" builtinId="34"/>
    <cellStyle name="Accent4" xfId="35" builtinId="41"/>
    <cellStyle name="blp_column_header" xfId="31" xr:uid="{45F1BAB6-7139-4930-8A22-4CB1C339E001}"/>
    <cellStyle name="blp_title_header_row_left" xfId="30" xr:uid="{D64B0403-6EF1-4807-8D28-6C6726668E5D}"/>
    <cellStyle name="Comma" xfId="1" builtinId="3"/>
    <cellStyle name="fa_column_header_bottom" xfId="25" xr:uid="{A458043D-8876-44DC-85F2-357AEA2E00F7}"/>
    <cellStyle name="fa_column_header_bottom_left" xfId="26" xr:uid="{36D81494-231E-45F6-BEEE-3F9322EAD0F0}"/>
    <cellStyle name="fa_column_header_empty" xfId="29" xr:uid="{BE3DA9F8-9386-4A56-B67A-4A06F7BE7339}"/>
    <cellStyle name="fa_column_header_top" xfId="27" xr:uid="{AEA0B264-B179-46FB-BEE7-F4CA1F6C4CA8}"/>
    <cellStyle name="fa_column_header_top_left" xfId="28" xr:uid="{8C4C2104-A0F4-4D2B-BEAF-68A3B3D693DC}"/>
    <cellStyle name="fa_data_bold_0_grouped" xfId="15" xr:uid="{56E10A25-EC6B-4462-866E-05136F145777}"/>
    <cellStyle name="fa_data_bold_1_grouped" xfId="20" xr:uid="{577CB5F5-5094-4F49-89AE-63DDDA88FDA6}"/>
    <cellStyle name="fa_data_bold_2_grouped" xfId="18" xr:uid="{70BDE2B6-D01B-46DE-A2F9-57AAD4722FAD}"/>
    <cellStyle name="fa_data_current_bold_0_grouped" xfId="16" xr:uid="{C022F1F9-E1C0-4039-9C00-ED176FD2265B}"/>
    <cellStyle name="fa_data_current_bold_1_grouped" xfId="21" xr:uid="{F7FF174B-1D1C-4A73-8C59-055F4D133D51}"/>
    <cellStyle name="fa_data_current_bold_2_grouped" xfId="19" xr:uid="{6FEBBC03-F91C-4F34-9C68-460F6357EA19}"/>
    <cellStyle name="fa_data_current_italic_1_grouped" xfId="23" xr:uid="{BEFB8423-2776-43E9-B127-158A4F5F30EB}"/>
    <cellStyle name="fa_data_current_italic_2_grouped" xfId="32" xr:uid="{3EFE6348-6B6C-47AC-99B6-C6D993BE9F2A}"/>
    <cellStyle name="fa_data_current_standard_0_grouped" xfId="14" xr:uid="{36C34DC6-B80C-4D73-B3F2-884A77B3A0BD}"/>
    <cellStyle name="fa_data_current_standard_1_grouped" xfId="9" xr:uid="{FE3C63CA-AA9E-46A9-AC2C-718C0D16BCD2}"/>
    <cellStyle name="fa_data_current_standard_2_grouped" xfId="12" xr:uid="{F3EC55B8-B9D8-4A68-98F5-197DAF579700}"/>
    <cellStyle name="fa_data_italic_1_grouped" xfId="22" xr:uid="{FCD722FF-5DB3-4647-83F6-8BBA480B3B16}"/>
    <cellStyle name="fa_data_italic_2_grouped" xfId="33" xr:uid="{7BD218A7-D41A-48BD-A1AB-E15A9EA605C9}"/>
    <cellStyle name="fa_data_standard_0_grouped" xfId="13" xr:uid="{DA568F17-527D-4F1C-8090-AC4641038583}"/>
    <cellStyle name="fa_data_standard_1_grouped" xfId="8" xr:uid="{0FA6B43B-9425-4C75-8AE2-2D822F0F97CD}"/>
    <cellStyle name="fa_data_standard_2_grouped" xfId="11" xr:uid="{F461D530-1AD9-4672-878F-E2AF12790C44}"/>
    <cellStyle name="fa_footer_italic" xfId="7" xr:uid="{EA50E54A-5EE0-48F8-846E-A99CE71A153D}"/>
    <cellStyle name="fa_row_header_bold" xfId="17" xr:uid="{C5E4F9B8-6BF9-44CF-A788-69B8A8337D34}"/>
    <cellStyle name="fa_row_header_italic" xfId="24" xr:uid="{9BB2ACE5-0763-4FDE-BBD9-5E19B08A5F0C}"/>
    <cellStyle name="fa_row_header_standard" xfId="10" xr:uid="{878E18D7-BD55-480E-8C71-E8B39FB75772}"/>
    <cellStyle name="Good" xfId="3" builtinId="26"/>
    <cellStyle name="Neutral" xfId="4" builtinId="28"/>
    <cellStyle name="Normal" xfId="0" builtinId="0"/>
    <cellStyle name="Normal 2" xfId="6" xr:uid="{137563CF-41B4-4F9C-B1D4-C194ECF72F6E}"/>
    <cellStyle name="Note" xfId="37" builtinId="10"/>
    <cellStyle name="Per cent" xfId="2" builtinId="5"/>
    <cellStyle name="Warning Text" xfId="36" builtinId="1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000000"/>
                </a:solidFill>
                <a:latin typeface="Arial"/>
                <a:ea typeface="Arial"/>
                <a:cs typeface="Arial"/>
              </a:defRPr>
            </a:pPr>
            <a:r>
              <a:rPr lang="en-GB"/>
              <a:t>Sales Growth and Equity Value</a:t>
            </a:r>
          </a:p>
        </c:rich>
      </c:tx>
      <c:overlay val="0"/>
      <c:spPr>
        <a:noFill/>
        <a:ln w="25400">
          <a:noFill/>
        </a:ln>
      </c:spPr>
    </c:title>
    <c:autoTitleDeleted val="0"/>
    <c:plotArea>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'Projected 5 years'!#REF!</c:f>
              <c:numCache>
                <c:formatCode>General</c:formatCode>
                <c:ptCount val="1"/>
                <c:pt idx="0">
                  <c:v>1</c:v>
                </c:pt>
              </c:numCache>
            </c:numRef>
          </c:xVal>
          <c:yVal>
            <c:numRef>
              <c:f>'Projected 5 years'!#REF!</c:f>
              <c:numCache>
                <c:formatCode>General</c:formatCode>
                <c:ptCount val="1"/>
                <c:pt idx="0">
                  <c:v>1</c:v>
                </c:pt>
              </c:numCache>
            </c:numRef>
          </c:yVal>
          <c:smooth val="1"/>
          <c:extLst>
            <c:ext xmlns:c16="http://schemas.microsoft.com/office/drawing/2014/chart" uri="{C3380CC4-5D6E-409C-BE32-E72D297353CC}">
              <c16:uniqueId val="{00000000-B58B-4454-A758-298E487C0A3E}"/>
            </c:ext>
          </c:extLst>
        </c:ser>
        <c:dLbls>
          <c:showLegendKey val="0"/>
          <c:showVal val="0"/>
          <c:showCatName val="0"/>
          <c:showSerName val="0"/>
          <c:showPercent val="0"/>
          <c:showBubbleSize val="0"/>
        </c:dLbls>
        <c:axId val="205148760"/>
        <c:axId val="205147976"/>
      </c:scatterChart>
      <c:valAx>
        <c:axId val="205148760"/>
        <c:scaling>
          <c:orientation val="minMax"/>
        </c:scaling>
        <c:delete val="0"/>
        <c:axPos val="b"/>
        <c:title>
          <c:tx>
            <c:rich>
              <a:bodyPr/>
              <a:lstStyle/>
              <a:p>
                <a:pPr>
                  <a:defRPr sz="175" b="1" i="0" u="none" strike="noStrike" baseline="0">
                    <a:solidFill>
                      <a:srgbClr val="000000"/>
                    </a:solidFill>
                    <a:latin typeface="Arial"/>
                    <a:ea typeface="Arial"/>
                    <a:cs typeface="Arial"/>
                  </a:defRPr>
                </a:pPr>
                <a:r>
                  <a:rPr lang="en-GB"/>
                  <a:t>Sales growth</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05147976"/>
        <c:crosses val="autoZero"/>
        <c:crossBetween val="midCat"/>
      </c:valAx>
      <c:valAx>
        <c:axId val="205147976"/>
        <c:scaling>
          <c:orientation val="minMax"/>
        </c:scaling>
        <c:delete val="0"/>
        <c:axPos val="l"/>
        <c:title>
          <c:tx>
            <c:rich>
              <a:bodyPr/>
              <a:lstStyle/>
              <a:p>
                <a:pPr>
                  <a:defRPr sz="175" b="1" i="0" u="none" strike="noStrike" baseline="0">
                    <a:solidFill>
                      <a:srgbClr val="000000"/>
                    </a:solidFill>
                    <a:latin typeface="Arial"/>
                    <a:ea typeface="Arial"/>
                    <a:cs typeface="Arial"/>
                  </a:defRPr>
                </a:pPr>
                <a:r>
                  <a:rPr lang="en-GB"/>
                  <a:t>Equity value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05148760"/>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'Stock Value'!$C$21</c:f>
              <c:strCache>
                <c:ptCount val="1"/>
                <c:pt idx="0">
                  <c:v>Banking, Financial Services &amp; Insurance</c:v>
                </c:pt>
              </c:strCache>
            </c:strRef>
          </c:tx>
          <c:spPr>
            <a:solidFill>
              <a:schemeClr val="accent1"/>
            </a:solidFill>
            <a:ln>
              <a:noFill/>
            </a:ln>
            <a:effectLst/>
          </c:spPr>
          <c:invertIfNegative val="0"/>
          <c:cat>
            <c:numRef>
              <c:f>'Stock Value'!$D$20:$F$20</c:f>
              <c:numCache>
                <c:formatCode>General</c:formatCode>
                <c:ptCount val="3"/>
                <c:pt idx="0">
                  <c:v>2021</c:v>
                </c:pt>
                <c:pt idx="1">
                  <c:v>2022</c:v>
                </c:pt>
                <c:pt idx="2">
                  <c:v>2023</c:v>
                </c:pt>
              </c:numCache>
            </c:numRef>
          </c:cat>
          <c:val>
            <c:numRef>
              <c:f>'Stock Value'!$D$21:$F$21</c:f>
              <c:numCache>
                <c:formatCode>#,##0</c:formatCode>
                <c:ptCount val="3"/>
                <c:pt idx="0">
                  <c:v>656340</c:v>
                </c:pt>
                <c:pt idx="1">
                  <c:v>751260</c:v>
                </c:pt>
                <c:pt idx="2">
                  <c:v>861270</c:v>
                </c:pt>
              </c:numCache>
            </c:numRef>
          </c:val>
          <c:extLst>
            <c:ext xmlns:c16="http://schemas.microsoft.com/office/drawing/2014/chart" uri="{C3380CC4-5D6E-409C-BE32-E72D297353CC}">
              <c16:uniqueId val="{00000000-1B36-4E62-A55F-80D858B777C3}"/>
            </c:ext>
          </c:extLst>
        </c:ser>
        <c:ser>
          <c:idx val="1"/>
          <c:order val="1"/>
          <c:tx>
            <c:strRef>
              <c:f>'Stock Value'!$C$22</c:f>
              <c:strCache>
                <c:ptCount val="1"/>
                <c:pt idx="0">
                  <c:v>Communication Media &amp; Technology </c:v>
                </c:pt>
              </c:strCache>
            </c:strRef>
          </c:tx>
          <c:spPr>
            <a:solidFill>
              <a:schemeClr val="accent2"/>
            </a:solidFill>
            <a:ln>
              <a:noFill/>
            </a:ln>
            <a:effectLst/>
          </c:spPr>
          <c:invertIfNegative val="0"/>
          <c:cat>
            <c:numRef>
              <c:f>'Stock Value'!$D$20:$F$20</c:f>
              <c:numCache>
                <c:formatCode>General</c:formatCode>
                <c:ptCount val="3"/>
                <c:pt idx="0">
                  <c:v>2021</c:v>
                </c:pt>
                <c:pt idx="1">
                  <c:v>2022</c:v>
                </c:pt>
                <c:pt idx="2">
                  <c:v>2023</c:v>
                </c:pt>
              </c:numCache>
            </c:numRef>
          </c:cat>
          <c:val>
            <c:numRef>
              <c:f>'Stock Value'!$D$22:$F$22</c:f>
              <c:numCache>
                <c:formatCode>#,##0</c:formatCode>
                <c:ptCount val="3"/>
                <c:pt idx="0">
                  <c:v>270770</c:v>
                </c:pt>
                <c:pt idx="1">
                  <c:v>318740</c:v>
                </c:pt>
                <c:pt idx="2">
                  <c:v>376530</c:v>
                </c:pt>
              </c:numCache>
            </c:numRef>
          </c:val>
          <c:extLst>
            <c:ext xmlns:c16="http://schemas.microsoft.com/office/drawing/2014/chart" uri="{C3380CC4-5D6E-409C-BE32-E72D297353CC}">
              <c16:uniqueId val="{00000001-1B36-4E62-A55F-80D858B777C3}"/>
            </c:ext>
          </c:extLst>
        </c:ser>
        <c:ser>
          <c:idx val="2"/>
          <c:order val="2"/>
          <c:tx>
            <c:strRef>
              <c:f>'Stock Value'!$C$23</c:f>
              <c:strCache>
                <c:ptCount val="1"/>
                <c:pt idx="0">
                  <c:v>Retail &amp; Consumer Business</c:v>
                </c:pt>
              </c:strCache>
            </c:strRef>
          </c:tx>
          <c:spPr>
            <a:solidFill>
              <a:schemeClr val="accent3"/>
            </a:solidFill>
            <a:ln>
              <a:noFill/>
            </a:ln>
            <a:effectLst/>
          </c:spPr>
          <c:invertIfNegative val="0"/>
          <c:cat>
            <c:numRef>
              <c:f>'Stock Value'!$D$20:$F$20</c:f>
              <c:numCache>
                <c:formatCode>General</c:formatCode>
                <c:ptCount val="3"/>
                <c:pt idx="0">
                  <c:v>2021</c:v>
                </c:pt>
                <c:pt idx="1">
                  <c:v>2022</c:v>
                </c:pt>
                <c:pt idx="2">
                  <c:v>2023</c:v>
                </c:pt>
              </c:numCache>
            </c:numRef>
          </c:cat>
          <c:val>
            <c:numRef>
              <c:f>'Stock Value'!$D$23:$F$23</c:f>
              <c:numCache>
                <c:formatCode>#,##0</c:formatCode>
                <c:ptCount val="3"/>
                <c:pt idx="0">
                  <c:v>255890</c:v>
                </c:pt>
                <c:pt idx="1">
                  <c:v>307150</c:v>
                </c:pt>
                <c:pt idx="2">
                  <c:v>375060</c:v>
                </c:pt>
              </c:numCache>
            </c:numRef>
          </c:val>
          <c:extLst>
            <c:ext xmlns:c16="http://schemas.microsoft.com/office/drawing/2014/chart" uri="{C3380CC4-5D6E-409C-BE32-E72D297353CC}">
              <c16:uniqueId val="{00000002-1B36-4E62-A55F-80D858B777C3}"/>
            </c:ext>
          </c:extLst>
        </c:ser>
        <c:ser>
          <c:idx val="3"/>
          <c:order val="3"/>
          <c:tx>
            <c:strRef>
              <c:f>'Stock Value'!$C$24</c:f>
              <c:strCache>
                <c:ptCount val="1"/>
                <c:pt idx="0">
                  <c:v>Manufacturing</c:v>
                </c:pt>
              </c:strCache>
            </c:strRef>
          </c:tx>
          <c:spPr>
            <a:solidFill>
              <a:schemeClr val="accent4"/>
            </a:solidFill>
            <a:ln>
              <a:noFill/>
            </a:ln>
            <a:effectLst/>
          </c:spPr>
          <c:invertIfNegative val="0"/>
          <c:cat>
            <c:numRef>
              <c:f>'Stock Value'!$D$20:$F$20</c:f>
              <c:numCache>
                <c:formatCode>General</c:formatCode>
                <c:ptCount val="3"/>
                <c:pt idx="0">
                  <c:v>2021</c:v>
                </c:pt>
                <c:pt idx="1">
                  <c:v>2022</c:v>
                </c:pt>
                <c:pt idx="2">
                  <c:v>2023</c:v>
                </c:pt>
              </c:numCache>
            </c:numRef>
          </c:cat>
          <c:val>
            <c:numRef>
              <c:f>'Stock Value'!$D$24:$F$24</c:f>
              <c:numCache>
                <c:formatCode>#,##0</c:formatCode>
                <c:ptCount val="3"/>
                <c:pt idx="0">
                  <c:v>159500</c:v>
                </c:pt>
                <c:pt idx="1">
                  <c:v>186100</c:v>
                </c:pt>
                <c:pt idx="2">
                  <c:v>212360</c:v>
                </c:pt>
              </c:numCache>
            </c:numRef>
          </c:val>
          <c:extLst>
            <c:ext xmlns:c16="http://schemas.microsoft.com/office/drawing/2014/chart" uri="{C3380CC4-5D6E-409C-BE32-E72D297353CC}">
              <c16:uniqueId val="{00000003-1B36-4E62-A55F-80D858B777C3}"/>
            </c:ext>
          </c:extLst>
        </c:ser>
        <c:ser>
          <c:idx val="4"/>
          <c:order val="4"/>
          <c:tx>
            <c:strRef>
              <c:f>'Stock Value'!$C$25</c:f>
              <c:strCache>
                <c:ptCount val="1"/>
                <c:pt idx="0">
                  <c:v>Others</c:v>
                </c:pt>
              </c:strCache>
            </c:strRef>
          </c:tx>
          <c:spPr>
            <a:solidFill>
              <a:schemeClr val="accent5"/>
            </a:solidFill>
            <a:ln>
              <a:noFill/>
            </a:ln>
            <a:effectLst/>
          </c:spPr>
          <c:invertIfNegative val="0"/>
          <c:cat>
            <c:numRef>
              <c:f>'Stock Value'!$D$20:$F$20</c:f>
              <c:numCache>
                <c:formatCode>General</c:formatCode>
                <c:ptCount val="3"/>
                <c:pt idx="0">
                  <c:v>2021</c:v>
                </c:pt>
                <c:pt idx="1">
                  <c:v>2022</c:v>
                </c:pt>
                <c:pt idx="2">
                  <c:v>2023</c:v>
                </c:pt>
              </c:numCache>
            </c:numRef>
          </c:cat>
          <c:val>
            <c:numRef>
              <c:f>'Stock Value'!$D$25:$F$25</c:f>
              <c:numCache>
                <c:formatCode>#,##0</c:formatCode>
                <c:ptCount val="3"/>
                <c:pt idx="0">
                  <c:v>299270</c:v>
                </c:pt>
                <c:pt idx="1">
                  <c:v>149670</c:v>
                </c:pt>
                <c:pt idx="2">
                  <c:v>183310</c:v>
                </c:pt>
              </c:numCache>
            </c:numRef>
          </c:val>
          <c:extLst>
            <c:ext xmlns:c16="http://schemas.microsoft.com/office/drawing/2014/chart" uri="{C3380CC4-5D6E-409C-BE32-E72D297353CC}">
              <c16:uniqueId val="{00000004-1B36-4E62-A55F-80D858B777C3}"/>
            </c:ext>
          </c:extLst>
        </c:ser>
        <c:dLbls>
          <c:showLegendKey val="0"/>
          <c:showVal val="0"/>
          <c:showCatName val="0"/>
          <c:showSerName val="0"/>
          <c:showPercent val="0"/>
          <c:showBubbleSize val="0"/>
        </c:dLbls>
        <c:gapWidth val="219"/>
        <c:overlap val="-27"/>
        <c:axId val="1728303839"/>
        <c:axId val="1728286559"/>
      </c:barChart>
      <c:catAx>
        <c:axId val="172830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86559"/>
        <c:crosses val="autoZero"/>
        <c:auto val="1"/>
        <c:lblAlgn val="ctr"/>
        <c:lblOffset val="100"/>
        <c:noMultiLvlLbl val="0"/>
      </c:catAx>
      <c:valAx>
        <c:axId val="172828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03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a:t>
            </a:r>
            <a:r>
              <a:rPr lang="en-US" baseline="0"/>
              <a:t> sales by geographical segment </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'Stock Value'!$B$34</c:f>
              <c:strCache>
                <c:ptCount val="1"/>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'Stock Value'!$A$35:$A$39</c:f>
              <c:strCache>
                <c:ptCount val="5"/>
                <c:pt idx="0">
                  <c:v>India</c:v>
                </c:pt>
                <c:pt idx="1">
                  <c:v>Americas</c:v>
                </c:pt>
                <c:pt idx="2">
                  <c:v>Europe</c:v>
                </c:pt>
                <c:pt idx="3">
                  <c:v>Asia pacific </c:v>
                </c:pt>
                <c:pt idx="4">
                  <c:v>Middle east &amp; Africa </c:v>
                </c:pt>
              </c:strCache>
            </c:strRef>
          </c:cat>
          <c:val>
            <c:numRef>
              <c:f>'Stock Value'!$B$35:$B$39</c:f>
            </c:numRef>
          </c:val>
          <c:extLst>
            <c:ext xmlns:c16="http://schemas.microsoft.com/office/drawing/2014/chart" uri="{C3380CC4-5D6E-409C-BE32-E72D297353CC}">
              <c16:uniqueId val="{00000000-1130-4214-92BA-6D8A10B73FDB}"/>
            </c:ext>
          </c:extLst>
        </c:ser>
        <c:ser>
          <c:idx val="1"/>
          <c:order val="1"/>
          <c:tx>
            <c:strRef>
              <c:f>'Stock Value'!$C$34</c:f>
              <c:strCache>
                <c:ptCount val="1"/>
                <c:pt idx="0">
                  <c:v>amount </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DD0-44CA-8BFF-617E78584AE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DD0-44CA-8BFF-617E78584AE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DD0-44CA-8BFF-617E78584AE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DD0-44CA-8BFF-617E78584AE2}"/>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DD0-44CA-8BFF-617E78584A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'Stock Value'!$A$35:$A$39</c:f>
              <c:strCache>
                <c:ptCount val="5"/>
                <c:pt idx="0">
                  <c:v>India</c:v>
                </c:pt>
                <c:pt idx="1">
                  <c:v>Americas</c:v>
                </c:pt>
                <c:pt idx="2">
                  <c:v>Europe</c:v>
                </c:pt>
                <c:pt idx="3">
                  <c:v>Asia pacific </c:v>
                </c:pt>
                <c:pt idx="4">
                  <c:v>Middle east &amp; Africa </c:v>
                </c:pt>
              </c:strCache>
            </c:strRef>
          </c:cat>
          <c:val>
            <c:numRef>
              <c:f>'Stock Value'!$C$35:$C$39</c:f>
              <c:numCache>
                <c:formatCode>#,##0</c:formatCode>
                <c:ptCount val="5"/>
                <c:pt idx="0">
                  <c:v>112710</c:v>
                </c:pt>
                <c:pt idx="1">
                  <c:v>1243360</c:v>
                </c:pt>
                <c:pt idx="2">
                  <c:v>674360</c:v>
                </c:pt>
                <c:pt idx="3">
                  <c:v>181320</c:v>
                </c:pt>
                <c:pt idx="4">
                  <c:v>112710</c:v>
                </c:pt>
              </c:numCache>
            </c:numRef>
          </c:val>
          <c:extLst>
            <c:ext xmlns:c16="http://schemas.microsoft.com/office/drawing/2014/chart" uri="{C3380CC4-5D6E-409C-BE32-E72D297353CC}">
              <c16:uniqueId val="{00000001-1130-4214-92BA-6D8A10B73F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69</xdr:row>
      <xdr:rowOff>0</xdr:rowOff>
    </xdr:from>
    <xdr:to>
      <xdr:col>3</xdr:col>
      <xdr:colOff>0</xdr:colOff>
      <xdr:row>69</xdr:row>
      <xdr:rowOff>0</xdr:rowOff>
    </xdr:to>
    <xdr:graphicFrame macro="">
      <xdr:nvGraphicFramePr>
        <xdr:cNvPr id="1049" name="Chart 1">
          <a:extLst>
            <a:ext uri="{FF2B5EF4-FFF2-40B4-BE49-F238E27FC236}">
              <a16:creationId xmlns:a16="http://schemas.microsoft.com/office/drawing/2014/main" id="{00000000-0008-0000-0200-000019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2</xdr:row>
      <xdr:rowOff>38100</xdr:rowOff>
    </xdr:from>
    <xdr:to>
      <xdr:col>11</xdr:col>
      <xdr:colOff>561975</xdr:colOff>
      <xdr:row>5</xdr:row>
      <xdr:rowOff>85725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172325" y="428625"/>
          <a:ext cx="29527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Year 6 growth is used to get the terminal value .  see the terminal growth rate at cell B57.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714375</xdr:colOff>
      <xdr:row>18</xdr:row>
      <xdr:rowOff>76200</xdr:rowOff>
    </xdr:from>
    <xdr:to>
      <xdr:col>14</xdr:col>
      <xdr:colOff>171450</xdr:colOff>
      <xdr:row>32</xdr:row>
      <xdr:rowOff>47625</xdr:rowOff>
    </xdr:to>
    <xdr:graphicFrame macro="">
      <xdr:nvGraphicFramePr>
        <xdr:cNvPr id="6" name="Chart 5">
          <a:extLst>
            <a:ext uri="{FF2B5EF4-FFF2-40B4-BE49-F238E27FC236}">
              <a16:creationId xmlns:a16="http://schemas.microsoft.com/office/drawing/2014/main" id="{82488A53-E40E-6CF0-82EF-7007DC72E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295275</xdr:colOff>
      <xdr:row>32</xdr:row>
      <xdr:rowOff>28575</xdr:rowOff>
    </xdr:from>
    <xdr:to>
      <xdr:col>8</xdr:col>
      <xdr:colOff>733425</xdr:colOff>
      <xdr:row>46</xdr:row>
      <xdr:rowOff>57150</xdr:rowOff>
    </xdr:to>
    <xdr:graphicFrame macro="">
      <xdr:nvGraphicFramePr>
        <xdr:cNvPr id="8" name="Chart 7">
          <a:extLst>
            <a:ext uri="{FF2B5EF4-FFF2-40B4-BE49-F238E27FC236}">
              <a16:creationId xmlns:a16="http://schemas.microsoft.com/office/drawing/2014/main" id="{3805EF61-DB2D-171A-1214-CAD1F4BEE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69283-A043-432F-9680-F34A42EC277D}">
  <dimension ref="A2:L51"/>
  <sheetViews>
    <sheetView zoomScale="94" zoomScaleNormal="94" workbookViewId="0">
      <selection activeCell="F19" sqref="F19"/>
    </sheetView>
  </sheetViews>
  <sheetFormatPr defaultColWidth="8.7109375" defaultRowHeight="15" x14ac:dyDescent="0.25"/>
  <cols>
    <col min="1" max="1" width="27.42578125" style="27" customWidth="1"/>
    <col min="2" max="2" width="23" style="27" customWidth="1"/>
    <col min="3" max="3" width="38.85546875" style="27" customWidth="1"/>
    <col min="4" max="4" width="24.7109375" style="27" customWidth="1"/>
    <col min="5" max="5" width="35" style="27" customWidth="1"/>
    <col min="6" max="6" width="109.140625" style="27" customWidth="1"/>
    <col min="7" max="7" width="30.5703125" style="27" customWidth="1"/>
    <col min="8" max="8" width="12.85546875" style="27" customWidth="1"/>
    <col min="9" max="9" width="12.140625" style="27" customWidth="1"/>
    <col min="10" max="13" width="8.7109375" style="27"/>
    <col min="14" max="15" width="12" style="27" bestFit="1" customWidth="1"/>
    <col min="16" max="16384" width="8.7109375" style="27"/>
  </cols>
  <sheetData>
    <row r="2" spans="1:12" x14ac:dyDescent="0.25">
      <c r="A2" s="27" t="s">
        <v>67</v>
      </c>
      <c r="H2" s="100" t="s">
        <v>585</v>
      </c>
    </row>
    <row r="4" spans="1:12" x14ac:dyDescent="0.25">
      <c r="A4" s="27">
        <v>1</v>
      </c>
      <c r="B4" s="28">
        <v>0.16</v>
      </c>
      <c r="H4" s="27" t="s">
        <v>499</v>
      </c>
      <c r="I4" s="27" t="s">
        <v>500</v>
      </c>
      <c r="J4" s="27" t="s">
        <v>501</v>
      </c>
    </row>
    <row r="5" spans="1:12" x14ac:dyDescent="0.25">
      <c r="A5" s="27">
        <v>2</v>
      </c>
      <c r="B5" s="28">
        <v>0.04</v>
      </c>
      <c r="H5" s="27">
        <v>2019</v>
      </c>
      <c r="I5" s="27">
        <v>30</v>
      </c>
      <c r="J5" s="27" t="s">
        <v>506</v>
      </c>
    </row>
    <row r="6" spans="1:12" x14ac:dyDescent="0.25">
      <c r="A6" s="27">
        <v>3</v>
      </c>
      <c r="B6" s="28">
        <v>7.0000000000000007E-2</v>
      </c>
      <c r="H6" s="27">
        <v>2020</v>
      </c>
      <c r="I6" s="27">
        <v>73</v>
      </c>
      <c r="J6" s="27">
        <f>(I6-I5)/I5</f>
        <v>1.4333333333333333</v>
      </c>
    </row>
    <row r="7" spans="1:12" x14ac:dyDescent="0.25">
      <c r="A7" s="27">
        <v>4</v>
      </c>
      <c r="B7" s="28">
        <v>0.18</v>
      </c>
      <c r="H7" s="27">
        <v>2021</v>
      </c>
      <c r="I7" s="27">
        <v>38</v>
      </c>
      <c r="J7" s="27">
        <f>(I7-I6)/I6</f>
        <v>-0.47945205479452052</v>
      </c>
    </row>
    <row r="8" spans="1:12" x14ac:dyDescent="0.25">
      <c r="A8" s="27">
        <v>5</v>
      </c>
      <c r="B8" s="28">
        <v>0.04</v>
      </c>
      <c r="H8" s="27">
        <v>2022</v>
      </c>
      <c r="I8" s="27">
        <v>43</v>
      </c>
      <c r="J8" s="27">
        <f>(I8-I7)/I7</f>
        <v>0.13157894736842105</v>
      </c>
    </row>
    <row r="9" spans="1:12" x14ac:dyDescent="0.25">
      <c r="H9" s="27">
        <v>2023</v>
      </c>
      <c r="I9" s="27">
        <v>115</v>
      </c>
      <c r="J9" s="27">
        <f>(I9-I8)/I8</f>
        <v>1.6744186046511629</v>
      </c>
      <c r="L9" s="27">
        <f>AVERAGE(J6:J9)</f>
        <v>0.68996970763959919</v>
      </c>
    </row>
    <row r="10" spans="1:12" x14ac:dyDescent="0.25">
      <c r="A10" s="27" t="s">
        <v>66</v>
      </c>
      <c r="B10" s="27">
        <v>115</v>
      </c>
      <c r="H10" s="27" t="s">
        <v>502</v>
      </c>
      <c r="I10" s="27">
        <v>5</v>
      </c>
      <c r="L10" s="27">
        <f>L9*100</f>
        <v>68.996970763959922</v>
      </c>
    </row>
    <row r="11" spans="1:12" x14ac:dyDescent="0.25">
      <c r="A11" s="25" t="s">
        <v>486</v>
      </c>
      <c r="B11" s="25" t="s">
        <v>487</v>
      </c>
      <c r="C11" s="25" t="s">
        <v>488</v>
      </c>
      <c r="D11" s="25" t="s">
        <v>487</v>
      </c>
      <c r="E11" s="25" t="s">
        <v>626</v>
      </c>
      <c r="F11" s="25"/>
      <c r="G11" s="25"/>
      <c r="H11" s="25" t="s">
        <v>503</v>
      </c>
      <c r="I11"/>
      <c r="J11" s="27" t="s">
        <v>504</v>
      </c>
    </row>
    <row r="12" spans="1:12" x14ac:dyDescent="0.25">
      <c r="A12" s="27">
        <v>1</v>
      </c>
      <c r="B12" s="27" t="s">
        <v>489</v>
      </c>
      <c r="C12" s="27" t="s">
        <v>495</v>
      </c>
      <c r="D12" s="27">
        <f>115*(1.16)</f>
        <v>133.39999999999998</v>
      </c>
      <c r="E12" s="27">
        <f>D12*0.909</f>
        <v>121.26059999999998</v>
      </c>
      <c r="H12" s="27" t="s">
        <v>505</v>
      </c>
      <c r="J12" s="27">
        <f>(J9-J6)^(1/I10)-1</f>
        <v>-0.24762538214703644</v>
      </c>
    </row>
    <row r="13" spans="1:12" x14ac:dyDescent="0.25">
      <c r="A13" s="27">
        <v>2</v>
      </c>
      <c r="B13" s="27" t="s">
        <v>490</v>
      </c>
      <c r="C13" s="27" t="s">
        <v>496</v>
      </c>
      <c r="D13" s="27">
        <f>115*(1.16)*(1.04)</f>
        <v>138.73599999999999</v>
      </c>
      <c r="E13" s="27">
        <f>D13*0.8264</f>
        <v>114.6514304</v>
      </c>
      <c r="J13" s="27">
        <f>J12*100</f>
        <v>-24.762538214703646</v>
      </c>
    </row>
    <row r="14" spans="1:12" x14ac:dyDescent="0.25">
      <c r="A14" s="27">
        <v>3</v>
      </c>
      <c r="B14" s="27" t="s">
        <v>491</v>
      </c>
      <c r="C14" s="27" t="s">
        <v>497</v>
      </c>
      <c r="D14" s="27">
        <f>115*(1.16)*(1.04)*(1.07)</f>
        <v>148.44752</v>
      </c>
      <c r="E14" s="27">
        <f>D14*0.7513</f>
        <v>111.52862177599999</v>
      </c>
    </row>
    <row r="15" spans="1:12" x14ac:dyDescent="0.25">
      <c r="A15" s="27">
        <v>4</v>
      </c>
      <c r="B15" s="27" t="s">
        <v>492</v>
      </c>
      <c r="C15" s="27" t="s">
        <v>498</v>
      </c>
      <c r="D15" s="27">
        <f>115*(1.16)*(1.04)*(1.07)*(1.18)</f>
        <v>175.16807359999999</v>
      </c>
      <c r="E15" s="27">
        <f>D15*0.683</f>
        <v>119.6397942688</v>
      </c>
      <c r="I15" s="27">
        <v>1</v>
      </c>
      <c r="J15" s="27">
        <f>1/(1+0.12)^I15</f>
        <v>0.89285714285714279</v>
      </c>
    </row>
    <row r="16" spans="1:12" x14ac:dyDescent="0.25">
      <c r="A16" s="27">
        <v>5</v>
      </c>
      <c r="B16" s="27" t="s">
        <v>493</v>
      </c>
      <c r="C16" s="128" t="s">
        <v>624</v>
      </c>
      <c r="D16" s="27">
        <f>115*(1.16)*(1.04)*(1.07)*(1.18)*(1.04)</f>
        <v>182.174796544</v>
      </c>
      <c r="E16" s="27">
        <f>D16*0.6209</f>
        <v>113.1123311741696</v>
      </c>
      <c r="I16" s="27">
        <v>2</v>
      </c>
      <c r="J16" s="27">
        <f t="shared" ref="J16:J19" si="0">1/(1+0.12)^I16</f>
        <v>0.79719387755102034</v>
      </c>
    </row>
    <row r="17" spans="1:10" x14ac:dyDescent="0.25">
      <c r="A17" s="27">
        <v>5</v>
      </c>
      <c r="B17" s="27" t="s">
        <v>494</v>
      </c>
      <c r="C17" s="128" t="s">
        <v>625</v>
      </c>
      <c r="D17" s="27">
        <f>115*(1.16)*(1.04)*(1.07)*(1.18)*(1.04)/(0.103-0.07)</f>
        <v>5520.4483801212145</v>
      </c>
      <c r="E17" s="27">
        <f>D17*0.6209</f>
        <v>3427.6463992172621</v>
      </c>
      <c r="I17" s="27">
        <v>3</v>
      </c>
      <c r="J17" s="27">
        <f t="shared" si="0"/>
        <v>0.71178024781341087</v>
      </c>
    </row>
    <row r="18" spans="1:10" x14ac:dyDescent="0.25">
      <c r="A18" s="27" t="s">
        <v>16</v>
      </c>
      <c r="E18" s="87">
        <f>SUM(E12:E17)</f>
        <v>4007.8391768362317</v>
      </c>
      <c r="I18" s="27">
        <v>4</v>
      </c>
      <c r="J18" s="27">
        <f t="shared" si="0"/>
        <v>0.63551807840483121</v>
      </c>
    </row>
    <row r="19" spans="1:10" ht="21.95" customHeight="1" x14ac:dyDescent="0.25">
      <c r="F19" s="25" t="s">
        <v>639</v>
      </c>
      <c r="I19" s="27">
        <v>5</v>
      </c>
      <c r="J19" s="27">
        <f t="shared" si="0"/>
        <v>0.56742685571859919</v>
      </c>
    </row>
    <row r="22" spans="1:10" x14ac:dyDescent="0.25">
      <c r="A22" s="124" t="s">
        <v>616</v>
      </c>
      <c r="D22" s="27">
        <f>C24+C25*(C26-C24)</f>
        <v>10.329815</v>
      </c>
      <c r="E22" s="28"/>
    </row>
    <row r="23" spans="1:10" x14ac:dyDescent="0.25">
      <c r="A23" s="27" t="s">
        <v>65</v>
      </c>
    </row>
    <row r="24" spans="1:10" ht="23.25" x14ac:dyDescent="0.35">
      <c r="A24" s="124" t="s">
        <v>64</v>
      </c>
      <c r="C24" s="27">
        <v>6.9829999999999997</v>
      </c>
      <c r="F24" s="101"/>
    </row>
    <row r="25" spans="1:10" x14ac:dyDescent="0.25">
      <c r="A25" s="124" t="s">
        <v>617</v>
      </c>
      <c r="C25" s="27">
        <v>1.0409999999999999</v>
      </c>
    </row>
    <row r="26" spans="1:10" x14ac:dyDescent="0.25">
      <c r="A26" s="124" t="s">
        <v>618</v>
      </c>
      <c r="C26" s="27">
        <v>10.198</v>
      </c>
    </row>
    <row r="27" spans="1:10" ht="18.75" x14ac:dyDescent="0.3">
      <c r="A27" s="121" t="s">
        <v>614</v>
      </c>
      <c r="F27" s="28"/>
      <c r="G27" s="28"/>
      <c r="I27" s="28"/>
    </row>
    <row r="34" spans="1:4" x14ac:dyDescent="0.25">
      <c r="A34"/>
      <c r="B34"/>
      <c r="C34"/>
      <c r="D34"/>
    </row>
    <row r="35" spans="1:4" x14ac:dyDescent="0.25">
      <c r="A35"/>
      <c r="B35"/>
      <c r="C35"/>
      <c r="D35"/>
    </row>
    <row r="36" spans="1:4" x14ac:dyDescent="0.25">
      <c r="A36"/>
      <c r="B36"/>
      <c r="C36"/>
      <c r="D36"/>
    </row>
    <row r="37" spans="1:4" x14ac:dyDescent="0.25">
      <c r="A37"/>
      <c r="B37"/>
      <c r="C37"/>
      <c r="D37"/>
    </row>
    <row r="38" spans="1:4" x14ac:dyDescent="0.25">
      <c r="A38"/>
      <c r="B38"/>
      <c r="C38"/>
      <c r="D38"/>
    </row>
    <row r="39" spans="1:4" x14ac:dyDescent="0.25">
      <c r="A39"/>
      <c r="B39"/>
      <c r="C39"/>
      <c r="D39"/>
    </row>
    <row r="40" spans="1:4" x14ac:dyDescent="0.25">
      <c r="A40"/>
      <c r="B40"/>
      <c r="C40"/>
      <c r="D40"/>
    </row>
    <row r="51" spans="8:8" x14ac:dyDescent="0.25">
      <c r="H51" s="27" t="s">
        <v>507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06"/>
  <sheetViews>
    <sheetView topLeftCell="A57" zoomScale="91" zoomScaleNormal="91" workbookViewId="0">
      <selection activeCell="Q64" sqref="Q64"/>
    </sheetView>
  </sheetViews>
  <sheetFormatPr defaultRowHeight="12.75" x14ac:dyDescent="0.2"/>
  <cols>
    <col min="1" max="1" width="44.5703125" customWidth="1"/>
    <col min="2" max="2" width="23.42578125" customWidth="1"/>
    <col min="3" max="3" width="26.42578125" customWidth="1"/>
    <col min="4" max="4" width="15.5703125" customWidth="1"/>
    <col min="5" max="5" width="16.85546875" customWidth="1"/>
    <col min="6" max="6" width="15.85546875" customWidth="1"/>
    <col min="7" max="7" width="28.85546875" customWidth="1"/>
    <col min="8" max="11" width="9.28515625" bestFit="1" customWidth="1"/>
    <col min="17" max="17" width="89.7109375" customWidth="1"/>
  </cols>
  <sheetData>
    <row r="1" spans="1:11" ht="18" x14ac:dyDescent="0.25">
      <c r="A1" s="15" t="s">
        <v>29</v>
      </c>
      <c r="B1" s="4"/>
      <c r="C1" s="4"/>
      <c r="D1" s="4"/>
      <c r="E1" s="4"/>
      <c r="F1" s="4"/>
    </row>
    <row r="2" spans="1:11" x14ac:dyDescent="0.2">
      <c r="B2" s="17" t="s">
        <v>55</v>
      </c>
      <c r="C2" s="17" t="s">
        <v>56</v>
      </c>
      <c r="D2" s="17" t="s">
        <v>57</v>
      </c>
      <c r="E2" s="17" t="s">
        <v>58</v>
      </c>
      <c r="F2" s="17" t="s">
        <v>59</v>
      </c>
      <c r="G2" s="17" t="s">
        <v>61</v>
      </c>
    </row>
    <row r="3" spans="1:11" x14ac:dyDescent="0.2">
      <c r="A3" s="19" t="s">
        <v>30</v>
      </c>
      <c r="B3" s="18">
        <v>0.17</v>
      </c>
      <c r="C3" s="18">
        <v>0.16</v>
      </c>
      <c r="D3" s="18">
        <v>0.04</v>
      </c>
      <c r="E3" s="18">
        <v>7.0000000000000007E-2</v>
      </c>
      <c r="F3" s="18">
        <v>0.18</v>
      </c>
      <c r="G3" s="18">
        <v>0.04</v>
      </c>
    </row>
    <row r="4" spans="1:11" x14ac:dyDescent="0.2">
      <c r="A4" s="19" t="s">
        <v>39</v>
      </c>
      <c r="B4" s="18">
        <v>0.33</v>
      </c>
      <c r="C4" s="18">
        <v>0.33</v>
      </c>
      <c r="D4" s="18">
        <v>0.33</v>
      </c>
      <c r="E4" s="18">
        <v>0.33</v>
      </c>
      <c r="F4" s="18">
        <v>0.33</v>
      </c>
      <c r="G4" t="s">
        <v>481</v>
      </c>
    </row>
    <row r="5" spans="1:11" x14ac:dyDescent="0.2">
      <c r="A5" s="19" t="s">
        <v>0</v>
      </c>
      <c r="B5" s="18">
        <v>0.18</v>
      </c>
      <c r="C5" s="18">
        <v>0.18</v>
      </c>
      <c r="D5" s="18">
        <v>0.18</v>
      </c>
      <c r="E5" s="18">
        <v>0.18</v>
      </c>
      <c r="F5" s="18">
        <v>0.18</v>
      </c>
      <c r="G5" t="s">
        <v>481</v>
      </c>
    </row>
    <row r="6" spans="1:11" x14ac:dyDescent="0.2">
      <c r="A6" s="19" t="s">
        <v>31</v>
      </c>
      <c r="B6" s="18">
        <v>0.18</v>
      </c>
      <c r="C6" s="18">
        <v>0.18</v>
      </c>
      <c r="D6" s="18">
        <v>0.18</v>
      </c>
      <c r="E6" s="18">
        <v>0.18</v>
      </c>
      <c r="F6" s="18">
        <v>0.18</v>
      </c>
      <c r="G6" t="s">
        <v>482</v>
      </c>
    </row>
    <row r="7" spans="1:11" x14ac:dyDescent="0.2">
      <c r="A7" s="19" t="s">
        <v>53</v>
      </c>
      <c r="B7" s="18">
        <v>0.27</v>
      </c>
      <c r="C7" s="18">
        <v>0.27</v>
      </c>
      <c r="D7" s="18">
        <v>0.27</v>
      </c>
      <c r="E7" s="18">
        <v>0.27</v>
      </c>
      <c r="F7" s="18">
        <v>0.27</v>
      </c>
      <c r="G7" t="s">
        <v>481</v>
      </c>
    </row>
    <row r="8" spans="1:11" x14ac:dyDescent="0.2">
      <c r="A8" s="19" t="s">
        <v>1</v>
      </c>
      <c r="B8" s="18">
        <v>0.02</v>
      </c>
      <c r="C8" s="18">
        <v>0.02</v>
      </c>
      <c r="D8" s="18">
        <v>0.02</v>
      </c>
      <c r="E8" s="18">
        <v>0.02</v>
      </c>
      <c r="F8" s="18">
        <v>0.02</v>
      </c>
      <c r="G8" t="s">
        <v>483</v>
      </c>
    </row>
    <row r="9" spans="1:11" x14ac:dyDescent="0.2">
      <c r="A9" s="19" t="s">
        <v>43</v>
      </c>
      <c r="B9" s="20">
        <v>0.14000000000000001</v>
      </c>
      <c r="C9" s="20">
        <v>0.14000000000000001</v>
      </c>
      <c r="D9" s="20">
        <v>0.14000000000000001</v>
      </c>
      <c r="E9" s="20">
        <v>0.14000000000000001</v>
      </c>
      <c r="F9" s="20">
        <v>0.14000000000000001</v>
      </c>
      <c r="G9" t="s">
        <v>484</v>
      </c>
    </row>
    <row r="10" spans="1:11" x14ac:dyDescent="0.2">
      <c r="A10" s="19" t="s">
        <v>44</v>
      </c>
      <c r="B10" s="20">
        <v>7.0000000000000007E-2</v>
      </c>
      <c r="C10" s="20">
        <v>7.0000000000000007E-2</v>
      </c>
      <c r="D10" s="20">
        <v>7.0000000000000007E-2</v>
      </c>
      <c r="E10" s="20">
        <v>7.0000000000000007E-2</v>
      </c>
      <c r="F10" s="20">
        <v>7.0000000000000007E-2</v>
      </c>
      <c r="G10" t="s">
        <v>484</v>
      </c>
      <c r="K10" s="26"/>
    </row>
    <row r="11" spans="1:11" x14ac:dyDescent="0.2">
      <c r="A11" s="19" t="s">
        <v>35</v>
      </c>
      <c r="B11" s="18">
        <v>0.25</v>
      </c>
      <c r="C11" s="18">
        <v>0.25</v>
      </c>
      <c r="D11" s="18">
        <v>0.25</v>
      </c>
      <c r="E11" s="18">
        <v>0.25</v>
      </c>
      <c r="F11" s="18">
        <v>0.25</v>
      </c>
      <c r="G11" s="26" t="s">
        <v>485</v>
      </c>
    </row>
    <row r="12" spans="1:11" x14ac:dyDescent="0.2">
      <c r="A12" s="19" t="s">
        <v>2</v>
      </c>
      <c r="B12" s="18">
        <v>0.61</v>
      </c>
      <c r="C12" s="18">
        <v>0.61</v>
      </c>
      <c r="D12" s="18">
        <v>0.61</v>
      </c>
      <c r="E12" s="18">
        <v>0.61</v>
      </c>
      <c r="F12" s="18">
        <v>0.61</v>
      </c>
      <c r="G12" t="s">
        <v>484</v>
      </c>
    </row>
    <row r="14" spans="1:11" s="1" customFormat="1" x14ac:dyDescent="0.2">
      <c r="A14" s="1" t="s">
        <v>3</v>
      </c>
      <c r="B14" s="6">
        <v>0</v>
      </c>
      <c r="C14" s="6">
        <v>1</v>
      </c>
      <c r="D14" s="6">
        <v>2</v>
      </c>
      <c r="E14" s="6">
        <v>3</v>
      </c>
      <c r="F14" s="6">
        <v>4</v>
      </c>
      <c r="G14" s="6">
        <v>5</v>
      </c>
    </row>
    <row r="15" spans="1:11" x14ac:dyDescent="0.2">
      <c r="A15" s="1" t="s">
        <v>4</v>
      </c>
    </row>
    <row r="16" spans="1:11" x14ac:dyDescent="0.2">
      <c r="A16" t="s">
        <v>33</v>
      </c>
      <c r="B16" s="2">
        <v>2254580</v>
      </c>
      <c r="C16" s="2">
        <f>B16*(1+B3)</f>
        <v>2637858.5999999996</v>
      </c>
      <c r="D16" s="2">
        <f>C16*(1+C3)</f>
        <v>3059915.9759999993</v>
      </c>
      <c r="E16" s="2">
        <f t="shared" ref="E16:G16" si="0">D16*(1+D3)</f>
        <v>3182312.6150399996</v>
      </c>
      <c r="F16" s="2">
        <f t="shared" si="0"/>
        <v>3405074.4980927999</v>
      </c>
      <c r="G16" s="2">
        <f t="shared" si="0"/>
        <v>4017987.9077495039</v>
      </c>
    </row>
    <row r="17" spans="1:9" x14ac:dyDescent="0.2">
      <c r="A17" t="s">
        <v>54</v>
      </c>
      <c r="B17" s="2">
        <v>592310</v>
      </c>
      <c r="C17" s="2">
        <f>C16*B7</f>
        <v>712221.82199999993</v>
      </c>
      <c r="D17" s="2">
        <f>D16*C7</f>
        <v>826177.31351999985</v>
      </c>
      <c r="E17" s="2">
        <f t="shared" ref="E17:G17" si="1">E16*D7</f>
        <v>859224.40606079996</v>
      </c>
      <c r="F17" s="2">
        <f t="shared" si="1"/>
        <v>919370.11448505602</v>
      </c>
      <c r="G17" s="2">
        <f t="shared" si="1"/>
        <v>1084856.7350923661</v>
      </c>
    </row>
    <row r="18" spans="1:9" x14ac:dyDescent="0.2">
      <c r="A18" t="s">
        <v>42</v>
      </c>
      <c r="B18" s="2"/>
      <c r="C18" s="2">
        <f>-B9*(B37+C37)/2</f>
        <v>-229845.00000000003</v>
      </c>
      <c r="D18" s="2">
        <f>-C9*(C37+D37)/2</f>
        <v>-229845.00000000003</v>
      </c>
      <c r="E18" s="2">
        <f t="shared" ref="E18:G18" si="2">-D9*(D37+E37)/2</f>
        <v>-229845.00000000003</v>
      </c>
      <c r="F18" s="2">
        <f t="shared" si="2"/>
        <v>-229845.00000000003</v>
      </c>
      <c r="G18" s="2">
        <f t="shared" si="2"/>
        <v>-229845.00000000003</v>
      </c>
    </row>
    <row r="19" spans="1:9" x14ac:dyDescent="0.2">
      <c r="A19" t="s">
        <v>45</v>
      </c>
      <c r="B19" s="2">
        <v>32630</v>
      </c>
      <c r="C19" s="2">
        <f ca="1">B10*(B28+C28)/2</f>
        <v>81840.832058115411</v>
      </c>
      <c r="D19" s="2">
        <f ca="1">C10*(C28+D28)/2</f>
        <v>133094.25406268958</v>
      </c>
      <c r="E19" s="2">
        <f t="shared" ref="E19:G19" ca="1" si="3">D10*(D28+E28)/2</f>
        <v>141938.63604061844</v>
      </c>
      <c r="F19" s="2">
        <f t="shared" ca="1" si="3"/>
        <v>154234.13525340665</v>
      </c>
      <c r="G19" s="2">
        <f t="shared" ca="1" si="3"/>
        <v>163366.36708232225</v>
      </c>
    </row>
    <row r="20" spans="1:9" x14ac:dyDescent="0.2">
      <c r="A20" t="s">
        <v>5</v>
      </c>
      <c r="B20" s="2">
        <v>-50220</v>
      </c>
      <c r="C20" s="2">
        <f ca="1">-B8*(C31+B31)/2</f>
        <v>-15934.490383838383</v>
      </c>
      <c r="D20" s="2">
        <f ca="1">-C8*(D31+C31)/2</f>
        <v>-10681.499034825014</v>
      </c>
      <c r="E20" s="2">
        <f t="shared" ref="E20:G20" ca="1" si="4">-D8*(E31+D31)/2</f>
        <v>-11887.203285096228</v>
      </c>
      <c r="F20" s="2">
        <f t="shared" ca="1" si="4"/>
        <v>-12754.909755266901</v>
      </c>
      <c r="G20" s="2">
        <f t="shared" ca="1" si="4"/>
        <v>-14531.994322925937</v>
      </c>
    </row>
    <row r="21" spans="1:9" x14ac:dyDescent="0.2">
      <c r="A21" t="s">
        <v>6</v>
      </c>
      <c r="B21" s="2">
        <v>569070</v>
      </c>
      <c r="C21" s="2">
        <f t="shared" ref="C21:D21" ca="1" si="5">SUM(C17:C20)</f>
        <v>548283.1636742769</v>
      </c>
      <c r="D21" s="2">
        <f t="shared" ca="1" si="5"/>
        <v>718745.06854786444</v>
      </c>
      <c r="E21" s="2">
        <f t="shared" ref="E21" ca="1" si="6">SUM(E17:E20)</f>
        <v>759430.83881632215</v>
      </c>
      <c r="F21" s="2">
        <f t="shared" ref="F21" ca="1" si="7">SUM(F17:F20)</f>
        <v>831004.33998319588</v>
      </c>
      <c r="G21" s="2">
        <f t="shared" ref="G21" ca="1" si="8">SUM(G17:G20)</f>
        <v>1003846.1078517624</v>
      </c>
    </row>
    <row r="22" spans="1:9" x14ac:dyDescent="0.2">
      <c r="A22" t="s">
        <v>34</v>
      </c>
      <c r="B22" s="2">
        <v>-146040</v>
      </c>
      <c r="C22" s="2">
        <f ca="1">-C21*B11</f>
        <v>-137070.79091856923</v>
      </c>
      <c r="D22" s="2">
        <f ca="1">-D21*C11</f>
        <v>-179686.26713696611</v>
      </c>
      <c r="E22" s="2">
        <f t="shared" ref="E22:G22" ca="1" si="9">-E21*D11</f>
        <v>-189857.70970408054</v>
      </c>
      <c r="F22" s="2">
        <f t="shared" ca="1" si="9"/>
        <v>-207751.08499579897</v>
      </c>
      <c r="G22" s="2">
        <f t="shared" ca="1" si="9"/>
        <v>-250961.52696294061</v>
      </c>
    </row>
    <row r="23" spans="1:9" x14ac:dyDescent="0.2">
      <c r="A23" t="s">
        <v>7</v>
      </c>
      <c r="B23" s="2">
        <v>423030</v>
      </c>
      <c r="C23" s="2">
        <f t="shared" ref="C23" ca="1" si="10">C22+C21</f>
        <v>411212.37275570771</v>
      </c>
      <c r="D23" s="2">
        <f t="shared" ref="D23:E23" ca="1" si="11">D22+D21</f>
        <v>539058.80141089833</v>
      </c>
      <c r="E23" s="2">
        <f t="shared" ca="1" si="11"/>
        <v>569573.12911224156</v>
      </c>
      <c r="F23" s="2">
        <f t="shared" ref="F23:G23" ca="1" si="12">F22+F21</f>
        <v>623253.25498739688</v>
      </c>
      <c r="G23" s="2">
        <f t="shared" ca="1" si="12"/>
        <v>752884.58088882186</v>
      </c>
    </row>
    <row r="24" spans="1:9" x14ac:dyDescent="0.2">
      <c r="A24" t="s">
        <v>8</v>
      </c>
      <c r="B24" s="2">
        <v>-413470</v>
      </c>
      <c r="C24" s="2">
        <f ca="1">-B12*C23</f>
        <v>-250839.5473809817</v>
      </c>
      <c r="D24" s="2">
        <f ca="1">-C12*D23</f>
        <v>-328825.86886064796</v>
      </c>
      <c r="E24" s="2">
        <f t="shared" ref="E24:G24" ca="1" si="13">-D12*E23</f>
        <v>-347439.60875846737</v>
      </c>
      <c r="F24" s="2">
        <f t="shared" ca="1" si="13"/>
        <v>-380184.48554231209</v>
      </c>
      <c r="G24" s="2">
        <f t="shared" ca="1" si="13"/>
        <v>-459259.59434218134</v>
      </c>
    </row>
    <row r="25" spans="1:9" x14ac:dyDescent="0.2">
      <c r="A25" t="s">
        <v>36</v>
      </c>
      <c r="B25" s="2">
        <v>-775940</v>
      </c>
      <c r="C25" s="2">
        <f t="shared" ref="C25" ca="1" si="14">C24+C23</f>
        <v>160372.825374726</v>
      </c>
      <c r="D25" s="2">
        <f t="shared" ref="D25:E25" ca="1" si="15">D24+D23</f>
        <v>210232.93255025038</v>
      </c>
      <c r="E25" s="2">
        <f t="shared" ca="1" si="15"/>
        <v>222133.52035377419</v>
      </c>
      <c r="F25" s="2">
        <f t="shared" ref="F25:G25" ca="1" si="16">F24+F23</f>
        <v>243068.76944508479</v>
      </c>
      <c r="G25" s="2">
        <f t="shared" ca="1" si="16"/>
        <v>293624.98654664052</v>
      </c>
    </row>
    <row r="26" spans="1:9" x14ac:dyDescent="0.2">
      <c r="B26" s="2"/>
      <c r="C26" s="2"/>
      <c r="D26" s="2"/>
      <c r="E26" s="2"/>
      <c r="F26" s="2"/>
      <c r="G26" s="2"/>
    </row>
    <row r="27" spans="1:9" x14ac:dyDescent="0.2">
      <c r="A27" s="1" t="s">
        <v>32</v>
      </c>
      <c r="B27" s="2"/>
      <c r="C27" s="2"/>
      <c r="D27" s="2"/>
      <c r="E27" s="2"/>
      <c r="F27" s="2"/>
      <c r="G27" s="2"/>
    </row>
    <row r="28" spans="1:9" x14ac:dyDescent="0.2">
      <c r="A28" s="5" t="s">
        <v>15</v>
      </c>
      <c r="B28" s="2">
        <v>472440</v>
      </c>
      <c r="C28" s="2">
        <f ca="1">C40-C29-C33</f>
        <v>1865869.4873747258</v>
      </c>
      <c r="D28" s="2">
        <f t="shared" ref="D28:G28" ca="1" si="17">D40-D29-D33</f>
        <v>1936823.485844976</v>
      </c>
      <c r="E28" s="2">
        <f t="shared" ca="1" si="17"/>
        <v>2118566.1153155505</v>
      </c>
      <c r="F28" s="2">
        <f t="shared" ca="1" si="17"/>
        <v>2288123.4633532106</v>
      </c>
      <c r="G28" s="2">
        <f t="shared" ca="1" si="17"/>
        <v>2379487.024713139</v>
      </c>
      <c r="I28" s="13"/>
    </row>
    <row r="29" spans="1:9" x14ac:dyDescent="0.2">
      <c r="A29" t="s">
        <v>37</v>
      </c>
      <c r="B29" s="2">
        <v>630260</v>
      </c>
      <c r="C29" s="2">
        <f>C16*B4</f>
        <v>870493.33799999987</v>
      </c>
      <c r="D29" s="2">
        <f t="shared" ref="D29:G29" si="18">D16*C4</f>
        <v>1009772.2720799998</v>
      </c>
      <c r="E29" s="2">
        <f t="shared" si="18"/>
        <v>1050163.1629631999</v>
      </c>
      <c r="F29" s="2">
        <f t="shared" si="18"/>
        <v>1123674.584370624</v>
      </c>
      <c r="G29" s="2">
        <f t="shared" si="18"/>
        <v>1325936.0095573363</v>
      </c>
    </row>
    <row r="30" spans="1:9" x14ac:dyDescent="0.2">
      <c r="A30" t="s">
        <v>38</v>
      </c>
      <c r="B30" s="2"/>
      <c r="C30" s="2"/>
      <c r="D30" s="2"/>
      <c r="E30" s="2"/>
      <c r="F30" s="2"/>
      <c r="G30" s="2"/>
    </row>
    <row r="31" spans="1:9" x14ac:dyDescent="0.2">
      <c r="A31" t="s">
        <v>9</v>
      </c>
      <c r="B31" s="2">
        <v>1102700</v>
      </c>
      <c r="C31" s="2">
        <f t="shared" ref="C31" ca="1" si="19">C33-C32</f>
        <v>490749.03838383825</v>
      </c>
      <c r="D31" s="2">
        <f t="shared" ref="D31:G31" ca="1" si="20">D33-D32</f>
        <v>577400.86509866326</v>
      </c>
      <c r="E31" s="2">
        <f t="shared" ca="1" si="20"/>
        <v>611319.46341095958</v>
      </c>
      <c r="F31" s="2">
        <f t="shared" ca="1" si="20"/>
        <v>664171.51211573044</v>
      </c>
      <c r="G31" s="2">
        <f t="shared" ca="1" si="20"/>
        <v>789027.92017686309</v>
      </c>
    </row>
    <row r="32" spans="1:9" x14ac:dyDescent="0.2">
      <c r="A32" t="s">
        <v>10</v>
      </c>
      <c r="B32" s="2"/>
      <c r="C32" s="2">
        <f ca="1">B32-B8*(C31+B31)/2</f>
        <v>-15934.490383838383</v>
      </c>
      <c r="D32" s="2">
        <f t="shared" ref="D32:G32" ca="1" si="21">C32-C8*(D31+C31)/2</f>
        <v>-26615.989418663397</v>
      </c>
      <c r="E32" s="2">
        <f t="shared" ca="1" si="21"/>
        <v>-38503.192703759625</v>
      </c>
      <c r="F32" s="2">
        <f t="shared" ca="1" si="21"/>
        <v>-51258.10245902653</v>
      </c>
      <c r="G32" s="2">
        <f t="shared" ca="1" si="21"/>
        <v>-65790.096781952467</v>
      </c>
    </row>
    <row r="33" spans="1:7" x14ac:dyDescent="0.2">
      <c r="A33" t="s">
        <v>40</v>
      </c>
      <c r="B33" s="2">
        <v>354990</v>
      </c>
      <c r="C33" s="2">
        <f>C16*B6</f>
        <v>474814.54799999989</v>
      </c>
      <c r="D33" s="2">
        <f t="shared" ref="D33:G33" si="22">D16*C6</f>
        <v>550784.87567999982</v>
      </c>
      <c r="E33" s="2">
        <f t="shared" si="22"/>
        <v>572816.27070719993</v>
      </c>
      <c r="F33" s="2">
        <f t="shared" si="22"/>
        <v>612913.40965670394</v>
      </c>
      <c r="G33" s="2">
        <f t="shared" si="22"/>
        <v>723237.82339491067</v>
      </c>
    </row>
    <row r="34" spans="1:7" x14ac:dyDescent="0.2">
      <c r="A34" s="1" t="s">
        <v>11</v>
      </c>
      <c r="B34" s="2">
        <v>1457690</v>
      </c>
      <c r="C34" s="2">
        <f ca="1">C33+C29+C28</f>
        <v>3211177.3733747257</v>
      </c>
      <c r="D34" s="2">
        <f t="shared" ref="D34:G34" ca="1" si="23">D33+D29+D28</f>
        <v>3497380.6336049754</v>
      </c>
      <c r="E34" s="2">
        <f t="shared" ca="1" si="23"/>
        <v>3741545.5489859502</v>
      </c>
      <c r="F34" s="2">
        <f t="shared" ca="1" si="23"/>
        <v>4024711.4573805388</v>
      </c>
      <c r="G34" s="2">
        <f t="shared" ca="1" si="23"/>
        <v>4428660.8576653861</v>
      </c>
    </row>
    <row r="35" spans="1:7" x14ac:dyDescent="0.2">
      <c r="B35" s="2"/>
      <c r="C35" s="2"/>
      <c r="D35" s="2"/>
      <c r="E35" s="2"/>
      <c r="F35" s="2"/>
      <c r="G35" s="2"/>
    </row>
    <row r="36" spans="1:7" x14ac:dyDescent="0.2">
      <c r="A36" t="s">
        <v>12</v>
      </c>
      <c r="B36" s="2">
        <v>435580</v>
      </c>
      <c r="C36" s="2">
        <f>C16*B5</f>
        <v>474814.54799999989</v>
      </c>
      <c r="D36" s="2">
        <f t="shared" ref="D36:G36" si="24">D16*C5</f>
        <v>550784.87567999982</v>
      </c>
      <c r="E36" s="2">
        <f t="shared" si="24"/>
        <v>572816.27070719993</v>
      </c>
      <c r="F36" s="2">
        <f t="shared" si="24"/>
        <v>612913.40965670394</v>
      </c>
      <c r="G36" s="2">
        <f t="shared" si="24"/>
        <v>723237.82339491067</v>
      </c>
    </row>
    <row r="37" spans="1:7" x14ac:dyDescent="0.2">
      <c r="A37" t="s">
        <v>41</v>
      </c>
      <c r="B37" s="2">
        <v>1641750</v>
      </c>
      <c r="C37" s="2">
        <f t="shared" ref="C37:C38" si="25">B37</f>
        <v>1641750</v>
      </c>
      <c r="D37" s="2">
        <f t="shared" ref="D37:D38" si="26">C37</f>
        <v>1641750</v>
      </c>
      <c r="E37" s="2">
        <f t="shared" ref="E37:E38" si="27">D37</f>
        <v>1641750</v>
      </c>
      <c r="F37" s="2">
        <f t="shared" ref="F37:F38" si="28">E37</f>
        <v>1641750</v>
      </c>
      <c r="G37" s="2">
        <f t="shared" ref="G37:G38" si="29">F37</f>
        <v>1641750</v>
      </c>
    </row>
    <row r="38" spans="1:7" x14ac:dyDescent="0.2">
      <c r="A38" t="s">
        <v>52</v>
      </c>
      <c r="B38" s="2">
        <v>157300</v>
      </c>
      <c r="C38" s="2">
        <f t="shared" si="25"/>
        <v>157300</v>
      </c>
      <c r="D38" s="2">
        <f t="shared" si="26"/>
        <v>157300</v>
      </c>
      <c r="E38" s="2">
        <f t="shared" si="27"/>
        <v>157300</v>
      </c>
      <c r="F38" s="2">
        <f t="shared" si="28"/>
        <v>157300</v>
      </c>
      <c r="G38" s="2">
        <f t="shared" si="29"/>
        <v>157300</v>
      </c>
    </row>
    <row r="39" spans="1:7" x14ac:dyDescent="0.2">
      <c r="A39" t="s">
        <v>13</v>
      </c>
      <c r="B39" s="2">
        <v>776940</v>
      </c>
      <c r="C39" s="2">
        <f ca="1">B39+C25</f>
        <v>937312.82537472597</v>
      </c>
      <c r="D39" s="2">
        <f t="shared" ref="D39:G39" ca="1" si="30">C39+D25</f>
        <v>1147545.7579249763</v>
      </c>
      <c r="E39" s="2">
        <f t="shared" ca="1" si="30"/>
        <v>1369679.2782787504</v>
      </c>
      <c r="F39" s="2">
        <f t="shared" ca="1" si="30"/>
        <v>1612748.0477238351</v>
      </c>
      <c r="G39" s="2">
        <f t="shared" ca="1" si="30"/>
        <v>1906373.0342704756</v>
      </c>
    </row>
    <row r="40" spans="1:7" x14ac:dyDescent="0.2">
      <c r="A40" s="1" t="s">
        <v>14</v>
      </c>
      <c r="B40" s="2">
        <v>-1457690</v>
      </c>
      <c r="C40" s="2">
        <f t="shared" ref="C40" ca="1" si="31">SUM(C36:C39)</f>
        <v>3211177.3733747257</v>
      </c>
      <c r="D40" s="2">
        <f t="shared" ref="D40:G40" ca="1" si="32">SUM(D36:D39)</f>
        <v>3497380.6336049759</v>
      </c>
      <c r="E40" s="2">
        <f t="shared" ca="1" si="32"/>
        <v>3741545.5489859502</v>
      </c>
      <c r="F40" s="2">
        <f t="shared" ca="1" si="32"/>
        <v>4024711.4573805388</v>
      </c>
      <c r="G40" s="2">
        <f t="shared" ca="1" si="32"/>
        <v>4428660.8576653861</v>
      </c>
    </row>
    <row r="41" spans="1:7" s="5" customFormat="1" x14ac:dyDescent="0.2">
      <c r="B41" s="14"/>
      <c r="C41" s="14"/>
      <c r="D41" s="14"/>
      <c r="E41" s="14"/>
      <c r="F41" s="14"/>
      <c r="G41" s="14"/>
    </row>
    <row r="43" spans="1:7" s="1" customFormat="1" x14ac:dyDescent="0.2">
      <c r="A43" s="7" t="s">
        <v>3</v>
      </c>
      <c r="B43" s="8">
        <v>0</v>
      </c>
      <c r="C43" s="8">
        <v>1</v>
      </c>
      <c r="D43" s="8">
        <v>2</v>
      </c>
      <c r="E43" s="8">
        <v>3</v>
      </c>
      <c r="F43" s="8">
        <v>4</v>
      </c>
      <c r="G43" s="8">
        <v>5</v>
      </c>
    </row>
    <row r="44" spans="1:7" x14ac:dyDescent="0.2">
      <c r="A44" s="9" t="s">
        <v>21</v>
      </c>
      <c r="B44" s="10"/>
      <c r="C44" s="10"/>
      <c r="D44" s="10"/>
      <c r="E44" s="10"/>
      <c r="F44" s="10"/>
      <c r="G44" s="10"/>
    </row>
    <row r="45" spans="1:7" x14ac:dyDescent="0.2">
      <c r="A45" s="10" t="s">
        <v>7</v>
      </c>
      <c r="B45" s="10"/>
      <c r="C45" s="10">
        <f ca="1">C23</f>
        <v>411212.37275570771</v>
      </c>
      <c r="D45" s="10">
        <f t="shared" ref="D45:G45" ca="1" si="33">D23</f>
        <v>539058.80141089833</v>
      </c>
      <c r="E45" s="10">
        <f t="shared" ca="1" si="33"/>
        <v>569573.12911224156</v>
      </c>
      <c r="F45" s="10">
        <f t="shared" ca="1" si="33"/>
        <v>623253.25498739688</v>
      </c>
      <c r="G45" s="10">
        <f t="shared" ca="1" si="33"/>
        <v>752884.58088882186</v>
      </c>
    </row>
    <row r="46" spans="1:7" x14ac:dyDescent="0.2">
      <c r="A46" s="10" t="s">
        <v>18</v>
      </c>
      <c r="B46" s="10"/>
      <c r="C46" s="10">
        <f ca="1">-C20</f>
        <v>15934.490383838383</v>
      </c>
      <c r="D46" s="10">
        <f t="shared" ref="D46:G46" ca="1" si="34">-D20</f>
        <v>10681.499034825014</v>
      </c>
      <c r="E46" s="10">
        <f t="shared" ca="1" si="34"/>
        <v>11887.203285096228</v>
      </c>
      <c r="F46" s="10">
        <f t="shared" ca="1" si="34"/>
        <v>12754.909755266901</v>
      </c>
      <c r="G46" s="10">
        <f t="shared" ca="1" si="34"/>
        <v>14531.994322925937</v>
      </c>
    </row>
    <row r="47" spans="1:7" x14ac:dyDescent="0.2">
      <c r="A47" s="10" t="s">
        <v>20</v>
      </c>
      <c r="B47" s="10"/>
      <c r="C47" s="10">
        <f>-(C29-B29)</f>
        <v>-240233.33799999987</v>
      </c>
      <c r="D47" s="10">
        <f t="shared" ref="D47:G47" si="35">-(D29-C29)</f>
        <v>-139278.93407999992</v>
      </c>
      <c r="E47" s="10">
        <f t="shared" si="35"/>
        <v>-40390.890883200103</v>
      </c>
      <c r="F47" s="10">
        <f t="shared" si="35"/>
        <v>-73511.421407424146</v>
      </c>
      <c r="G47" s="10">
        <f t="shared" si="35"/>
        <v>-202261.42518671229</v>
      </c>
    </row>
    <row r="48" spans="1:7" x14ac:dyDescent="0.2">
      <c r="A48" s="10" t="s">
        <v>19</v>
      </c>
      <c r="B48" s="10"/>
      <c r="C48" s="10">
        <f>C36-B36</f>
        <v>39234.547999999893</v>
      </c>
      <c r="D48" s="10">
        <f t="shared" ref="D48:G48" si="36">D36-C36</f>
        <v>75970.327679999929</v>
      </c>
      <c r="E48" s="10">
        <f t="shared" si="36"/>
        <v>22031.395027200109</v>
      </c>
      <c r="F48" s="10">
        <f t="shared" si="36"/>
        <v>40097.138949504006</v>
      </c>
      <c r="G48" s="10">
        <f t="shared" si="36"/>
        <v>110324.41373820673</v>
      </c>
    </row>
    <row r="49" spans="1:26" x14ac:dyDescent="0.2">
      <c r="A49" s="10" t="s">
        <v>46</v>
      </c>
      <c r="B49" s="10"/>
      <c r="C49" s="10">
        <f ca="1">-(C31-B31)</f>
        <v>611950.96161616175</v>
      </c>
      <c r="D49" s="10">
        <f t="shared" ref="D49:G49" ca="1" si="37">-(D31-C31)</f>
        <v>-86651.826714825002</v>
      </c>
      <c r="E49" s="10">
        <f t="shared" ca="1" si="37"/>
        <v>-33918.598312296323</v>
      </c>
      <c r="F49" s="10">
        <f t="shared" ca="1" si="37"/>
        <v>-52852.048704770859</v>
      </c>
      <c r="G49" s="10">
        <f t="shared" ca="1" si="37"/>
        <v>-124856.40806113265</v>
      </c>
    </row>
    <row r="50" spans="1:26" x14ac:dyDescent="0.2">
      <c r="A50" s="10" t="s">
        <v>47</v>
      </c>
      <c r="B50" s="10"/>
      <c r="C50" s="10">
        <f>-(1-B11)*C18</f>
        <v>172383.75000000003</v>
      </c>
      <c r="D50" s="10">
        <f t="shared" ref="D50:G50" si="38">-(1-C11)*D18</f>
        <v>172383.75000000003</v>
      </c>
      <c r="E50" s="10">
        <f t="shared" si="38"/>
        <v>172383.75000000003</v>
      </c>
      <c r="F50" s="10">
        <f t="shared" si="38"/>
        <v>172383.75000000003</v>
      </c>
      <c r="G50" s="10">
        <f t="shared" si="38"/>
        <v>172383.75000000003</v>
      </c>
    </row>
    <row r="51" spans="1:26" x14ac:dyDescent="0.2">
      <c r="A51" s="10" t="s">
        <v>48</v>
      </c>
      <c r="B51" s="10"/>
      <c r="C51" s="10">
        <f ca="1">-(1-B11)*C19</f>
        <v>-61380.624043586562</v>
      </c>
      <c r="D51" s="10">
        <f t="shared" ref="D51:G51" ca="1" si="39">-(1-C11)*D19</f>
        <v>-99820.690547017177</v>
      </c>
      <c r="E51" s="10">
        <f t="shared" ca="1" si="39"/>
        <v>-106453.97703046384</v>
      </c>
      <c r="F51" s="10">
        <f t="shared" ca="1" si="39"/>
        <v>-115675.60144005499</v>
      </c>
      <c r="G51" s="10">
        <f t="shared" ca="1" si="39"/>
        <v>-122524.77531174169</v>
      </c>
      <c r="J51" s="10"/>
    </row>
    <row r="52" spans="1:26" x14ac:dyDescent="0.2">
      <c r="A52" s="9" t="s">
        <v>17</v>
      </c>
      <c r="B52" s="10"/>
      <c r="C52" s="9">
        <f ca="1">SUM(C45:C51)</f>
        <v>949102.16071212129</v>
      </c>
      <c r="D52" s="9">
        <f t="shared" ref="D52:G52" ca="1" si="40">SUM(D45:D51)</f>
        <v>472342.92678388127</v>
      </c>
      <c r="E52" s="9">
        <f t="shared" ca="1" si="40"/>
        <v>595112.01119857759</v>
      </c>
      <c r="F52" s="9">
        <f t="shared" ca="1" si="40"/>
        <v>606449.98213991779</v>
      </c>
      <c r="G52" s="9">
        <f t="shared" ca="1" si="40"/>
        <v>600482.13039036794</v>
      </c>
    </row>
    <row r="55" spans="1:26" ht="18" x14ac:dyDescent="0.25">
      <c r="A55" s="12" t="s">
        <v>22</v>
      </c>
      <c r="R55" s="133" t="s">
        <v>637</v>
      </c>
      <c r="S55" s="134"/>
      <c r="T55" s="134"/>
      <c r="U55" s="134"/>
      <c r="V55" s="134"/>
      <c r="W55" s="134"/>
      <c r="X55" s="134"/>
      <c r="Y55" s="134"/>
      <c r="Z55" s="134"/>
    </row>
    <row r="56" spans="1:26" s="5" customFormat="1" ht="15" customHeight="1" x14ac:dyDescent="0.2">
      <c r="A56" s="21" t="s">
        <v>25</v>
      </c>
      <c r="B56" s="22">
        <v>0.11</v>
      </c>
      <c r="N56"/>
      <c r="O56"/>
      <c r="P56"/>
      <c r="Q56"/>
      <c r="R56" s="134"/>
      <c r="S56" s="134"/>
      <c r="T56" s="134"/>
      <c r="U56" s="134"/>
      <c r="V56" s="134"/>
      <c r="W56" s="134"/>
      <c r="X56" s="134"/>
      <c r="Y56" s="134"/>
      <c r="Z56" s="134"/>
    </row>
    <row r="57" spans="1:26" ht="15" customHeight="1" x14ac:dyDescent="0.2">
      <c r="A57" s="21" t="s">
        <v>60</v>
      </c>
      <c r="B57" s="23">
        <v>8.4000000000000005E-2</v>
      </c>
      <c r="R57" s="134"/>
      <c r="S57" s="134"/>
      <c r="T57" s="134"/>
      <c r="U57" s="134"/>
      <c r="V57" s="134"/>
      <c r="W57" s="134"/>
      <c r="X57" s="134"/>
      <c r="Y57" s="134"/>
      <c r="Z57" s="134"/>
    </row>
    <row r="58" spans="1:26" s="1" customFormat="1" ht="15" customHeight="1" x14ac:dyDescent="0.2">
      <c r="A58" s="7" t="s">
        <v>3</v>
      </c>
      <c r="B58" s="8">
        <v>0</v>
      </c>
      <c r="C58" s="8">
        <v>1</v>
      </c>
      <c r="D58" s="8">
        <v>2</v>
      </c>
      <c r="E58" s="8">
        <v>3</v>
      </c>
      <c r="F58" s="8">
        <v>4</v>
      </c>
      <c r="G58" s="8">
        <v>5</v>
      </c>
      <c r="N58"/>
      <c r="O58"/>
      <c r="P58"/>
      <c r="Q58"/>
      <c r="R58" s="134"/>
      <c r="S58" s="134"/>
      <c r="T58" s="134"/>
      <c r="U58" s="134"/>
      <c r="V58" s="134"/>
      <c r="W58" s="134"/>
      <c r="X58" s="134"/>
      <c r="Y58" s="134"/>
      <c r="Z58" s="134"/>
    </row>
    <row r="59" spans="1:26" ht="15" customHeight="1" x14ac:dyDescent="0.2">
      <c r="A59" t="s">
        <v>23</v>
      </c>
      <c r="C59" s="10">
        <f ca="1">C52</f>
        <v>949102.16071212129</v>
      </c>
      <c r="D59" s="10">
        <f ca="1">D52</f>
        <v>472342.92678388127</v>
      </c>
      <c r="E59" s="10">
        <f ca="1">E52</f>
        <v>595112.01119857759</v>
      </c>
      <c r="F59" s="10">
        <f ca="1">F52</f>
        <v>606449.98213991779</v>
      </c>
      <c r="G59" s="3">
        <f ca="1">G52</f>
        <v>600482.13039036794</v>
      </c>
      <c r="R59" s="134"/>
      <c r="S59" s="134"/>
      <c r="T59" s="134"/>
      <c r="U59" s="134"/>
      <c r="V59" s="134"/>
      <c r="W59" s="134"/>
      <c r="X59" s="134"/>
      <c r="Y59" s="134"/>
      <c r="Z59" s="134"/>
    </row>
    <row r="60" spans="1:26" ht="15" customHeight="1" x14ac:dyDescent="0.2">
      <c r="A60" t="s">
        <v>24</v>
      </c>
      <c r="G60" s="11">
        <f ca="1">G59*(1+G3)/(B56-B57)</f>
        <v>24019285.215614721</v>
      </c>
      <c r="H60" s="16" t="s">
        <v>62</v>
      </c>
      <c r="R60" s="134"/>
      <c r="S60" s="134"/>
      <c r="T60" s="134"/>
      <c r="U60" s="134"/>
      <c r="V60" s="134"/>
      <c r="W60" s="134"/>
      <c r="X60" s="134"/>
      <c r="Y60" s="134"/>
      <c r="Z60" s="134"/>
    </row>
    <row r="61" spans="1:26" ht="15" customHeight="1" x14ac:dyDescent="0.2">
      <c r="A61" t="s">
        <v>16</v>
      </c>
      <c r="C61" s="10">
        <f ca="1">C60+C59</f>
        <v>949102.16071212129</v>
      </c>
      <c r="D61" s="10">
        <f ca="1">D60+D59</f>
        <v>472342.92678388127</v>
      </c>
      <c r="E61" s="10">
        <f ca="1">E60+E59</f>
        <v>595112.01119857759</v>
      </c>
      <c r="F61" s="10">
        <f ca="1">F60+F59</f>
        <v>606449.98213991779</v>
      </c>
      <c r="G61" s="3">
        <f ca="1">G60+G59</f>
        <v>24619767.34600509</v>
      </c>
      <c r="R61" s="134"/>
      <c r="S61" s="134"/>
      <c r="T61" s="134"/>
      <c r="U61" s="134"/>
      <c r="V61" s="134"/>
      <c r="W61" s="134"/>
      <c r="X61" s="134"/>
      <c r="Y61" s="134"/>
      <c r="Z61" s="134"/>
    </row>
    <row r="62" spans="1:26" ht="15" customHeight="1" x14ac:dyDescent="0.2">
      <c r="R62" s="134"/>
      <c r="S62" s="134"/>
      <c r="T62" s="134"/>
      <c r="U62" s="134"/>
      <c r="V62" s="134"/>
      <c r="W62" s="134"/>
      <c r="X62" s="134"/>
      <c r="Y62" s="134"/>
      <c r="Z62" s="134"/>
    </row>
    <row r="63" spans="1:26" ht="15" customHeight="1" x14ac:dyDescent="0.2">
      <c r="A63" t="s">
        <v>28</v>
      </c>
      <c r="B63" s="3">
        <f ca="1">NPV(B56,C61:G61)</f>
        <v>16683672.896176269</v>
      </c>
      <c r="C63" s="16" t="s">
        <v>26</v>
      </c>
      <c r="R63" s="134"/>
      <c r="S63" s="134"/>
      <c r="T63" s="134"/>
      <c r="U63" s="134"/>
      <c r="V63" s="134"/>
      <c r="W63" s="134"/>
      <c r="X63" s="134"/>
      <c r="Y63" s="134"/>
      <c r="Z63" s="134"/>
    </row>
    <row r="64" spans="1:26" ht="15" customHeight="1" x14ac:dyDescent="0.2">
      <c r="A64" t="s">
        <v>50</v>
      </c>
      <c r="B64" s="3">
        <f>B28</f>
        <v>472440</v>
      </c>
      <c r="R64" s="134"/>
      <c r="S64" s="134"/>
      <c r="T64" s="134"/>
      <c r="U64" s="134"/>
      <c r="V64" s="134"/>
      <c r="W64" s="134"/>
      <c r="X64" s="134"/>
      <c r="Y64" s="134"/>
      <c r="Z64" s="134"/>
    </row>
    <row r="65" spans="1:26" ht="15" customHeight="1" x14ac:dyDescent="0.2">
      <c r="A65" t="s">
        <v>27</v>
      </c>
      <c r="B65" s="3">
        <f ca="1">B64+B63</f>
        <v>17156112.896176271</v>
      </c>
      <c r="R65" s="134"/>
      <c r="S65" s="134"/>
      <c r="T65" s="134"/>
      <c r="U65" s="134"/>
      <c r="V65" s="134"/>
      <c r="W65" s="134"/>
      <c r="X65" s="134"/>
      <c r="Y65" s="134"/>
      <c r="Z65" s="134"/>
    </row>
    <row r="66" spans="1:26" x14ac:dyDescent="0.2">
      <c r="A66" t="s">
        <v>49</v>
      </c>
      <c r="B66" s="3">
        <f>-B37</f>
        <v>-1641750</v>
      </c>
    </row>
    <row r="67" spans="1:26" x14ac:dyDescent="0.2">
      <c r="A67" s="17" t="s">
        <v>51</v>
      </c>
      <c r="B67" s="24">
        <f ca="1">B65+B66</f>
        <v>15514362.896176271</v>
      </c>
    </row>
    <row r="68" spans="1:26" x14ac:dyDescent="0.2">
      <c r="A68" t="s">
        <v>63</v>
      </c>
      <c r="B68">
        <v>3827.65</v>
      </c>
      <c r="R68" s="135" t="s">
        <v>636</v>
      </c>
      <c r="S68" s="136"/>
      <c r="T68" s="136"/>
      <c r="U68" s="136"/>
      <c r="V68" s="136"/>
      <c r="W68" s="136"/>
      <c r="X68" s="136"/>
      <c r="Y68" s="136"/>
      <c r="Z68" s="136"/>
    </row>
    <row r="69" spans="1:26" x14ac:dyDescent="0.2">
      <c r="A69" s="108" t="s">
        <v>508</v>
      </c>
      <c r="B69" s="108">
        <f ca="1">B67/B68</f>
        <v>4053.2344640121933</v>
      </c>
      <c r="F69" s="25"/>
      <c r="R69" s="136"/>
      <c r="S69" s="136"/>
      <c r="T69" s="136"/>
      <c r="U69" s="136"/>
      <c r="V69" s="136"/>
      <c r="W69" s="136"/>
      <c r="X69" s="136"/>
      <c r="Y69" s="136"/>
      <c r="Z69" s="136"/>
    </row>
    <row r="70" spans="1:26" x14ac:dyDescent="0.2">
      <c r="R70" s="136"/>
      <c r="S70" s="136"/>
      <c r="T70" s="136"/>
      <c r="U70" s="136"/>
      <c r="V70" s="136"/>
      <c r="W70" s="136"/>
      <c r="X70" s="136"/>
      <c r="Y70" s="136"/>
      <c r="Z70" s="136"/>
    </row>
    <row r="71" spans="1:26" x14ac:dyDescent="0.2">
      <c r="R71" s="136"/>
      <c r="S71" s="136"/>
      <c r="T71" s="136"/>
      <c r="U71" s="136"/>
      <c r="V71" s="136"/>
      <c r="W71" s="136"/>
      <c r="X71" s="136"/>
      <c r="Y71" s="136"/>
      <c r="Z71" s="136"/>
    </row>
    <row r="72" spans="1:26" x14ac:dyDescent="0.2">
      <c r="A72" s="25"/>
      <c r="R72" s="136"/>
      <c r="S72" s="136"/>
      <c r="T72" s="136"/>
      <c r="U72" s="136"/>
      <c r="V72" s="136"/>
      <c r="W72" s="136"/>
      <c r="X72" s="136"/>
      <c r="Y72" s="136"/>
      <c r="Z72" s="136"/>
    </row>
    <row r="73" spans="1:26" x14ac:dyDescent="0.2">
      <c r="R73" s="136"/>
      <c r="S73" s="136"/>
      <c r="T73" s="136"/>
      <c r="U73" s="136"/>
      <c r="V73" s="136"/>
      <c r="W73" s="136"/>
      <c r="X73" s="136"/>
      <c r="Y73" s="136"/>
      <c r="Z73" s="136"/>
    </row>
    <row r="74" spans="1:26" x14ac:dyDescent="0.2">
      <c r="R74" s="136"/>
      <c r="S74" s="136"/>
      <c r="T74" s="136"/>
      <c r="U74" s="136"/>
      <c r="V74" s="136"/>
      <c r="W74" s="136"/>
      <c r="X74" s="136"/>
      <c r="Y74" s="136"/>
      <c r="Z74" s="136"/>
    </row>
    <row r="75" spans="1:26" x14ac:dyDescent="0.2">
      <c r="R75" s="136"/>
      <c r="S75" s="136"/>
      <c r="T75" s="136"/>
      <c r="U75" s="136"/>
      <c r="V75" s="136"/>
      <c r="W75" s="136"/>
      <c r="X75" s="136"/>
      <c r="Y75" s="136"/>
      <c r="Z75" s="136"/>
    </row>
    <row r="76" spans="1:26" x14ac:dyDescent="0.2">
      <c r="R76" s="136"/>
      <c r="S76" s="136"/>
      <c r="T76" s="136"/>
      <c r="U76" s="136"/>
      <c r="V76" s="136"/>
      <c r="W76" s="136"/>
      <c r="X76" s="136"/>
      <c r="Y76" s="136"/>
      <c r="Z76" s="136"/>
    </row>
    <row r="77" spans="1:26" x14ac:dyDescent="0.2">
      <c r="R77" s="136"/>
      <c r="S77" s="136"/>
      <c r="T77" s="136"/>
      <c r="U77" s="136"/>
      <c r="V77" s="136"/>
      <c r="W77" s="136"/>
      <c r="X77" s="136"/>
      <c r="Y77" s="136"/>
      <c r="Z77" s="136"/>
    </row>
    <row r="78" spans="1:26" x14ac:dyDescent="0.2">
      <c r="R78" s="136"/>
      <c r="S78" s="136"/>
      <c r="T78" s="136"/>
      <c r="U78" s="136"/>
      <c r="V78" s="136"/>
      <c r="W78" s="136"/>
      <c r="X78" s="136"/>
      <c r="Y78" s="136"/>
      <c r="Z78" s="136"/>
    </row>
    <row r="79" spans="1:26" x14ac:dyDescent="0.2">
      <c r="R79" s="136"/>
      <c r="S79" s="136"/>
      <c r="T79" s="136"/>
      <c r="U79" s="136"/>
      <c r="V79" s="136"/>
      <c r="W79" s="136"/>
      <c r="X79" s="136"/>
      <c r="Y79" s="136"/>
      <c r="Z79" s="136"/>
    </row>
    <row r="86" spans="17:26" x14ac:dyDescent="0.2">
      <c r="Q86" s="131"/>
      <c r="R86" s="132" t="s">
        <v>638</v>
      </c>
      <c r="S86" s="132"/>
      <c r="T86" s="132"/>
      <c r="U86" s="132"/>
      <c r="V86" s="132"/>
      <c r="W86" s="132"/>
      <c r="X86" s="132"/>
      <c r="Y86" s="132"/>
      <c r="Z86" s="132"/>
    </row>
    <row r="87" spans="17:26" x14ac:dyDescent="0.2">
      <c r="Q87" s="131"/>
      <c r="R87" s="132"/>
      <c r="S87" s="132"/>
      <c r="T87" s="132"/>
      <c r="U87" s="132"/>
      <c r="V87" s="132"/>
      <c r="W87" s="132"/>
      <c r="X87" s="132"/>
      <c r="Y87" s="132"/>
      <c r="Z87" s="132"/>
    </row>
    <row r="88" spans="17:26" x14ac:dyDescent="0.2">
      <c r="Q88" s="131"/>
      <c r="R88" s="132"/>
      <c r="S88" s="132"/>
      <c r="T88" s="132"/>
      <c r="U88" s="132"/>
      <c r="V88" s="132"/>
      <c r="W88" s="132"/>
      <c r="X88" s="132"/>
      <c r="Y88" s="132"/>
      <c r="Z88" s="132"/>
    </row>
    <row r="89" spans="17:26" x14ac:dyDescent="0.2">
      <c r="Q89" s="131"/>
      <c r="R89" s="132"/>
      <c r="S89" s="132"/>
      <c r="T89" s="132"/>
      <c r="U89" s="132"/>
      <c r="V89" s="132"/>
      <c r="W89" s="132"/>
      <c r="X89" s="132"/>
      <c r="Y89" s="132"/>
      <c r="Z89" s="132"/>
    </row>
    <row r="90" spans="17:26" x14ac:dyDescent="0.2">
      <c r="Q90" s="131"/>
      <c r="R90" s="132"/>
      <c r="S90" s="132"/>
      <c r="T90" s="132"/>
      <c r="U90" s="132"/>
      <c r="V90" s="132"/>
      <c r="W90" s="132"/>
      <c r="X90" s="132"/>
      <c r="Y90" s="132"/>
      <c r="Z90" s="132"/>
    </row>
    <row r="91" spans="17:26" x14ac:dyDescent="0.2">
      <c r="Q91" s="131"/>
      <c r="R91" s="132"/>
      <c r="S91" s="132"/>
      <c r="T91" s="132"/>
      <c r="U91" s="132"/>
      <c r="V91" s="132"/>
      <c r="W91" s="132"/>
      <c r="X91" s="132"/>
      <c r="Y91" s="132"/>
      <c r="Z91" s="132"/>
    </row>
    <row r="92" spans="17:26" x14ac:dyDescent="0.2">
      <c r="Q92" s="131"/>
      <c r="R92" s="132"/>
      <c r="S92" s="132"/>
      <c r="T92" s="132"/>
      <c r="U92" s="132"/>
      <c r="V92" s="132"/>
      <c r="W92" s="132"/>
      <c r="X92" s="132"/>
      <c r="Y92" s="132"/>
      <c r="Z92" s="132"/>
    </row>
    <row r="93" spans="17:26" x14ac:dyDescent="0.2">
      <c r="Q93" s="131"/>
      <c r="R93" s="132"/>
      <c r="S93" s="132"/>
      <c r="T93" s="132"/>
      <c r="U93" s="132"/>
      <c r="V93" s="132"/>
      <c r="W93" s="132"/>
      <c r="X93" s="132"/>
      <c r="Y93" s="132"/>
      <c r="Z93" s="132"/>
    </row>
    <row r="94" spans="17:26" x14ac:dyDescent="0.2">
      <c r="Q94" s="131"/>
      <c r="R94" s="132"/>
      <c r="S94" s="132"/>
      <c r="T94" s="132"/>
      <c r="U94" s="132"/>
      <c r="V94" s="132"/>
      <c r="W94" s="132"/>
      <c r="X94" s="132"/>
      <c r="Y94" s="132"/>
      <c r="Z94" s="132"/>
    </row>
    <row r="95" spans="17:26" x14ac:dyDescent="0.2">
      <c r="Q95" s="131"/>
      <c r="R95" s="132"/>
      <c r="S95" s="132"/>
      <c r="T95" s="132"/>
      <c r="U95" s="132"/>
      <c r="V95" s="132"/>
      <c r="W95" s="132"/>
      <c r="X95" s="132"/>
      <c r="Y95" s="132"/>
      <c r="Z95" s="132"/>
    </row>
    <row r="96" spans="17:26" x14ac:dyDescent="0.2">
      <c r="Q96" s="131"/>
      <c r="R96" s="132"/>
      <c r="S96" s="132"/>
      <c r="T96" s="132"/>
      <c r="U96" s="132"/>
      <c r="V96" s="132"/>
      <c r="W96" s="132"/>
      <c r="X96" s="132"/>
      <c r="Y96" s="132"/>
      <c r="Z96" s="132"/>
    </row>
    <row r="97" spans="17:26" x14ac:dyDescent="0.2">
      <c r="Q97" s="131"/>
      <c r="R97" s="132"/>
      <c r="S97" s="132"/>
      <c r="T97" s="132"/>
      <c r="U97" s="132"/>
      <c r="V97" s="132"/>
      <c r="W97" s="132"/>
      <c r="X97" s="132"/>
      <c r="Y97" s="132"/>
      <c r="Z97" s="132"/>
    </row>
    <row r="98" spans="17:26" x14ac:dyDescent="0.2">
      <c r="Q98" s="131"/>
      <c r="R98" s="132"/>
      <c r="S98" s="132"/>
      <c r="T98" s="132"/>
      <c r="U98" s="132"/>
      <c r="V98" s="132"/>
      <c r="W98" s="132"/>
      <c r="X98" s="132"/>
      <c r="Y98" s="132"/>
      <c r="Z98" s="132"/>
    </row>
    <row r="99" spans="17:26" x14ac:dyDescent="0.2">
      <c r="Q99" s="131"/>
      <c r="R99" s="132"/>
      <c r="S99" s="132"/>
      <c r="T99" s="132"/>
      <c r="U99" s="132"/>
      <c r="V99" s="132"/>
      <c r="W99" s="132"/>
      <c r="X99" s="132"/>
      <c r="Y99" s="132"/>
      <c r="Z99" s="132"/>
    </row>
    <row r="100" spans="17:26" x14ac:dyDescent="0.2">
      <c r="Q100" s="131"/>
      <c r="R100" s="132"/>
      <c r="S100" s="132"/>
      <c r="T100" s="132"/>
      <c r="U100" s="132"/>
      <c r="V100" s="132"/>
      <c r="W100" s="132"/>
      <c r="X100" s="132"/>
      <c r="Y100" s="132"/>
      <c r="Z100" s="132"/>
    </row>
    <row r="101" spans="17:26" x14ac:dyDescent="0.2">
      <c r="R101" s="132"/>
      <c r="S101" s="132"/>
      <c r="T101" s="132"/>
      <c r="U101" s="132"/>
      <c r="V101" s="132"/>
      <c r="W101" s="132"/>
      <c r="X101" s="132"/>
      <c r="Y101" s="132"/>
      <c r="Z101" s="132"/>
    </row>
    <row r="102" spans="17:26" x14ac:dyDescent="0.2">
      <c r="R102" s="132"/>
      <c r="S102" s="132"/>
      <c r="T102" s="132"/>
      <c r="U102" s="132"/>
      <c r="V102" s="132"/>
      <c r="W102" s="132"/>
      <c r="X102" s="132"/>
      <c r="Y102" s="132"/>
      <c r="Z102" s="132"/>
    </row>
    <row r="103" spans="17:26" x14ac:dyDescent="0.2">
      <c r="R103" s="132"/>
      <c r="S103" s="132"/>
      <c r="T103" s="132"/>
      <c r="U103" s="132"/>
      <c r="V103" s="132"/>
      <c r="W103" s="132"/>
      <c r="X103" s="132"/>
      <c r="Y103" s="132"/>
      <c r="Z103" s="132"/>
    </row>
    <row r="104" spans="17:26" x14ac:dyDescent="0.2">
      <c r="R104" s="132"/>
      <c r="S104" s="132"/>
      <c r="T104" s="132"/>
      <c r="U104" s="132"/>
      <c r="V104" s="132"/>
      <c r="W104" s="132"/>
      <c r="X104" s="132"/>
      <c r="Y104" s="132"/>
      <c r="Z104" s="132"/>
    </row>
    <row r="105" spans="17:26" x14ac:dyDescent="0.2">
      <c r="R105" s="132"/>
      <c r="S105" s="132"/>
      <c r="T105" s="132"/>
      <c r="U105" s="132"/>
      <c r="V105" s="132"/>
      <c r="W105" s="132"/>
      <c r="X105" s="132"/>
      <c r="Y105" s="132"/>
      <c r="Z105" s="132"/>
    </row>
    <row r="106" spans="17:26" x14ac:dyDescent="0.2">
      <c r="R106" s="132"/>
      <c r="S106" s="132"/>
      <c r="T106" s="132"/>
      <c r="U106" s="132"/>
      <c r="V106" s="132"/>
      <c r="W106" s="132"/>
      <c r="X106" s="132"/>
      <c r="Y106" s="132"/>
      <c r="Z106" s="132"/>
    </row>
  </sheetData>
  <mergeCells count="3">
    <mergeCell ref="R86:Z106"/>
    <mergeCell ref="R55:Z65"/>
    <mergeCell ref="R68:Z79"/>
  </mergeCells>
  <phoneticPr fontId="0" type="noConversion"/>
  <printOptions headings="1" gridLines="1"/>
  <pageMargins left="0.75" right="0.75" top="1" bottom="1" header="0.5" footer="0.5"/>
  <pageSetup orientation="portrait" r:id="rId1"/>
  <headerFooter alignWithMargins="0"/>
  <ignoredErrors>
    <ignoredError sqref="C48:G48 C24:G24"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289E-040D-4E62-BFAD-365B2607CC4D}">
  <dimension ref="A2:V147"/>
  <sheetViews>
    <sheetView tabSelected="1" topLeftCell="C116" zoomScale="95" zoomScaleNormal="95" workbookViewId="0">
      <selection activeCell="F145" sqref="F145"/>
    </sheetView>
  </sheetViews>
  <sheetFormatPr defaultRowHeight="12.75" x14ac:dyDescent="0.2"/>
  <cols>
    <col min="2" max="2" width="23.7109375" customWidth="1"/>
    <col min="3" max="3" width="43.42578125" customWidth="1"/>
    <col min="4" max="4" width="19.140625" customWidth="1"/>
    <col min="5" max="5" width="30.140625" customWidth="1"/>
    <col min="6" max="6" width="20.85546875" customWidth="1"/>
    <col min="7" max="7" width="26.28515625" customWidth="1"/>
    <col min="8" max="8" width="18.140625" customWidth="1"/>
    <col min="9" max="9" width="20.5703125" customWidth="1"/>
    <col min="10" max="10" width="22.42578125" customWidth="1"/>
    <col min="11" max="11" width="19.7109375" customWidth="1"/>
    <col min="12" max="12" width="16.7109375" customWidth="1"/>
    <col min="13" max="13" width="27.140625" customWidth="1"/>
    <col min="14" max="14" width="22.140625" customWidth="1"/>
    <col min="15" max="15" width="11.5703125" customWidth="1"/>
    <col min="16" max="16" width="12.7109375" bestFit="1" customWidth="1"/>
    <col min="20" max="20" width="12" bestFit="1" customWidth="1"/>
  </cols>
  <sheetData>
    <row r="2" spans="1:16" ht="20.25" x14ac:dyDescent="0.3">
      <c r="L2" s="107" t="s">
        <v>593</v>
      </c>
      <c r="M2" s="106"/>
    </row>
    <row r="3" spans="1:16" ht="15" x14ac:dyDescent="0.25">
      <c r="D3" s="93"/>
      <c r="E3" s="93" t="s">
        <v>573</v>
      </c>
      <c r="F3" s="94"/>
      <c r="G3" s="94"/>
      <c r="H3" s="94"/>
      <c r="I3" s="94"/>
      <c r="J3" s="105" t="s">
        <v>588</v>
      </c>
      <c r="K3" s="105" t="s">
        <v>589</v>
      </c>
      <c r="L3" s="105" t="s">
        <v>590</v>
      </c>
      <c r="M3" s="112" t="s">
        <v>591</v>
      </c>
      <c r="N3" s="105" t="s">
        <v>592</v>
      </c>
    </row>
    <row r="4" spans="1:16" x14ac:dyDescent="0.2">
      <c r="D4" s="25" t="s">
        <v>224</v>
      </c>
      <c r="E4" s="25" t="s">
        <v>223</v>
      </c>
      <c r="F4" s="25" t="s">
        <v>222</v>
      </c>
      <c r="G4" s="25" t="s">
        <v>571</v>
      </c>
      <c r="H4" s="25" t="s">
        <v>572</v>
      </c>
      <c r="I4" s="25"/>
      <c r="J4" s="25" t="s">
        <v>587</v>
      </c>
      <c r="K4" s="25" t="s">
        <v>572</v>
      </c>
      <c r="L4" s="25" t="s">
        <v>571</v>
      </c>
      <c r="M4" s="25" t="s">
        <v>572</v>
      </c>
      <c r="N4" s="25" t="s">
        <v>571</v>
      </c>
    </row>
    <row r="5" spans="1:16" ht="26.25" x14ac:dyDescent="0.4">
      <c r="A5" s="89"/>
      <c r="B5" s="92" t="s">
        <v>509</v>
      </c>
      <c r="C5" s="90"/>
      <c r="D5" s="89"/>
      <c r="E5" s="89"/>
      <c r="F5" s="89"/>
      <c r="G5" s="89"/>
      <c r="H5" s="89"/>
      <c r="I5" s="89"/>
      <c r="J5" s="89"/>
      <c r="K5" s="89"/>
      <c r="L5" s="89"/>
      <c r="M5" s="89"/>
      <c r="N5" s="89"/>
      <c r="O5" s="89"/>
      <c r="P5" s="89"/>
    </row>
    <row r="6" spans="1:16" ht="15" x14ac:dyDescent="0.25">
      <c r="A6" s="89"/>
      <c r="B6" s="89"/>
      <c r="C6" s="89"/>
      <c r="D6" s="89"/>
      <c r="E6" s="89"/>
      <c r="F6" s="89"/>
      <c r="G6" s="89"/>
      <c r="H6" s="89"/>
      <c r="I6" s="89"/>
      <c r="J6" s="89"/>
      <c r="K6" s="89"/>
      <c r="L6" s="89"/>
      <c r="M6" s="89"/>
      <c r="N6" s="89"/>
      <c r="O6" s="89"/>
      <c r="P6" s="89"/>
    </row>
    <row r="8" spans="1:16" x14ac:dyDescent="0.2">
      <c r="A8" s="1">
        <v>1</v>
      </c>
      <c r="B8" s="1" t="s">
        <v>510</v>
      </c>
      <c r="D8" s="109">
        <f>D9/D10</f>
        <v>1.4339340699148706</v>
      </c>
      <c r="E8" s="109">
        <f t="shared" ref="E8:H8" si="0">E9/E10</f>
        <v>1.3001478196600147</v>
      </c>
      <c r="F8" s="109">
        <f t="shared" si="0"/>
        <v>1.2035426731078904</v>
      </c>
      <c r="G8" s="109">
        <f t="shared" si="0"/>
        <v>0.99072040801870087</v>
      </c>
      <c r="H8" s="109">
        <f t="shared" si="0"/>
        <v>1.0217411267734975</v>
      </c>
      <c r="I8" s="109"/>
      <c r="J8" s="109">
        <f>J9/J10</f>
        <v>0.76728268309377134</v>
      </c>
      <c r="K8" s="109">
        <f>K9/K10</f>
        <v>0.86626848957118197</v>
      </c>
      <c r="L8" s="109">
        <f>L9/L10</f>
        <v>0.38265943197039526</v>
      </c>
      <c r="M8" s="109">
        <f>M9/M10</f>
        <v>0.32321699544764793</v>
      </c>
      <c r="N8" s="109">
        <f>N9/N10</f>
        <v>0.76725425754406928</v>
      </c>
    </row>
    <row r="9" spans="1:16" x14ac:dyDescent="0.2">
      <c r="A9" s="1"/>
      <c r="B9" s="1"/>
      <c r="C9" s="6" t="s">
        <v>511</v>
      </c>
      <c r="D9" s="95">
        <v>316670</v>
      </c>
      <c r="E9" s="95">
        <v>351820</v>
      </c>
      <c r="F9" s="95">
        <v>411070</v>
      </c>
      <c r="G9" s="95">
        <v>419580</v>
      </c>
      <c r="H9" s="95">
        <v>445050</v>
      </c>
      <c r="I9" s="95"/>
      <c r="J9" s="95">
        <v>257830</v>
      </c>
      <c r="K9" s="3">
        <v>185650</v>
      </c>
      <c r="L9" s="3">
        <v>117985</v>
      </c>
      <c r="M9" s="3">
        <v>2343</v>
      </c>
      <c r="N9" s="3">
        <v>2568</v>
      </c>
    </row>
    <row r="10" spans="1:16" x14ac:dyDescent="0.2">
      <c r="A10" s="1"/>
      <c r="B10" s="1"/>
      <c r="C10" s="6" t="s">
        <v>512</v>
      </c>
      <c r="D10" s="3">
        <v>220840</v>
      </c>
      <c r="E10" s="3">
        <v>270600</v>
      </c>
      <c r="F10" s="3">
        <v>341550</v>
      </c>
      <c r="G10" s="3">
        <v>423510</v>
      </c>
      <c r="H10" s="3">
        <v>435580</v>
      </c>
      <c r="I10" s="3"/>
      <c r="J10" s="3">
        <v>336030</v>
      </c>
      <c r="K10" s="3">
        <v>214310</v>
      </c>
      <c r="L10" s="3">
        <v>308329</v>
      </c>
      <c r="M10" s="3">
        <v>7249</v>
      </c>
      <c r="N10" s="3">
        <v>3347</v>
      </c>
    </row>
    <row r="11" spans="1:16" x14ac:dyDescent="0.2">
      <c r="A11" s="1"/>
      <c r="B11" s="1"/>
    </row>
    <row r="12" spans="1:16" x14ac:dyDescent="0.2">
      <c r="A12" s="1">
        <v>2</v>
      </c>
      <c r="B12" s="1" t="s">
        <v>513</v>
      </c>
      <c r="D12" s="108">
        <f>D13/D14</f>
        <v>4.171843868864336</v>
      </c>
      <c r="E12" s="108">
        <f t="shared" ref="E12:H12" si="1">E13/E14</f>
        <v>3.3347006651884699</v>
      </c>
      <c r="F12" s="108">
        <f t="shared" si="1"/>
        <v>2.9067486458790808</v>
      </c>
      <c r="G12" s="108">
        <f t="shared" si="1"/>
        <v>2.5574366602913745</v>
      </c>
      <c r="H12" s="108">
        <f t="shared" si="1"/>
        <v>2.5315671059277287</v>
      </c>
      <c r="I12" s="108"/>
      <c r="J12" s="108">
        <f>J13/J14</f>
        <v>1.9993750557985894</v>
      </c>
      <c r="K12" s="108">
        <f>K13/K14</f>
        <v>2.4999766693108114</v>
      </c>
      <c r="L12" s="108">
        <f>L13/L14</f>
        <v>2.0132780244479114</v>
      </c>
      <c r="M12" s="108">
        <f>M13/M14</f>
        <v>1.3441854048834323</v>
      </c>
      <c r="N12" s="108">
        <f>N13/N14</f>
        <v>2.1708993128174483</v>
      </c>
    </row>
    <row r="13" spans="1:16" x14ac:dyDescent="0.2">
      <c r="A13" s="1"/>
      <c r="B13" s="1"/>
      <c r="C13" s="6" t="s">
        <v>514</v>
      </c>
      <c r="D13" s="3">
        <v>921310</v>
      </c>
      <c r="E13" s="3">
        <v>902370</v>
      </c>
      <c r="F13" s="3">
        <v>992800</v>
      </c>
      <c r="G13" s="3">
        <v>1083100</v>
      </c>
      <c r="H13" s="3">
        <v>1102700</v>
      </c>
      <c r="I13" s="3"/>
      <c r="J13" s="3">
        <v>671850</v>
      </c>
      <c r="K13" s="3">
        <v>535770</v>
      </c>
      <c r="L13" s="3">
        <v>620752</v>
      </c>
      <c r="M13" s="3">
        <v>9744</v>
      </c>
      <c r="N13" s="3">
        <v>7266</v>
      </c>
    </row>
    <row r="14" spans="1:16" x14ac:dyDescent="0.2">
      <c r="A14" s="1"/>
      <c r="B14" s="1"/>
      <c r="C14" s="6" t="s">
        <v>512</v>
      </c>
      <c r="D14" s="3">
        <v>220840</v>
      </c>
      <c r="E14" s="3">
        <v>270600</v>
      </c>
      <c r="F14" s="3">
        <v>341550</v>
      </c>
      <c r="G14" s="3">
        <v>423510</v>
      </c>
      <c r="H14" s="3">
        <v>435580</v>
      </c>
      <c r="I14" s="3"/>
      <c r="J14" s="3">
        <v>336030</v>
      </c>
      <c r="K14" s="3">
        <v>214310</v>
      </c>
      <c r="L14" s="3">
        <v>308329</v>
      </c>
      <c r="M14" s="3">
        <v>7249</v>
      </c>
      <c r="N14" s="3">
        <v>3347</v>
      </c>
    </row>
    <row r="15" spans="1:16" x14ac:dyDescent="0.2">
      <c r="A15" s="1"/>
      <c r="B15" s="1"/>
    </row>
    <row r="16" spans="1:16" x14ac:dyDescent="0.2">
      <c r="A16" s="1">
        <v>3</v>
      </c>
      <c r="B16" s="1" t="s">
        <v>515</v>
      </c>
      <c r="D16" s="108">
        <f>D17/D18</f>
        <v>4.171843868864336</v>
      </c>
      <c r="E16" s="108">
        <f t="shared" ref="E16:H16" si="2">E17/E18</f>
        <v>3.3345158906134515</v>
      </c>
      <c r="F16" s="108">
        <f t="shared" si="2"/>
        <v>2.9067486458790808</v>
      </c>
      <c r="G16" s="108">
        <f t="shared" si="2"/>
        <v>2.5569644164246417</v>
      </c>
      <c r="H16" s="108">
        <f t="shared" si="2"/>
        <v>2.5315671059277287</v>
      </c>
      <c r="I16" s="108"/>
      <c r="J16" s="108">
        <f>J17/J18</f>
        <v>1.9993750557985894</v>
      </c>
      <c r="K16" s="108">
        <f>K17/K18</f>
        <v>2.4893378750408286</v>
      </c>
      <c r="L16" s="108">
        <f>L17/L18</f>
        <v>2.0089514771558949</v>
      </c>
      <c r="M16" s="108">
        <f>M17/M18</f>
        <v>1.3441854048834323</v>
      </c>
      <c r="N16" s="108">
        <f>N17/N18</f>
        <v>2.1708993128174483</v>
      </c>
    </row>
    <row r="17" spans="1:14" x14ac:dyDescent="0.2">
      <c r="A17" s="1"/>
      <c r="B17" s="1"/>
      <c r="C17" s="6" t="s">
        <v>516</v>
      </c>
      <c r="D17" s="3">
        <v>921310</v>
      </c>
      <c r="E17" s="3">
        <v>902320</v>
      </c>
      <c r="F17" s="3">
        <v>992800</v>
      </c>
      <c r="G17" s="3">
        <v>1082900</v>
      </c>
      <c r="H17" s="3">
        <v>1102700</v>
      </c>
      <c r="I17" s="3"/>
      <c r="J17" s="3">
        <f>671850-0</f>
        <v>671850</v>
      </c>
      <c r="K17">
        <f>535770-2280</f>
        <v>533490</v>
      </c>
      <c r="L17">
        <f>620752-1334</f>
        <v>619418</v>
      </c>
      <c r="M17" s="3">
        <v>9744</v>
      </c>
      <c r="N17">
        <f>7266-0</f>
        <v>7266</v>
      </c>
    </row>
    <row r="18" spans="1:14" x14ac:dyDescent="0.2">
      <c r="A18" s="1"/>
      <c r="B18" s="1"/>
      <c r="C18" s="6" t="s">
        <v>517</v>
      </c>
      <c r="D18" s="3">
        <v>220840</v>
      </c>
      <c r="E18" s="3">
        <v>270600</v>
      </c>
      <c r="F18" s="3">
        <v>341550</v>
      </c>
      <c r="G18" s="3">
        <v>423510</v>
      </c>
      <c r="H18" s="3">
        <v>435580</v>
      </c>
      <c r="I18" s="3"/>
      <c r="J18" s="3">
        <v>336030</v>
      </c>
      <c r="K18" s="3">
        <v>214310</v>
      </c>
      <c r="L18" s="3">
        <v>308329</v>
      </c>
      <c r="M18" s="3">
        <v>7249</v>
      </c>
      <c r="N18" s="3">
        <v>3347</v>
      </c>
    </row>
    <row r="19" spans="1:14" x14ac:dyDescent="0.2">
      <c r="A19" s="1"/>
      <c r="B19" s="1"/>
    </row>
    <row r="20" spans="1:14" x14ac:dyDescent="0.2">
      <c r="A20" s="1">
        <v>4</v>
      </c>
      <c r="B20" s="1" t="s">
        <v>518</v>
      </c>
      <c r="D20" s="109">
        <f>D21/D22</f>
        <v>0.47825730730628213</v>
      </c>
      <c r="E20" s="109">
        <f t="shared" ref="E20:H20" si="3">E21/E22</f>
        <v>0.40253203269851989</v>
      </c>
      <c r="F20" s="109">
        <f t="shared" si="3"/>
        <v>0.39667553920463888</v>
      </c>
      <c r="G20" s="109">
        <f t="shared" si="3"/>
        <v>0.34397717909404757</v>
      </c>
      <c r="H20" s="109">
        <f t="shared" si="3"/>
        <v>0.29589546611785789</v>
      </c>
      <c r="I20" s="108"/>
      <c r="J20" s="108">
        <f>J21/J22</f>
        <v>0.27624731792734358</v>
      </c>
      <c r="K20" s="108">
        <f>K21/K22</f>
        <v>0.31684671187509855</v>
      </c>
      <c r="L20" s="108">
        <f>L21/L22</f>
        <v>0.39500514581494789</v>
      </c>
      <c r="M20" s="109">
        <f>M21/M22</f>
        <v>0.11078057010922654</v>
      </c>
      <c r="N20" s="108">
        <f>N21/N22</f>
        <v>0.20171916821082972</v>
      </c>
    </row>
    <row r="21" spans="1:14" x14ac:dyDescent="0.2">
      <c r="A21" s="1"/>
      <c r="B21" s="1"/>
      <c r="C21" s="6" t="s">
        <v>519</v>
      </c>
      <c r="D21" s="3">
        <v>700470</v>
      </c>
      <c r="E21" s="3">
        <v>631770</v>
      </c>
      <c r="F21" s="3">
        <v>651250</v>
      </c>
      <c r="G21" s="3">
        <v>659590</v>
      </c>
      <c r="H21" s="3">
        <v>667120</v>
      </c>
      <c r="I21" s="3"/>
      <c r="J21" s="3">
        <v>336030</v>
      </c>
      <c r="K21">
        <f>535770-214310</f>
        <v>321460</v>
      </c>
      <c r="L21" s="3">
        <f>L13-L14</f>
        <v>312423</v>
      </c>
      <c r="M21">
        <f>9744-7249</f>
        <v>2495</v>
      </c>
      <c r="N21">
        <f>7266-3347</f>
        <v>3919</v>
      </c>
    </row>
    <row r="22" spans="1:14" x14ac:dyDescent="0.2">
      <c r="A22" s="1"/>
      <c r="B22" s="1"/>
      <c r="C22" s="6" t="s">
        <v>520</v>
      </c>
      <c r="D22" s="3">
        <v>1464630</v>
      </c>
      <c r="E22" s="3">
        <v>1569490</v>
      </c>
      <c r="F22" s="3">
        <v>1641770</v>
      </c>
      <c r="G22" s="3">
        <v>1917540</v>
      </c>
      <c r="H22" s="3">
        <v>2254580</v>
      </c>
      <c r="I22" s="3"/>
      <c r="J22" s="3">
        <v>1216410</v>
      </c>
      <c r="K22" s="3">
        <v>1014560</v>
      </c>
      <c r="L22" s="3">
        <v>790934</v>
      </c>
      <c r="M22" s="3">
        <v>22522</v>
      </c>
      <c r="N22" s="3">
        <v>19428</v>
      </c>
    </row>
    <row r="23" spans="1:14" x14ac:dyDescent="0.2">
      <c r="A23" s="1"/>
      <c r="B23" s="1"/>
      <c r="D23" s="3"/>
      <c r="E23" s="3"/>
      <c r="F23" s="3"/>
      <c r="G23" s="3"/>
      <c r="H23" s="3"/>
      <c r="I23" s="3"/>
      <c r="J23" s="3"/>
    </row>
    <row r="24" spans="1:14" x14ac:dyDescent="0.2">
      <c r="A24" s="1">
        <v>5</v>
      </c>
      <c r="B24" s="1" t="s">
        <v>521</v>
      </c>
      <c r="D24" s="108">
        <f>(D25/D26)*365</f>
        <v>68.148884018489312</v>
      </c>
      <c r="E24" s="108">
        <f t="shared" ref="E24:H24" si="4">(E25/E26)*365</f>
        <v>71.005103568675167</v>
      </c>
      <c r="F24" s="108">
        <f t="shared" si="4"/>
        <v>66.871943085815914</v>
      </c>
      <c r="G24" s="108">
        <f t="shared" si="4"/>
        <v>64.859194593072374</v>
      </c>
      <c r="H24" s="108">
        <f t="shared" si="4"/>
        <v>66.455326490965064</v>
      </c>
      <c r="I24" s="108"/>
      <c r="J24" s="108">
        <f>(J25/J26)*365</f>
        <v>68.108368066688044</v>
      </c>
      <c r="K24" s="108">
        <f>(K25/K26)*365</f>
        <v>70.412592651001418</v>
      </c>
      <c r="L24" s="108">
        <f>(L25/L26)*365</f>
        <v>53.171231733621269</v>
      </c>
      <c r="M24" s="108">
        <f>(M25/M25)*365</f>
        <v>365</v>
      </c>
      <c r="N24" s="108">
        <f>(N25/N26)*365</f>
        <v>71.316656372246243</v>
      </c>
    </row>
    <row r="25" spans="1:14" x14ac:dyDescent="0.2">
      <c r="A25" s="1"/>
      <c r="B25" s="1"/>
      <c r="C25" s="6" t="s">
        <v>522</v>
      </c>
      <c r="D25" s="3">
        <f>'Bal Sheet - Standardized'!H10</f>
        <v>273460</v>
      </c>
      <c r="E25" s="3">
        <f>'Bal Sheet - Standardized'!I10</f>
        <v>305320</v>
      </c>
      <c r="F25" s="3">
        <f>'Bal Sheet - Standardized'!J10</f>
        <v>300790</v>
      </c>
      <c r="G25" s="3">
        <f>'Bal Sheet - Standardized'!K10</f>
        <v>340740</v>
      </c>
      <c r="H25" s="3">
        <f>'Bal Sheet - Standardized'!L10</f>
        <v>410490</v>
      </c>
      <c r="I25" s="3"/>
      <c r="J25" s="3">
        <f>226980</f>
        <v>226980</v>
      </c>
      <c r="K25">
        <f>195720</f>
        <v>195720</v>
      </c>
      <c r="L25" s="3">
        <v>115219</v>
      </c>
      <c r="M25">
        <v>5088</v>
      </c>
      <c r="N25" s="3">
        <v>3796</v>
      </c>
    </row>
    <row r="26" spans="1:14" x14ac:dyDescent="0.2">
      <c r="A26" s="1"/>
      <c r="B26" s="1"/>
      <c r="C26" s="6" t="s">
        <v>523</v>
      </c>
      <c r="D26" s="3">
        <v>1464630</v>
      </c>
      <c r="E26" s="3">
        <v>1569490</v>
      </c>
      <c r="F26" s="3">
        <v>1641770</v>
      </c>
      <c r="G26" s="3">
        <v>1917540</v>
      </c>
      <c r="H26" s="3">
        <v>2254580</v>
      </c>
      <c r="I26" s="3"/>
      <c r="J26" s="3">
        <v>1216410</v>
      </c>
      <c r="K26" s="3">
        <v>1014560</v>
      </c>
      <c r="L26" s="3">
        <v>790934</v>
      </c>
      <c r="M26" s="3">
        <v>22522</v>
      </c>
      <c r="N26" s="3">
        <v>19428</v>
      </c>
    </row>
    <row r="27" spans="1:14" x14ac:dyDescent="0.2">
      <c r="A27" s="1"/>
      <c r="B27" s="1"/>
      <c r="C27" s="6"/>
      <c r="D27" s="3"/>
      <c r="E27" s="3"/>
      <c r="F27" s="3"/>
      <c r="G27" s="3"/>
      <c r="H27" s="3"/>
      <c r="I27" s="3"/>
      <c r="J27" s="3"/>
    </row>
    <row r="28" spans="1:14" x14ac:dyDescent="0.2">
      <c r="A28" s="1">
        <v>6</v>
      </c>
      <c r="B28" s="1" t="s">
        <v>524</v>
      </c>
      <c r="D28" s="108">
        <f>D29/D30</f>
        <v>0.13287066394231897</v>
      </c>
      <c r="E28" s="109"/>
      <c r="F28" s="108">
        <f t="shared" ref="F28:H28" si="5">F29/F30</f>
        <v>0.18119582449710722</v>
      </c>
      <c r="G28" s="109"/>
      <c r="H28" s="108">
        <f t="shared" si="5"/>
        <v>0.17557313529221827</v>
      </c>
      <c r="I28" s="108"/>
      <c r="J28" s="108">
        <f>(J29/J30)*365</f>
        <v>91.15429644625479</v>
      </c>
      <c r="K28" s="111">
        <v>0</v>
      </c>
      <c r="L28" s="108">
        <f>(L29/L30)*365</f>
        <v>83.769060143342344</v>
      </c>
      <c r="M28" s="108">
        <f>(M29/M30)*365</f>
        <v>107.96679616365181</v>
      </c>
      <c r="N28" s="108">
        <f>(N29/N30)*365</f>
        <v>80.840697300771211</v>
      </c>
    </row>
    <row r="29" spans="1:14" x14ac:dyDescent="0.2">
      <c r="A29" s="1"/>
      <c r="B29" s="1"/>
      <c r="C29" s="6" t="s">
        <v>525</v>
      </c>
      <c r="D29" s="3">
        <f>'Bal Sheet - Standardized'!H42</f>
        <v>113150</v>
      </c>
      <c r="E29" s="3">
        <f>'Bal Sheet - Standardized'!I42</f>
        <v>166300</v>
      </c>
      <c r="F29" s="3">
        <f>'Bal Sheet - Standardized'!J42</f>
        <v>176010</v>
      </c>
      <c r="G29" s="3">
        <f>'Bal Sheet - Standardized'!K42</f>
        <v>284170</v>
      </c>
      <c r="H29" s="3">
        <f>'Bal Sheet - Standardized'!L42</f>
        <v>239250</v>
      </c>
      <c r="I29" s="3"/>
      <c r="J29" s="3">
        <f>204780</f>
        <v>204780</v>
      </c>
      <c r="K29">
        <f>146460</f>
        <v>146460</v>
      </c>
      <c r="L29" s="3">
        <v>127575</v>
      </c>
      <c r="M29" s="3">
        <v>4873</v>
      </c>
      <c r="N29" s="3">
        <v>2757</v>
      </c>
    </row>
    <row r="30" spans="1:14" x14ac:dyDescent="0.2">
      <c r="A30" s="1"/>
      <c r="B30" s="1"/>
      <c r="C30" s="6" t="s">
        <v>526</v>
      </c>
      <c r="D30" s="3">
        <v>851580</v>
      </c>
      <c r="E30" s="25">
        <v>0</v>
      </c>
      <c r="F30" s="3">
        <v>971380</v>
      </c>
      <c r="G30" s="25">
        <v>0</v>
      </c>
      <c r="H30" s="3">
        <v>1362680</v>
      </c>
      <c r="I30" s="3"/>
      <c r="J30" s="3">
        <v>819980</v>
      </c>
      <c r="K30" s="25">
        <v>0</v>
      </c>
      <c r="L30" s="3">
        <v>555872</v>
      </c>
      <c r="M30" s="3">
        <v>16474</v>
      </c>
      <c r="N30" s="3">
        <v>12448</v>
      </c>
    </row>
    <row r="31" spans="1:14" x14ac:dyDescent="0.2">
      <c r="A31" s="1"/>
      <c r="B31" s="1"/>
    </row>
    <row r="32" spans="1:14" x14ac:dyDescent="0.2">
      <c r="A32" s="1">
        <v>7</v>
      </c>
      <c r="B32" s="1" t="s">
        <v>527</v>
      </c>
      <c r="D32" s="108">
        <f>D33/D34</f>
        <v>0</v>
      </c>
      <c r="E32" s="108">
        <v>0</v>
      </c>
      <c r="F32" s="108">
        <f t="shared" ref="F32" si="6">F33/F34</f>
        <v>0</v>
      </c>
      <c r="G32" s="108">
        <v>0</v>
      </c>
      <c r="H32" s="108">
        <v>0</v>
      </c>
      <c r="I32" s="108"/>
      <c r="J32" s="108">
        <f>J33/J34</f>
        <v>0</v>
      </c>
      <c r="K32" s="108">
        <v>0</v>
      </c>
      <c r="L32" s="108">
        <f>(L33/L34)*365</f>
        <v>0.87593906510851416</v>
      </c>
      <c r="M32" s="108" t="s">
        <v>506</v>
      </c>
      <c r="N32" s="108" t="s">
        <v>506</v>
      </c>
    </row>
    <row r="33" spans="1:21" x14ac:dyDescent="0.2">
      <c r="C33" s="6" t="s">
        <v>528</v>
      </c>
      <c r="D33">
        <v>0</v>
      </c>
      <c r="E33">
        <v>18250</v>
      </c>
      <c r="F33">
        <v>0</v>
      </c>
      <c r="G33" s="3">
        <v>730000</v>
      </c>
      <c r="H33">
        <v>0</v>
      </c>
      <c r="J33">
        <f>0*365</f>
        <v>0</v>
      </c>
      <c r="K33">
        <f>2280*365</f>
        <v>832200</v>
      </c>
      <c r="L33" s="3">
        <v>1334</v>
      </c>
      <c r="M33" t="s">
        <v>506</v>
      </c>
      <c r="N33" t="s">
        <v>506</v>
      </c>
    </row>
    <row r="34" spans="1:21" x14ac:dyDescent="0.2">
      <c r="C34" s="6" t="s">
        <v>529</v>
      </c>
      <c r="D34" s="3">
        <v>851580</v>
      </c>
      <c r="E34" s="25">
        <v>0</v>
      </c>
      <c r="F34" s="3">
        <v>971380</v>
      </c>
      <c r="G34" s="25">
        <v>0</v>
      </c>
      <c r="H34" s="3">
        <v>1362680</v>
      </c>
      <c r="I34" s="3"/>
      <c r="J34" s="3">
        <v>819980</v>
      </c>
      <c r="K34" s="25">
        <v>0</v>
      </c>
      <c r="L34" s="3">
        <v>555872</v>
      </c>
      <c r="M34" s="3">
        <v>16474</v>
      </c>
      <c r="N34" s="3">
        <v>12448</v>
      </c>
    </row>
    <row r="37" spans="1:21" ht="26.25" x14ac:dyDescent="0.4">
      <c r="A37" s="89"/>
      <c r="B37" s="92" t="s">
        <v>530</v>
      </c>
      <c r="C37" s="91"/>
      <c r="D37" s="89"/>
      <c r="E37" s="89"/>
      <c r="F37" s="89"/>
      <c r="G37" s="89"/>
      <c r="H37" s="89"/>
      <c r="I37" s="89"/>
      <c r="J37" s="89"/>
      <c r="K37" s="89"/>
      <c r="L37" s="89"/>
      <c r="M37" s="89"/>
      <c r="N37" s="89"/>
      <c r="O37" s="89"/>
    </row>
    <row r="38" spans="1:21" ht="15" x14ac:dyDescent="0.25">
      <c r="A38" s="89"/>
      <c r="B38" s="89"/>
      <c r="C38" s="89"/>
      <c r="D38" s="89"/>
      <c r="E38" s="89"/>
      <c r="F38" s="89"/>
      <c r="G38" s="89"/>
      <c r="H38" s="89"/>
      <c r="I38" s="89"/>
      <c r="J38" s="89"/>
      <c r="K38" s="89"/>
      <c r="L38" s="89"/>
      <c r="M38" s="89"/>
      <c r="N38" s="89"/>
      <c r="O38" s="89"/>
    </row>
    <row r="40" spans="1:21" x14ac:dyDescent="0.2">
      <c r="A40" s="1">
        <v>8</v>
      </c>
      <c r="B40" s="1" t="s">
        <v>531</v>
      </c>
      <c r="D40" s="108">
        <f>(D41/D42)*100</f>
        <v>4.7821408775228509E-2</v>
      </c>
      <c r="E40" s="108">
        <f>(E41/E42)*100</f>
        <v>8.1487687170350096</v>
      </c>
      <c r="F40" s="108">
        <f>(F41/F42)*100</f>
        <v>7.2879076543763315</v>
      </c>
      <c r="G40" s="108">
        <f t="shared" ref="G40:H40" si="7">(G41/G42)*100</f>
        <v>7.0876833693208381</v>
      </c>
      <c r="H40" s="108">
        <f t="shared" si="7"/>
        <v>6.6467361021816469</v>
      </c>
      <c r="I40" s="108"/>
      <c r="J40" s="108">
        <f>(J41/J42)*100</f>
        <v>6.0763705503327348</v>
      </c>
      <c r="K40" s="108">
        <f>(K41/K42)*100</f>
        <v>5.7723477782195172</v>
      </c>
      <c r="L40" s="108">
        <f>(L41/L42)*100</f>
        <v>10.876413637723118</v>
      </c>
      <c r="M40" s="108">
        <f>(M41/M42)*100</f>
        <v>54.129666762150286</v>
      </c>
      <c r="N40" s="108">
        <f>(N41/N42)*100</f>
        <v>11.048826062230887</v>
      </c>
    </row>
    <row r="41" spans="1:21" x14ac:dyDescent="0.2">
      <c r="A41" s="1"/>
      <c r="B41" s="1"/>
      <c r="C41" s="6" t="s">
        <v>532</v>
      </c>
      <c r="D41">
        <f>'Bal Sheet - Standardized'!H57</f>
        <v>440</v>
      </c>
      <c r="E41">
        <f>'Bal Sheet - Standardized'!I57</f>
        <v>69060</v>
      </c>
      <c r="F41">
        <f>'Bal Sheet - Standardized'!J57</f>
        <v>65030</v>
      </c>
      <c r="G41">
        <f>'Bal Sheet - Standardized'!K57</f>
        <v>63680</v>
      </c>
      <c r="H41">
        <f>'Bal Sheet - Standardized'!L57</f>
        <v>62030</v>
      </c>
      <c r="I41" s="3"/>
      <c r="J41" s="3">
        <f>46020</f>
        <v>46020</v>
      </c>
      <c r="K41">
        <f>37750</f>
        <v>37750</v>
      </c>
      <c r="L41" s="3">
        <v>71640</v>
      </c>
      <c r="M41" s="3">
        <v>5669</v>
      </c>
      <c r="N41" s="3">
        <v>1360</v>
      </c>
    </row>
    <row r="42" spans="1:21" x14ac:dyDescent="0.2">
      <c r="A42" s="1"/>
      <c r="B42" s="1"/>
      <c r="C42" s="6" t="s">
        <v>533</v>
      </c>
      <c r="D42" s="3">
        <v>920090</v>
      </c>
      <c r="E42" s="3">
        <v>847490</v>
      </c>
      <c r="F42" s="3">
        <v>892300</v>
      </c>
      <c r="G42" s="3">
        <v>898460</v>
      </c>
      <c r="H42" s="3">
        <v>933240</v>
      </c>
      <c r="I42" s="3"/>
      <c r="J42" s="3">
        <v>757360</v>
      </c>
      <c r="K42" s="3">
        <v>653980</v>
      </c>
      <c r="L42" s="3">
        <v>658673</v>
      </c>
      <c r="M42" s="3">
        <v>10473</v>
      </c>
      <c r="N42" s="3">
        <v>12309</v>
      </c>
      <c r="P42" s="125">
        <v>7.0900000000000005E-2</v>
      </c>
      <c r="Q42" s="125">
        <v>0.13089999999999999</v>
      </c>
      <c r="R42" s="125">
        <v>8.4199999999999997E-2</v>
      </c>
      <c r="S42" s="125">
        <v>0.14330000000000001</v>
      </c>
      <c r="T42" s="125">
        <v>0.1167</v>
      </c>
      <c r="U42" s="125">
        <f>AVERAGE(P42:T42)</f>
        <v>0.10920000000000001</v>
      </c>
    </row>
    <row r="43" spans="1:21" x14ac:dyDescent="0.2">
      <c r="A43" s="1"/>
      <c r="B43" s="1"/>
      <c r="C43" s="6"/>
    </row>
    <row r="44" spans="1:21" x14ac:dyDescent="0.2">
      <c r="A44" s="1">
        <v>9</v>
      </c>
      <c r="B44" s="1" t="s">
        <v>534</v>
      </c>
      <c r="C44" s="6"/>
      <c r="D44" s="108">
        <f>(D45/D46)*100</f>
        <v>1.9550129791139449E-2</v>
      </c>
      <c r="E44" s="108">
        <f t="shared" ref="E44:H44" si="8">(E45/E46)*100</f>
        <v>1.3666935700834004</v>
      </c>
      <c r="F44" s="108">
        <f t="shared" si="8"/>
        <v>1.331615562999227</v>
      </c>
      <c r="G44" s="108">
        <f t="shared" si="8"/>
        <v>1.4846821756225426</v>
      </c>
      <c r="H44" s="108">
        <f t="shared" si="8"/>
        <v>1.4701223616996</v>
      </c>
      <c r="I44" s="108"/>
      <c r="J44" s="108">
        <f>(J45/J46)*100</f>
        <v>6.7405491934490831</v>
      </c>
      <c r="K44" s="108">
        <f>(K45/K46)*100</f>
        <v>6.8192180553972417</v>
      </c>
      <c r="L44" s="108">
        <f>(L45/L46)*100</f>
        <v>21.079388738584377</v>
      </c>
      <c r="M44" s="108">
        <f>(M45/M46)*100</f>
        <v>38.639559409421139</v>
      </c>
      <c r="N44" s="108">
        <f>(N45/N46)*100</f>
        <v>11.164838337182449</v>
      </c>
    </row>
    <row r="45" spans="1:21" x14ac:dyDescent="0.2">
      <c r="A45" s="1"/>
      <c r="B45" s="1"/>
      <c r="C45" s="6" t="s">
        <v>535</v>
      </c>
      <c r="D45">
        <f>'Bal Sheet - Standardized'!H47+'Price multiple &amp; Ratio Analysis'!H57</f>
        <v>180</v>
      </c>
      <c r="E45">
        <f>'Bal Sheet - Standardized'!I47+'Price multiple &amp; Ratio Analysis'!I57</f>
        <v>12700</v>
      </c>
      <c r="F45">
        <f>'Bal Sheet - Standardized'!J47+'Price multiple &amp; Ratio Analysis'!J57</f>
        <v>12920</v>
      </c>
      <c r="G45">
        <f>'Bal Sheet - Standardized'!K47+'Price multiple &amp; Ratio Analysis'!K57</f>
        <v>14500</v>
      </c>
      <c r="H45">
        <f>'Bal Sheet - Standardized'!L47+'Price multiple &amp; Ratio Analysis'!L57</f>
        <v>14850</v>
      </c>
      <c r="I45" s="3"/>
      <c r="J45" s="3">
        <f>8720+46020</f>
        <v>54740</v>
      </c>
      <c r="K45">
        <f>10110+37750</f>
        <v>47860</v>
      </c>
      <c r="L45">
        <f>104289+71640</f>
        <v>175929</v>
      </c>
      <c r="M45">
        <f>926+5669</f>
        <v>6595</v>
      </c>
      <c r="N45">
        <f>187+1360</f>
        <v>1547</v>
      </c>
    </row>
    <row r="46" spans="1:21" x14ac:dyDescent="0.2">
      <c r="A46" s="1"/>
      <c r="B46" s="1"/>
      <c r="C46" s="6" t="s">
        <v>536</v>
      </c>
      <c r="D46" s="3">
        <v>920710</v>
      </c>
      <c r="E46" s="3">
        <v>929250</v>
      </c>
      <c r="F46" s="3">
        <v>970250</v>
      </c>
      <c r="G46" s="3">
        <v>976640</v>
      </c>
      <c r="H46" s="3">
        <v>1010120</v>
      </c>
      <c r="I46" s="3"/>
      <c r="J46" s="3">
        <f>8720+46020+757360</f>
        <v>812100</v>
      </c>
      <c r="K46">
        <f>10110+37750+653980</f>
        <v>701840</v>
      </c>
      <c r="L46">
        <f>104289+71640+658673</f>
        <v>834602</v>
      </c>
      <c r="M46">
        <f>926+5669+10473</f>
        <v>17068</v>
      </c>
      <c r="N46">
        <f>187+1360+12309</f>
        <v>13856</v>
      </c>
    </row>
    <row r="47" spans="1:21" x14ac:dyDescent="0.2">
      <c r="A47" s="1"/>
      <c r="B47" s="1"/>
      <c r="C47" s="6"/>
    </row>
    <row r="48" spans="1:21" x14ac:dyDescent="0.2">
      <c r="A48" s="1">
        <v>10</v>
      </c>
      <c r="B48" s="1" t="s">
        <v>537</v>
      </c>
      <c r="C48" s="6"/>
      <c r="D48" s="108">
        <f>(D49/D50)*100</f>
        <v>3.1168065368699258</v>
      </c>
      <c r="E48" s="108">
        <f t="shared" ref="E48:H48" si="9">(E49/E50)*100</f>
        <v>9.6868039940749586</v>
      </c>
      <c r="F48" s="108">
        <f t="shared" si="9"/>
        <v>9.6185402021757191</v>
      </c>
      <c r="G48" s="108">
        <f t="shared" si="9"/>
        <v>9.3956415195183691</v>
      </c>
      <c r="H48" s="108">
        <f t="shared" si="9"/>
        <v>8.6947588811380392</v>
      </c>
      <c r="I48" s="108"/>
      <c r="J48" s="108">
        <f>(J49/J50)*100</f>
        <v>10.139768871170594</v>
      </c>
      <c r="K48" s="108">
        <f>(K49/K50)*100</f>
        <v>9.144206724090024</v>
      </c>
      <c r="L48" s="108">
        <f>(L49/L50)*100</f>
        <v>14.552709790323187</v>
      </c>
      <c r="M48" s="108">
        <f>(M49/M50)*100</f>
        <v>39.986247206463815</v>
      </c>
      <c r="N48" s="108">
        <f>(N49/N50)*100</f>
        <v>15.139607032057912</v>
      </c>
    </row>
    <row r="49" spans="1:22" x14ac:dyDescent="0.2">
      <c r="A49" s="1"/>
      <c r="B49" s="1"/>
      <c r="C49" s="6" t="s">
        <v>538</v>
      </c>
      <c r="D49" s="3">
        <f>'Bal Sheet - Standardized'!H69</f>
        <v>29600</v>
      </c>
      <c r="E49" s="3">
        <f>'Bal Sheet - Standardized'!I69</f>
        <v>90900</v>
      </c>
      <c r="F49" s="3">
        <f>'Bal Sheet - Standardized'!J69</f>
        <v>94960</v>
      </c>
      <c r="G49" s="3">
        <f>'Bal Sheet - Standardized'!K69</f>
        <v>93170</v>
      </c>
      <c r="H49" s="3">
        <f>'Bal Sheet - Standardized'!L69</f>
        <v>88870</v>
      </c>
      <c r="I49" s="3"/>
      <c r="J49" s="3">
        <v>85460</v>
      </c>
      <c r="K49" s="25">
        <f>65820</f>
        <v>65820</v>
      </c>
      <c r="L49" s="3">
        <v>112180</v>
      </c>
      <c r="M49" s="3">
        <v>6978</v>
      </c>
      <c r="N49" s="3">
        <v>2196</v>
      </c>
    </row>
    <row r="50" spans="1:22" x14ac:dyDescent="0.2">
      <c r="A50" s="1"/>
      <c r="B50" s="1"/>
      <c r="C50" s="6" t="s">
        <v>539</v>
      </c>
      <c r="D50" s="3">
        <f>'Bal Sheet - Standardized'!H69+'Bal Sheet - Standardized'!H80</f>
        <v>949690</v>
      </c>
      <c r="E50" s="3">
        <f>'Bal Sheet - Standardized'!I69+'Bal Sheet - Standardized'!I80</f>
        <v>938390</v>
      </c>
      <c r="F50" s="3">
        <f>'Bal Sheet - Standardized'!J69+'Bal Sheet - Standardized'!J80</f>
        <v>987260</v>
      </c>
      <c r="G50" s="3">
        <f>'Bal Sheet - Standardized'!K69+'Bal Sheet - Standardized'!K80</f>
        <v>991630</v>
      </c>
      <c r="H50" s="3">
        <f>'Bal Sheet - Standardized'!L69+'Bal Sheet - Standardized'!L80</f>
        <v>1022110</v>
      </c>
      <c r="I50" s="3"/>
      <c r="J50" s="3">
        <f>757360+85460</f>
        <v>842820</v>
      </c>
      <c r="K50">
        <f>653980+65820</f>
        <v>719800</v>
      </c>
      <c r="L50">
        <f>658673+112180</f>
        <v>770853</v>
      </c>
      <c r="M50">
        <f>10473+6978</f>
        <v>17451</v>
      </c>
      <c r="N50">
        <f>12309+2196</f>
        <v>14505</v>
      </c>
    </row>
    <row r="51" spans="1:22" x14ac:dyDescent="0.2">
      <c r="A51" s="1"/>
      <c r="B51" s="1"/>
      <c r="C51" s="6"/>
    </row>
    <row r="52" spans="1:22" x14ac:dyDescent="0.2">
      <c r="A52" s="1">
        <v>11</v>
      </c>
      <c r="B52" s="1" t="s">
        <v>540</v>
      </c>
      <c r="C52" s="6"/>
      <c r="D52" s="108"/>
      <c r="E52" s="108">
        <f>E53/E54</f>
        <v>97.796296296296291</v>
      </c>
      <c r="F52" s="108" t="s">
        <v>506</v>
      </c>
      <c r="G52" s="108">
        <f>G53/G54</f>
        <v>195.04528301886793</v>
      </c>
      <c r="H52" s="108" t="s">
        <v>506</v>
      </c>
      <c r="I52" s="108"/>
      <c r="J52" s="108" t="s">
        <v>506</v>
      </c>
      <c r="K52" s="108">
        <f>K53/K54</f>
        <v>60.3343653250774</v>
      </c>
      <c r="L52" s="108">
        <f>L53/L54</f>
        <v>28.408450704225352</v>
      </c>
      <c r="M52" s="108">
        <f>M53/M54</f>
        <v>20.034782608695654</v>
      </c>
      <c r="N52" s="108">
        <f>N53/N54</f>
        <v>158.73684210526315</v>
      </c>
    </row>
    <row r="53" spans="1:22" x14ac:dyDescent="0.2">
      <c r="A53" s="1"/>
      <c r="B53" s="1"/>
      <c r="C53" s="6" t="s">
        <v>541</v>
      </c>
      <c r="D53" s="3">
        <v>415630</v>
      </c>
      <c r="E53" s="3">
        <v>422480</v>
      </c>
      <c r="F53" s="3">
        <v>437600</v>
      </c>
      <c r="G53" s="3">
        <v>516870</v>
      </c>
      <c r="H53" s="3">
        <v>569070</v>
      </c>
      <c r="I53" s="3"/>
      <c r="J53" s="3">
        <v>301100</v>
      </c>
      <c r="K53" s="3">
        <v>194880</v>
      </c>
      <c r="L53" s="3">
        <v>151275</v>
      </c>
      <c r="M53" s="3">
        <v>2304</v>
      </c>
      <c r="N53" s="3">
        <v>3016</v>
      </c>
    </row>
    <row r="54" spans="1:22" x14ac:dyDescent="0.2">
      <c r="C54" s="6" t="s">
        <v>542</v>
      </c>
      <c r="D54" s="3">
        <v>0</v>
      </c>
      <c r="E54" s="3">
        <v>4320</v>
      </c>
      <c r="F54" t="s">
        <v>506</v>
      </c>
      <c r="G54" s="3">
        <v>2650</v>
      </c>
      <c r="H54" t="s">
        <v>506</v>
      </c>
      <c r="J54" t="s">
        <v>506</v>
      </c>
      <c r="K54" s="3">
        <v>3230</v>
      </c>
      <c r="L54" s="3">
        <v>5325</v>
      </c>
      <c r="M54">
        <v>115</v>
      </c>
      <c r="N54">
        <v>19</v>
      </c>
    </row>
    <row r="55" spans="1:22" x14ac:dyDescent="0.2">
      <c r="E55" s="3"/>
      <c r="G55" s="3"/>
    </row>
    <row r="57" spans="1:22" ht="26.25" x14ac:dyDescent="0.4">
      <c r="A57" s="89"/>
      <c r="B57" s="92" t="s">
        <v>543</v>
      </c>
      <c r="C57" s="89"/>
      <c r="D57" s="89"/>
      <c r="E57" s="89"/>
      <c r="F57" s="89"/>
      <c r="G57" s="89"/>
      <c r="H57" s="89"/>
      <c r="I57" s="89"/>
      <c r="J57" s="89"/>
      <c r="K57" s="89"/>
      <c r="L57" s="89"/>
      <c r="M57" s="89"/>
      <c r="N57" s="89"/>
    </row>
    <row r="58" spans="1:22" ht="15" x14ac:dyDescent="0.25">
      <c r="A58" s="89"/>
      <c r="B58" s="89"/>
      <c r="C58" s="89"/>
      <c r="D58" s="89"/>
      <c r="E58" s="89"/>
      <c r="F58" s="89"/>
      <c r="G58" s="89"/>
      <c r="H58" s="89"/>
      <c r="I58" s="89"/>
      <c r="J58" s="89"/>
      <c r="K58" s="89"/>
      <c r="L58" s="89"/>
      <c r="M58" s="89"/>
      <c r="N58" s="89"/>
    </row>
    <row r="60" spans="1:22" x14ac:dyDescent="0.2">
      <c r="A60" s="1">
        <v>12</v>
      </c>
      <c r="B60" s="1" t="s">
        <v>544</v>
      </c>
      <c r="C60" s="6"/>
      <c r="D60" s="108">
        <f>D61/D62</f>
        <v>1.5910725343008918</v>
      </c>
      <c r="E60" s="108">
        <f t="shared" ref="E60:H60" si="10">E61/E62</f>
        <v>1.7123888494899351</v>
      </c>
      <c r="F60" s="108">
        <f t="shared" si="10"/>
        <v>1.7149467790626012</v>
      </c>
      <c r="G60" s="108">
        <f t="shared" si="10"/>
        <v>1.9929947824640906</v>
      </c>
      <c r="H60" s="108">
        <f t="shared" si="10"/>
        <v>2.2652948446150289</v>
      </c>
      <c r="I60" s="108"/>
      <c r="J60" s="108"/>
      <c r="K60" s="108">
        <f>K61/K62</f>
        <v>1.4666994347505529</v>
      </c>
      <c r="L60" s="108">
        <f>L61/L62</f>
        <v>1.0830068751343602</v>
      </c>
      <c r="M60" s="108">
        <f>M61/M62</f>
        <v>1.3952422252508982</v>
      </c>
      <c r="N60" s="108">
        <f>N61/N62</f>
        <v>1.4213183115077914</v>
      </c>
      <c r="Q60">
        <v>63.22</v>
      </c>
      <c r="R60">
        <v>70.41</v>
      </c>
      <c r="S60">
        <v>50.96</v>
      </c>
      <c r="T60">
        <v>72.59</v>
      </c>
      <c r="U60">
        <v>82.45</v>
      </c>
      <c r="V60">
        <f>AVERAGE(Q60:U60)</f>
        <v>67.926000000000002</v>
      </c>
    </row>
    <row r="61" spans="1:22" x14ac:dyDescent="0.2">
      <c r="A61" s="1"/>
      <c r="B61" s="1"/>
      <c r="C61" s="6" t="s">
        <v>545</v>
      </c>
      <c r="D61" s="3">
        <v>1464630</v>
      </c>
      <c r="E61" s="3">
        <v>1569490</v>
      </c>
      <c r="F61" s="3">
        <v>1641770</v>
      </c>
      <c r="G61" s="3">
        <v>1917540</v>
      </c>
      <c r="H61" s="3">
        <v>2254580</v>
      </c>
      <c r="I61" s="3"/>
      <c r="J61" s="3">
        <v>1216410</v>
      </c>
      <c r="K61" s="3">
        <v>1014560</v>
      </c>
      <c r="L61" s="3">
        <v>790934</v>
      </c>
      <c r="M61" s="3">
        <v>22522</v>
      </c>
      <c r="N61" s="3">
        <v>19428</v>
      </c>
      <c r="O61" s="3">
        <v>195720</v>
      </c>
    </row>
    <row r="62" spans="1:22" x14ac:dyDescent="0.2">
      <c r="A62" s="1"/>
      <c r="B62" s="1"/>
      <c r="C62" s="6" t="s">
        <v>546</v>
      </c>
      <c r="D62">
        <f>'Bal Sheet - Standardized'!H80+'Bal Sheet - Standardized'!H57</f>
        <v>920530</v>
      </c>
      <c r="E62">
        <f>'Bal Sheet - Standardized'!I80+'Bal Sheet - Standardized'!I57</f>
        <v>916550</v>
      </c>
      <c r="F62">
        <f>'Bal Sheet - Standardized'!J80+'Bal Sheet - Standardized'!J57</f>
        <v>957330</v>
      </c>
      <c r="G62">
        <f>'Bal Sheet - Standardized'!K80+'Bal Sheet - Standardized'!K57</f>
        <v>962140</v>
      </c>
      <c r="H62">
        <f>'Bal Sheet - Standardized'!L80+'Bal Sheet - Standardized'!L57</f>
        <v>995270</v>
      </c>
      <c r="J62">
        <f>757360+46020</f>
        <v>803380</v>
      </c>
      <c r="K62">
        <f>653980+37750</f>
        <v>691730</v>
      </c>
      <c r="L62">
        <f>658673+71640</f>
        <v>730313</v>
      </c>
      <c r="M62">
        <f>10473+5669</f>
        <v>16142</v>
      </c>
      <c r="N62">
        <f>12309+1360</f>
        <v>13669</v>
      </c>
      <c r="O62">
        <v>1014560</v>
      </c>
    </row>
    <row r="63" spans="1:22" x14ac:dyDescent="0.2">
      <c r="A63" s="1"/>
      <c r="B63" s="1"/>
      <c r="C63" s="6"/>
      <c r="O63" s="125">
        <f>(O61/O62)*365</f>
        <v>70.412592651001418</v>
      </c>
    </row>
    <row r="64" spans="1:22" x14ac:dyDescent="0.2">
      <c r="A64" s="1">
        <v>13</v>
      </c>
      <c r="B64" s="1" t="s">
        <v>547</v>
      </c>
      <c r="C64" s="6"/>
      <c r="D64" s="108">
        <f>D65/D66</f>
        <v>1.2512537055863584</v>
      </c>
      <c r="E64" s="109">
        <f t="shared" ref="E64:H64" si="11">E65/E66</f>
        <v>1.298182780668161</v>
      </c>
      <c r="F64" s="108">
        <f t="shared" si="11"/>
        <v>1.2355189982013983</v>
      </c>
      <c r="G64" s="108">
        <f t="shared" si="11"/>
        <v>1.3550178780898003</v>
      </c>
      <c r="H64" s="108">
        <f t="shared" si="11"/>
        <v>1.546680021129321</v>
      </c>
      <c r="I64" s="108"/>
      <c r="J64" s="108"/>
      <c r="K64" s="108">
        <f>K65/K66</f>
        <v>1.0861247604671826</v>
      </c>
      <c r="L64" s="108">
        <f>L65/L66</f>
        <v>1.2741545738072531</v>
      </c>
      <c r="M64" s="108">
        <f>M65/M66</f>
        <v>0.91182186234817819</v>
      </c>
      <c r="N64" s="108">
        <f>N65/N66</f>
        <v>1.0882814250504145</v>
      </c>
    </row>
    <row r="65" spans="1:22" x14ac:dyDescent="0.2">
      <c r="A65" s="1"/>
      <c r="B65" s="1"/>
      <c r="C65" s="6" t="s">
        <v>545</v>
      </c>
      <c r="D65" s="3">
        <v>1464630</v>
      </c>
      <c r="E65" s="3">
        <v>1569490</v>
      </c>
      <c r="F65" s="3">
        <v>1641770</v>
      </c>
      <c r="G65" s="3">
        <v>1917540</v>
      </c>
      <c r="H65" s="3">
        <v>2254580</v>
      </c>
      <c r="I65" s="3"/>
      <c r="J65" s="3">
        <v>1216410</v>
      </c>
      <c r="K65" s="3">
        <v>1014560</v>
      </c>
      <c r="L65" s="3">
        <v>790934</v>
      </c>
      <c r="M65" s="3">
        <v>22522</v>
      </c>
      <c r="N65" s="3">
        <v>19428</v>
      </c>
    </row>
    <row r="66" spans="1:22" x14ac:dyDescent="0.2">
      <c r="A66" s="1"/>
      <c r="B66" s="1"/>
      <c r="C66" s="6" t="s">
        <v>548</v>
      </c>
      <c r="D66">
        <f>'Bal Sheet - Standardized'!H39</f>
        <v>1170530</v>
      </c>
      <c r="E66">
        <f>'Bal Sheet - Standardized'!I39</f>
        <v>1208990</v>
      </c>
      <c r="F66">
        <f>'Bal Sheet - Standardized'!J39</f>
        <v>1328810</v>
      </c>
      <c r="G66">
        <f>'Bal Sheet - Standardized'!K39</f>
        <v>1415140</v>
      </c>
      <c r="H66">
        <f>'Bal Sheet - Standardized'!L39</f>
        <v>1457690</v>
      </c>
      <c r="J66" s="3">
        <v>1178850</v>
      </c>
      <c r="K66" s="3">
        <v>934110</v>
      </c>
      <c r="L66" s="3">
        <v>620752</v>
      </c>
      <c r="M66" s="3">
        <v>24700</v>
      </c>
      <c r="N66" s="3">
        <v>17852</v>
      </c>
    </row>
    <row r="67" spans="1:22" x14ac:dyDescent="0.2">
      <c r="A67" s="1"/>
      <c r="B67" s="1"/>
      <c r="C67" s="6"/>
    </row>
    <row r="68" spans="1:22" x14ac:dyDescent="0.2">
      <c r="A68" s="1">
        <v>14</v>
      </c>
      <c r="B68" s="1" t="s">
        <v>549</v>
      </c>
      <c r="C68" s="6"/>
      <c r="D68" s="108">
        <f>D69/D70</f>
        <v>12.571931330472102</v>
      </c>
      <c r="E68" s="108">
        <f t="shared" ref="E68:H68" si="12">E69/E70</f>
        <v>7.9103371805856559</v>
      </c>
      <c r="F68" s="108">
        <f t="shared" si="12"/>
        <v>8.3051902063941725</v>
      </c>
      <c r="G68" s="108">
        <f t="shared" si="12"/>
        <v>9.7758858016823851</v>
      </c>
      <c r="H68" s="108">
        <f t="shared" si="12"/>
        <v>11.770190550770034</v>
      </c>
      <c r="I68" s="108"/>
      <c r="J68" s="108">
        <f>J69/J70</f>
        <v>6.6102054124551684</v>
      </c>
      <c r="K68" s="108">
        <f>K69/K70</f>
        <v>13.094475993804853</v>
      </c>
      <c r="L68" s="108">
        <f>L69/L70</f>
        <v>7.2055061584432618</v>
      </c>
      <c r="M68" s="108">
        <f>M69/M70</f>
        <v>14.33609166136219</v>
      </c>
      <c r="N68" s="108">
        <f>N69/N70</f>
        <v>9.8270106221547806</v>
      </c>
      <c r="V68" t="s">
        <v>620</v>
      </c>
    </row>
    <row r="69" spans="1:22" x14ac:dyDescent="0.2">
      <c r="A69" s="1"/>
      <c r="B69" s="1"/>
      <c r="C69" s="6" t="s">
        <v>545</v>
      </c>
      <c r="D69" s="3">
        <v>1464630</v>
      </c>
      <c r="E69" s="3">
        <v>1569490</v>
      </c>
      <c r="F69" s="3">
        <v>1641770</v>
      </c>
      <c r="G69" s="3">
        <v>1917540</v>
      </c>
      <c r="H69" s="3">
        <v>2254580</v>
      </c>
      <c r="I69" s="3"/>
      <c r="J69" s="3">
        <v>1216410</v>
      </c>
      <c r="K69" s="3">
        <v>1014560</v>
      </c>
      <c r="L69" s="3">
        <v>790934</v>
      </c>
      <c r="M69" s="3">
        <v>22522</v>
      </c>
      <c r="N69" s="3">
        <v>19428</v>
      </c>
      <c r="Q69" s="3">
        <v>108350</v>
      </c>
      <c r="R69" s="3">
        <v>65820</v>
      </c>
      <c r="S69" s="3">
        <v>126316</v>
      </c>
      <c r="T69" s="3">
        <v>1923</v>
      </c>
    </row>
    <row r="70" spans="1:22" x14ac:dyDescent="0.2">
      <c r="C70" s="6" t="s">
        <v>550</v>
      </c>
      <c r="D70">
        <f>'Bal Sheet - Standardized'!H24</f>
        <v>116500</v>
      </c>
      <c r="E70">
        <f>'Bal Sheet - Standardized'!I24</f>
        <v>198410</v>
      </c>
      <c r="F70">
        <f>'Bal Sheet - Standardized'!J24</f>
        <v>197680</v>
      </c>
      <c r="G70">
        <f>'Bal Sheet - Standardized'!K24</f>
        <v>196150</v>
      </c>
      <c r="H70">
        <f>'Bal Sheet - Standardized'!L24</f>
        <v>191550</v>
      </c>
      <c r="J70" s="3">
        <v>184020</v>
      </c>
      <c r="K70" s="3">
        <v>77480</v>
      </c>
      <c r="L70" s="3">
        <v>109768</v>
      </c>
      <c r="M70" s="3">
        <v>1571</v>
      </c>
      <c r="N70" s="3">
        <v>1977</v>
      </c>
      <c r="Q70">
        <f>757950+108350</f>
        <v>866300</v>
      </c>
      <c r="R70">
        <f>653980+65820</f>
        <v>719800</v>
      </c>
      <c r="S70">
        <f>781753+126316</f>
        <v>908069</v>
      </c>
      <c r="T70">
        <f>13227+1923</f>
        <v>15150</v>
      </c>
    </row>
    <row r="71" spans="1:22" x14ac:dyDescent="0.2">
      <c r="C71" s="6"/>
      <c r="Q71">
        <f>(Q69/Q70)*100</f>
        <v>12.50721459078841</v>
      </c>
      <c r="R71">
        <f>(R69/R70)*100</f>
        <v>9.144206724090024</v>
      </c>
      <c r="S71">
        <f>(S69/S70)*100</f>
        <v>13.910396676904508</v>
      </c>
      <c r="T71">
        <f>(T69/T70)*100</f>
        <v>12.693069306930694</v>
      </c>
      <c r="U71" s="125">
        <v>0.39979999999999999</v>
      </c>
      <c r="V71">
        <f>AVERAGE(Q71:U71)</f>
        <v>9.7309374597427283</v>
      </c>
    </row>
    <row r="73" spans="1:22" ht="26.25" x14ac:dyDescent="0.4">
      <c r="A73" s="89"/>
      <c r="B73" s="92" t="s">
        <v>551</v>
      </c>
      <c r="C73" s="89"/>
      <c r="D73" s="89"/>
      <c r="E73" s="89"/>
      <c r="F73" s="89"/>
      <c r="G73" s="89"/>
      <c r="H73" s="89"/>
      <c r="I73" s="89"/>
      <c r="J73" s="89"/>
      <c r="K73" s="89"/>
      <c r="L73" s="89"/>
      <c r="M73" s="89"/>
      <c r="N73" s="89"/>
    </row>
    <row r="74" spans="1:22" ht="15" x14ac:dyDescent="0.25">
      <c r="A74" s="89"/>
      <c r="B74" s="89"/>
      <c r="C74" s="89"/>
      <c r="D74" s="89"/>
      <c r="E74" s="89"/>
      <c r="F74" s="89"/>
      <c r="G74" s="89"/>
      <c r="H74" s="89"/>
      <c r="I74" s="89"/>
      <c r="J74" s="89"/>
      <c r="K74" s="89"/>
      <c r="L74" s="89"/>
      <c r="M74" s="89"/>
      <c r="N74" s="89"/>
    </row>
    <row r="75" spans="1:22" x14ac:dyDescent="0.2">
      <c r="C75" s="6"/>
    </row>
    <row r="76" spans="1:22" x14ac:dyDescent="0.2">
      <c r="A76" s="1">
        <v>16</v>
      </c>
      <c r="B76" s="1" t="s">
        <v>552</v>
      </c>
      <c r="C76" s="6"/>
      <c r="D76" s="108">
        <f>D77/D78</f>
        <v>0.4185698777165564</v>
      </c>
      <c r="E76" s="108"/>
      <c r="F76" s="108">
        <f t="shared" ref="F76" si="13">F77/F78</f>
        <v>0.40833368864091801</v>
      </c>
      <c r="G76" s="108"/>
      <c r="H76" s="108">
        <f>H77/H78</f>
        <v>0.39559474491923108</v>
      </c>
      <c r="I76" s="108"/>
      <c r="J76" s="108">
        <f>J77/J78</f>
        <v>0.32590162856273791</v>
      </c>
      <c r="K76" s="108"/>
      <c r="L76" s="108">
        <f>L77/L78</f>
        <v>0.29719546763699628</v>
      </c>
      <c r="M76" s="108">
        <f>M77/M78</f>
        <v>0.2685374300683776</v>
      </c>
      <c r="N76" s="108">
        <f>N77/N78</f>
        <v>0.35927527280214122</v>
      </c>
    </row>
    <row r="77" spans="1:22" x14ac:dyDescent="0.2">
      <c r="A77" s="1"/>
      <c r="B77" s="1"/>
      <c r="C77" s="6" t="s">
        <v>553</v>
      </c>
      <c r="D77">
        <f>'Income - Adjusted'!E11</f>
        <v>613050</v>
      </c>
      <c r="E77" t="str">
        <f>'Income - Adjusted'!F11</f>
        <v>—</v>
      </c>
      <c r="F77">
        <f>'Income - Adjusted'!G11</f>
        <v>670390</v>
      </c>
      <c r="G77" t="str">
        <f>'Income - Adjusted'!H11</f>
        <v>—</v>
      </c>
      <c r="H77">
        <f>'Income - Adjusted'!I11</f>
        <v>891900</v>
      </c>
      <c r="J77" s="3">
        <v>396430</v>
      </c>
      <c r="K77" s="25" t="s">
        <v>506</v>
      </c>
      <c r="L77" s="3">
        <v>235062</v>
      </c>
      <c r="M77" s="3">
        <v>6048</v>
      </c>
      <c r="N77" s="3">
        <v>6980</v>
      </c>
    </row>
    <row r="78" spans="1:22" x14ac:dyDescent="0.2">
      <c r="A78" s="1"/>
      <c r="B78" s="1"/>
      <c r="C78" s="6" t="s">
        <v>545</v>
      </c>
      <c r="D78" s="3">
        <v>1464630</v>
      </c>
      <c r="E78" s="3">
        <v>1569490</v>
      </c>
      <c r="F78" s="3">
        <v>1641770</v>
      </c>
      <c r="G78" s="3">
        <v>1917540</v>
      </c>
      <c r="H78" s="3">
        <v>2254580</v>
      </c>
      <c r="I78" s="3"/>
      <c r="J78" s="3">
        <v>1216410</v>
      </c>
      <c r="K78" s="3">
        <v>1014560</v>
      </c>
      <c r="L78" s="3">
        <v>790934</v>
      </c>
      <c r="M78" s="3">
        <v>22522</v>
      </c>
      <c r="N78" s="3">
        <v>19428</v>
      </c>
    </row>
    <row r="79" spans="1:22" x14ac:dyDescent="0.2">
      <c r="A79" s="1"/>
      <c r="B79" s="1"/>
      <c r="C79" s="6"/>
    </row>
    <row r="80" spans="1:22" x14ac:dyDescent="0.2">
      <c r="A80" s="1">
        <v>17</v>
      </c>
      <c r="B80" s="1" t="s">
        <v>555</v>
      </c>
      <c r="C80" s="6"/>
      <c r="D80" s="108">
        <f>D81/D82</f>
        <v>0.21488020865338003</v>
      </c>
      <c r="E80" s="108">
        <f t="shared" ref="E80:H80" si="14">E81/E82</f>
        <v>0.20605419594900254</v>
      </c>
      <c r="F80" s="108">
        <f t="shared" si="14"/>
        <v>0.19753071380278603</v>
      </c>
      <c r="G80" s="108">
        <f t="shared" si="14"/>
        <v>0.19987588264130082</v>
      </c>
      <c r="H80" s="108">
        <f t="shared" si="14"/>
        <v>0.18693947431450647</v>
      </c>
      <c r="I80" s="108"/>
      <c r="J80" s="108">
        <f>J81/J82</f>
        <v>0.18176437221002786</v>
      </c>
      <c r="K80" s="108">
        <f>K81/K82</f>
        <v>0.14637872575303579</v>
      </c>
      <c r="L80" s="108">
        <f>L81/L82</f>
        <v>0.15107075938068157</v>
      </c>
      <c r="M80" s="108">
        <f>M81/M82</f>
        <v>8.7936240120770795E-2</v>
      </c>
      <c r="N80" s="108">
        <f>N81/N82</f>
        <v>0.11787111385628989</v>
      </c>
    </row>
    <row r="81" spans="1:14" x14ac:dyDescent="0.2">
      <c r="A81" s="1"/>
      <c r="B81" s="1"/>
      <c r="C81" s="6" t="s">
        <v>554</v>
      </c>
      <c r="D81">
        <f>'Income - Adjusted'!E49</f>
        <v>314720</v>
      </c>
      <c r="E81">
        <f>'Income - Adjusted'!F49</f>
        <v>323400</v>
      </c>
      <c r="F81">
        <f>'Income - Adjusted'!G49</f>
        <v>324300</v>
      </c>
      <c r="G81">
        <f>'Income - Adjusted'!H49</f>
        <v>383270</v>
      </c>
      <c r="H81">
        <f>'Income - Adjusted'!I49</f>
        <v>421470</v>
      </c>
      <c r="J81" s="3">
        <v>221100</v>
      </c>
      <c r="K81" s="3">
        <v>148510</v>
      </c>
      <c r="L81" s="3">
        <v>119487</v>
      </c>
      <c r="M81" s="95">
        <v>1980.5</v>
      </c>
      <c r="N81" s="3">
        <v>2290</v>
      </c>
    </row>
    <row r="82" spans="1:14" x14ac:dyDescent="0.2">
      <c r="A82" s="1"/>
      <c r="B82" s="1"/>
      <c r="C82" s="6" t="s">
        <v>545</v>
      </c>
      <c r="D82" s="3">
        <v>1464630</v>
      </c>
      <c r="E82" s="3">
        <v>1569490</v>
      </c>
      <c r="F82" s="3">
        <v>1641770</v>
      </c>
      <c r="G82" s="3">
        <v>1917540</v>
      </c>
      <c r="H82" s="3">
        <v>2254580</v>
      </c>
      <c r="I82" s="3"/>
      <c r="J82" s="3">
        <v>1216410</v>
      </c>
      <c r="K82" s="3">
        <v>1014560</v>
      </c>
      <c r="L82" s="3">
        <v>790934</v>
      </c>
      <c r="M82" s="3">
        <v>22522</v>
      </c>
      <c r="N82" s="3">
        <v>19428</v>
      </c>
    </row>
    <row r="83" spans="1:14" x14ac:dyDescent="0.2">
      <c r="A83" s="1"/>
      <c r="B83" s="1"/>
      <c r="C83" s="6"/>
    </row>
    <row r="84" spans="1:14" x14ac:dyDescent="0.2">
      <c r="A84" s="1">
        <v>18</v>
      </c>
      <c r="B84" s="1" t="s">
        <v>556</v>
      </c>
      <c r="C84" s="6"/>
      <c r="D84" s="108">
        <f>D85/D86</f>
        <v>0.2837781555751282</v>
      </c>
      <c r="E84" s="108">
        <f t="shared" ref="E84:H84" si="15">E85/E86</f>
        <v>0.26918298300721888</v>
      </c>
      <c r="F84" s="108">
        <f t="shared" si="15"/>
        <v>0.26654159839685215</v>
      </c>
      <c r="G84" s="108">
        <f t="shared" si="15"/>
        <v>0.26954848399511877</v>
      </c>
      <c r="H84" s="108">
        <f t="shared" si="15"/>
        <v>0.25240621313060524</v>
      </c>
      <c r="I84" s="108"/>
      <c r="J84" s="108">
        <f>J85/J86</f>
        <v>0.24753167106485477</v>
      </c>
      <c r="K84" s="108">
        <f>K85/K86</f>
        <v>0.19526691373600377</v>
      </c>
      <c r="L84" s="108">
        <f>L85/L86</f>
        <v>0.19126121775015362</v>
      </c>
      <c r="M84" s="108">
        <f>M85/M86</f>
        <v>0.10229997335938194</v>
      </c>
      <c r="N84" s="108">
        <f>N85/N86</f>
        <v>0.15523985999588225</v>
      </c>
    </row>
    <row r="85" spans="1:14" x14ac:dyDescent="0.2">
      <c r="A85" s="1"/>
      <c r="B85" s="1"/>
      <c r="C85" s="6" t="s">
        <v>557</v>
      </c>
      <c r="D85">
        <f>'Income - Adjusted'!E35</f>
        <v>415630</v>
      </c>
      <c r="E85">
        <f>'Income - Adjusted'!F35</f>
        <v>422480</v>
      </c>
      <c r="F85">
        <f>'Income - Adjusted'!G35</f>
        <v>437600</v>
      </c>
      <c r="G85">
        <f>'Income - Adjusted'!H35</f>
        <v>516870</v>
      </c>
      <c r="H85">
        <f>'Income - Adjusted'!I35</f>
        <v>569070</v>
      </c>
      <c r="J85" s="3">
        <v>301100</v>
      </c>
      <c r="K85">
        <f>194880+3230</f>
        <v>198110</v>
      </c>
      <c r="L85" s="3">
        <v>151275</v>
      </c>
      <c r="M85" s="3">
        <v>2304</v>
      </c>
      <c r="N85" s="3">
        <v>3016</v>
      </c>
    </row>
    <row r="86" spans="1:14" x14ac:dyDescent="0.2">
      <c r="A86" s="1"/>
      <c r="B86" s="1"/>
      <c r="C86" s="6" t="s">
        <v>545</v>
      </c>
      <c r="D86" s="3">
        <v>1464630</v>
      </c>
      <c r="E86" s="3">
        <v>1569490</v>
      </c>
      <c r="F86" s="3">
        <v>1641770</v>
      </c>
      <c r="G86" s="3">
        <v>1917540</v>
      </c>
      <c r="H86" s="3">
        <v>2254580</v>
      </c>
      <c r="I86" s="3"/>
      <c r="J86" s="3">
        <v>1216410</v>
      </c>
      <c r="K86" s="3">
        <v>1014560</v>
      </c>
      <c r="L86" s="3">
        <v>790934</v>
      </c>
      <c r="M86" s="3">
        <v>22522</v>
      </c>
      <c r="N86" s="3">
        <v>19428</v>
      </c>
    </row>
    <row r="87" spans="1:14" x14ac:dyDescent="0.2">
      <c r="A87" s="1"/>
      <c r="B87" s="1"/>
      <c r="C87" s="6"/>
    </row>
    <row r="88" spans="1:14" x14ac:dyDescent="0.2">
      <c r="A88" s="1">
        <v>19</v>
      </c>
      <c r="B88" s="1" t="s">
        <v>558</v>
      </c>
      <c r="C88" s="6"/>
      <c r="D88" s="108">
        <f>D89/D90</f>
        <v>0.45151162917015197</v>
      </c>
      <c r="E88" s="108">
        <f t="shared" ref="E88:H88" si="16">E89/E90</f>
        <v>0.49850735701896187</v>
      </c>
      <c r="F88" s="108">
        <f t="shared" si="16"/>
        <v>0.4904180208450073</v>
      </c>
      <c r="G88" s="108">
        <f t="shared" si="16"/>
        <v>0.57528437548694433</v>
      </c>
      <c r="H88" s="108">
        <f t="shared" si="16"/>
        <v>0.60977883502635977</v>
      </c>
      <c r="I88" s="108"/>
      <c r="J88" s="108">
        <f>J89/J90</f>
        <v>0.37479150588762478</v>
      </c>
      <c r="K88" s="108">
        <f>K89/K90</f>
        <v>0.29345716867380645</v>
      </c>
      <c r="L88" s="108">
        <f>L89/L90</f>
        <v>0.21153319088956507</v>
      </c>
      <c r="M88" s="108">
        <f>M89/M90</f>
        <v>0.14822439526505404</v>
      </c>
      <c r="N88" s="108">
        <f>N89/N90</f>
        <v>0.23294971808140882</v>
      </c>
    </row>
    <row r="89" spans="1:14" x14ac:dyDescent="0.2">
      <c r="A89" s="1"/>
      <c r="B89" s="1"/>
      <c r="C89" s="6" t="s">
        <v>557</v>
      </c>
      <c r="D89">
        <f>'Income - Adjusted'!E35</f>
        <v>415630</v>
      </c>
      <c r="E89">
        <f>'Income - Adjusted'!F35</f>
        <v>422480</v>
      </c>
      <c r="F89">
        <f>'Income - Adjusted'!G35</f>
        <v>437600</v>
      </c>
      <c r="G89">
        <f>'Income - Adjusted'!H35</f>
        <v>516870</v>
      </c>
      <c r="H89">
        <f>'Income - Adjusted'!I35</f>
        <v>569070</v>
      </c>
      <c r="J89" s="3">
        <v>301100</v>
      </c>
      <c r="K89">
        <f>194880+3230</f>
        <v>198110</v>
      </c>
      <c r="L89" s="3">
        <v>151275</v>
      </c>
      <c r="M89" s="3">
        <v>2304</v>
      </c>
      <c r="N89" s="3">
        <v>3016</v>
      </c>
    </row>
    <row r="90" spans="1:14" x14ac:dyDescent="0.2">
      <c r="A90" s="1"/>
      <c r="B90" s="1"/>
      <c r="C90" s="6" t="s">
        <v>559</v>
      </c>
      <c r="D90">
        <f>'Bal Sheet - Standardized'!H80+'Bal Sheet - Standardized'!H58</f>
        <v>920530</v>
      </c>
      <c r="E90">
        <f>'Bal Sheet - Standardized'!I80+'Bal Sheet - Standardized'!I58</f>
        <v>847490</v>
      </c>
      <c r="F90">
        <f>'Bal Sheet - Standardized'!J80+'Bal Sheet - Standardized'!J58</f>
        <v>892300</v>
      </c>
      <c r="G90">
        <v>898460</v>
      </c>
      <c r="H90">
        <f>'Bal Sheet - Standardized'!L80+'Bal Sheet - Standardized'!L58</f>
        <v>933240</v>
      </c>
      <c r="J90">
        <f>757360+46020</f>
        <v>803380</v>
      </c>
      <c r="K90">
        <f>653980+21110</f>
        <v>675090</v>
      </c>
      <c r="L90">
        <f>658673+56463</f>
        <v>715136</v>
      </c>
      <c r="M90">
        <f>10473+5071</f>
        <v>15544</v>
      </c>
      <c r="N90">
        <f>12309+638</f>
        <v>12947</v>
      </c>
    </row>
    <row r="91" spans="1:14" x14ac:dyDescent="0.2">
      <c r="A91" s="1"/>
      <c r="B91" s="1"/>
      <c r="C91" s="6"/>
    </row>
    <row r="92" spans="1:14" x14ac:dyDescent="0.2">
      <c r="A92" s="1">
        <v>20</v>
      </c>
      <c r="B92" s="1" t="s">
        <v>560</v>
      </c>
      <c r="C92" s="6"/>
      <c r="D92" s="108">
        <f>D93/D94</f>
        <v>0.34205349476681629</v>
      </c>
      <c r="E92" s="108">
        <f t="shared" ref="E92:H92" si="17">E93/E94</f>
        <v>0.38159742297844224</v>
      </c>
      <c r="F92" s="108">
        <f t="shared" si="17"/>
        <v>0.36344278829989912</v>
      </c>
      <c r="G92" s="108">
        <f t="shared" si="17"/>
        <v>0.42658549072858004</v>
      </c>
      <c r="H92" s="108">
        <f t="shared" si="17"/>
        <v>0.45162016201620164</v>
      </c>
      <c r="I92" s="108"/>
      <c r="J92" s="108">
        <f>J93/J94</f>
        <v>0.29193514312876306</v>
      </c>
      <c r="K92" s="108">
        <f>K93/K94</f>
        <v>0.22708645524327961</v>
      </c>
      <c r="L92" s="108">
        <f>L93/L94</f>
        <v>0.18140564437892551</v>
      </c>
      <c r="M92" s="108">
        <f>M93/M94</f>
        <v>0.18910531843788791</v>
      </c>
      <c r="N92" s="108">
        <f>N93/N94</f>
        <v>0.18604273295962304</v>
      </c>
    </row>
    <row r="93" spans="1:14" x14ac:dyDescent="0.2">
      <c r="A93" s="1"/>
      <c r="B93" s="1"/>
      <c r="C93" s="6" t="s">
        <v>554</v>
      </c>
      <c r="D93">
        <f>'Income - Adjusted'!E49</f>
        <v>314720</v>
      </c>
      <c r="E93">
        <f>'Income - Adjusted'!F49</f>
        <v>323400</v>
      </c>
      <c r="F93">
        <f>'Income - Adjusted'!G49</f>
        <v>324300</v>
      </c>
      <c r="G93">
        <f>'Income - Adjusted'!H49</f>
        <v>383270</v>
      </c>
      <c r="H93">
        <f>'Income - Adjusted'!I49</f>
        <v>421470</v>
      </c>
      <c r="J93" s="3">
        <v>221100</v>
      </c>
      <c r="K93" s="3">
        <v>148510</v>
      </c>
      <c r="L93" s="3">
        <v>119487</v>
      </c>
      <c r="M93" s="95">
        <v>1980.5</v>
      </c>
      <c r="N93" s="3">
        <v>2290</v>
      </c>
    </row>
    <row r="94" spans="1:14" x14ac:dyDescent="0.2">
      <c r="C94" s="6" t="s">
        <v>533</v>
      </c>
      <c r="D94">
        <f>'Bal Sheet - Standardized'!H80</f>
        <v>920090</v>
      </c>
      <c r="E94">
        <f>'Bal Sheet - Standardized'!I80</f>
        <v>847490</v>
      </c>
      <c r="F94">
        <f>'Bal Sheet - Standardized'!J80</f>
        <v>892300</v>
      </c>
      <c r="G94">
        <f>'Bal Sheet - Standardized'!K80</f>
        <v>898460</v>
      </c>
      <c r="H94">
        <f>'Bal Sheet - Standardized'!L80</f>
        <v>933240</v>
      </c>
      <c r="J94" s="3">
        <v>757360</v>
      </c>
      <c r="K94" s="3">
        <v>653980</v>
      </c>
      <c r="L94" s="3">
        <v>658673</v>
      </c>
      <c r="M94" s="3">
        <v>10473</v>
      </c>
      <c r="N94" s="3">
        <v>12309</v>
      </c>
    </row>
    <row r="95" spans="1:14" x14ac:dyDescent="0.2">
      <c r="C95" s="6"/>
    </row>
    <row r="97" spans="1:14" ht="26.25" x14ac:dyDescent="0.4">
      <c r="A97" s="89"/>
      <c r="B97" s="92" t="s">
        <v>561</v>
      </c>
      <c r="C97" s="89"/>
      <c r="D97" s="89"/>
      <c r="E97" s="89"/>
      <c r="F97" s="89"/>
      <c r="G97" s="89"/>
      <c r="H97" s="89"/>
      <c r="I97" s="89"/>
      <c r="J97" s="89"/>
      <c r="K97" s="89"/>
      <c r="L97" s="89"/>
      <c r="M97" s="89"/>
      <c r="N97" s="89"/>
    </row>
    <row r="98" spans="1:14" ht="15" x14ac:dyDescent="0.25">
      <c r="A98" s="89"/>
      <c r="B98" s="89"/>
      <c r="C98" s="89"/>
      <c r="D98" s="89"/>
      <c r="E98" s="89"/>
      <c r="F98" s="89"/>
      <c r="G98" s="89"/>
      <c r="H98" s="89"/>
      <c r="I98" s="89"/>
      <c r="J98" s="89"/>
      <c r="K98" s="89"/>
      <c r="L98" s="89"/>
      <c r="M98" s="89"/>
      <c r="N98" s="89"/>
    </row>
    <row r="100" spans="1:14" x14ac:dyDescent="0.2">
      <c r="A100" s="1">
        <v>21</v>
      </c>
      <c r="B100" s="1" t="s">
        <v>562</v>
      </c>
      <c r="D100" s="109">
        <f>D101/D102</f>
        <v>1.4987635200959208E-2</v>
      </c>
      <c r="E100" s="108">
        <f t="shared" ref="E100:H100" si="18">E101/E102</f>
        <v>3.9975904934012381E-2</v>
      </c>
      <c r="F100" s="108">
        <f t="shared" si="18"/>
        <v>1.1957770190537629E-2</v>
      </c>
      <c r="G100" s="108">
        <f t="shared" si="18"/>
        <v>1.1497479912833061E-2</v>
      </c>
      <c r="H100" s="108">
        <f t="shared" si="18"/>
        <v>3.587136217598802E-2</v>
      </c>
      <c r="I100" s="108"/>
      <c r="J100" s="108">
        <f>J101/J102</f>
        <v>1.625717806854236E-2</v>
      </c>
      <c r="K100" s="108">
        <f>K101/K102</f>
        <v>4.423963133640553E-2</v>
      </c>
      <c r="L100" s="108">
        <f>L101/L102</f>
        <v>1.0136847440446021E-2</v>
      </c>
      <c r="M100" s="108">
        <f>M101/M102</f>
        <v>1.8013245033112583E-2</v>
      </c>
      <c r="N100" s="108">
        <f>N101/N102</f>
        <v>1.8884420353208604E-2</v>
      </c>
    </row>
    <row r="101" spans="1:14" x14ac:dyDescent="0.2">
      <c r="A101" s="1"/>
      <c r="B101" s="1"/>
      <c r="C101" s="6" t="s">
        <v>563</v>
      </c>
      <c r="D101" s="95">
        <f>'Income - Adjusted'!E76</f>
        <v>30</v>
      </c>
      <c r="E101" s="95">
        <f>'Income - Adjusted'!F76</f>
        <v>73</v>
      </c>
      <c r="F101" s="95">
        <f>'Income - Adjusted'!G76</f>
        <v>38</v>
      </c>
      <c r="G101" s="95">
        <f>'Income - Adjusted'!H76</f>
        <v>43</v>
      </c>
      <c r="H101" s="95">
        <f>'Income - Adjusted'!I76</f>
        <v>115</v>
      </c>
      <c r="I101" s="95"/>
      <c r="J101" s="95">
        <v>31</v>
      </c>
      <c r="K101">
        <v>48</v>
      </c>
      <c r="L101">
        <v>6</v>
      </c>
      <c r="M101" s="95">
        <v>3.4</v>
      </c>
      <c r="N101" s="95">
        <v>1.08</v>
      </c>
    </row>
    <row r="102" spans="1:14" x14ac:dyDescent="0.2">
      <c r="A102" s="1"/>
      <c r="B102" s="1"/>
      <c r="C102" s="6" t="s">
        <v>564</v>
      </c>
      <c r="D102" s="95">
        <f>'Stock Value'!G6</f>
        <v>2001.65</v>
      </c>
      <c r="E102" s="95">
        <f>'Stock Value'!H6</f>
        <v>1826.1</v>
      </c>
      <c r="F102" s="95">
        <f>'Stock Value'!I6</f>
        <v>3177.85</v>
      </c>
      <c r="G102" s="95">
        <f>'Stock Value'!J6</f>
        <v>3739.95</v>
      </c>
      <c r="H102" s="95">
        <f>'Stock Value'!K6</f>
        <v>3205.9</v>
      </c>
      <c r="I102" s="95"/>
      <c r="J102" s="95">
        <v>1906.85</v>
      </c>
      <c r="K102" s="95">
        <v>1085</v>
      </c>
      <c r="L102">
        <v>591.9</v>
      </c>
      <c r="M102" s="95">
        <v>188.75</v>
      </c>
      <c r="N102" s="95">
        <v>57.19</v>
      </c>
    </row>
    <row r="103" spans="1:14" x14ac:dyDescent="0.2">
      <c r="A103" s="1"/>
      <c r="B103" s="1"/>
      <c r="C103" s="6"/>
    </row>
    <row r="104" spans="1:14" x14ac:dyDescent="0.2">
      <c r="A104" s="1">
        <v>22</v>
      </c>
      <c r="B104" s="1" t="s">
        <v>565</v>
      </c>
      <c r="C104" s="6"/>
      <c r="D104" s="108">
        <f>D105/D106</f>
        <v>-0.36451448906964923</v>
      </c>
      <c r="E104" s="108">
        <f t="shared" ref="E104:H104" si="19">E105/E106</f>
        <v>-1.1636982065553494</v>
      </c>
      <c r="F104" s="108">
        <f t="shared" si="19"/>
        <v>-0.33456675917360468</v>
      </c>
      <c r="G104" s="108">
        <f t="shared" si="19"/>
        <v>-0.34745740600620972</v>
      </c>
      <c r="H104" s="108">
        <f t="shared" si="19"/>
        <v>-0.98101881509953259</v>
      </c>
      <c r="I104" s="108"/>
      <c r="J104" s="108">
        <f>J105/J106</f>
        <v>0.57222976028946182</v>
      </c>
      <c r="K104" s="108">
        <f>K105/K106</f>
        <v>0.87502525082486027</v>
      </c>
      <c r="L104" s="108">
        <f>L105/L106</f>
        <v>4.575393139002569E-2</v>
      </c>
      <c r="M104" s="108">
        <f>M105/M106</f>
        <v>0.28225195657662205</v>
      </c>
      <c r="N104" s="108">
        <f>N105/N106</f>
        <v>0.24628820960698691</v>
      </c>
    </row>
    <row r="105" spans="1:14" x14ac:dyDescent="0.2">
      <c r="A105" s="1"/>
      <c r="B105" s="1"/>
      <c r="C105" s="6" t="s">
        <v>566</v>
      </c>
      <c r="D105" s="95">
        <f>'Cash flow - standardized'!F39</f>
        <v>-114720</v>
      </c>
      <c r="E105" s="95">
        <f>'Cash flow - standardized'!G39</f>
        <v>-376340</v>
      </c>
      <c r="F105" s="95">
        <f>'Cash flow - standardized'!H39</f>
        <v>-108500</v>
      </c>
      <c r="G105" s="95">
        <f>'Cash flow - standardized'!I39</f>
        <v>-133170</v>
      </c>
      <c r="H105" s="95">
        <f>'Cash flow - standardized'!J39</f>
        <v>-413470</v>
      </c>
      <c r="I105" s="95"/>
      <c r="J105" s="95">
        <v>126520</v>
      </c>
      <c r="K105" s="3">
        <v>129950</v>
      </c>
      <c r="L105" s="3">
        <v>5467</v>
      </c>
      <c r="M105" s="95">
        <v>559</v>
      </c>
      <c r="N105" s="95">
        <v>564</v>
      </c>
    </row>
    <row r="106" spans="1:14" x14ac:dyDescent="0.2">
      <c r="A106" s="1"/>
      <c r="B106" s="1"/>
      <c r="C106" s="6" t="s">
        <v>554</v>
      </c>
      <c r="D106">
        <f>'Income - Adjusted'!E49</f>
        <v>314720</v>
      </c>
      <c r="E106">
        <f>'Income - Adjusted'!F49</f>
        <v>323400</v>
      </c>
      <c r="F106">
        <f>'Income - Adjusted'!G49</f>
        <v>324300</v>
      </c>
      <c r="G106">
        <f>'Income - Adjusted'!H49</f>
        <v>383270</v>
      </c>
      <c r="H106">
        <f>'Income - Adjusted'!I49</f>
        <v>421470</v>
      </c>
      <c r="J106" s="3">
        <v>221100</v>
      </c>
      <c r="K106" s="3">
        <v>148510</v>
      </c>
      <c r="L106" s="3">
        <v>119487</v>
      </c>
      <c r="M106" s="95">
        <v>1980.5</v>
      </c>
      <c r="N106" s="3">
        <v>2290</v>
      </c>
    </row>
    <row r="107" spans="1:14" x14ac:dyDescent="0.2">
      <c r="A107" s="1"/>
      <c r="B107" s="1"/>
      <c r="C107" s="6"/>
    </row>
    <row r="108" spans="1:14" x14ac:dyDescent="0.2">
      <c r="A108" s="1">
        <v>23</v>
      </c>
      <c r="B108" s="1" t="s">
        <v>567</v>
      </c>
      <c r="C108" s="6"/>
      <c r="D108" s="108">
        <f>D109/D110</f>
        <v>24.101745936183026</v>
      </c>
      <c r="E108" s="108">
        <f t="shared" ref="E108:H108" si="20">E109/E110</f>
        <v>21.186912634876435</v>
      </c>
      <c r="F108" s="108">
        <f t="shared" si="20"/>
        <v>36.649175412293857</v>
      </c>
      <c r="G108" s="108">
        <f t="shared" si="20"/>
        <v>36.092935726693682</v>
      </c>
      <c r="H108" s="108">
        <f t="shared" si="20"/>
        <v>27.831408976473654</v>
      </c>
      <c r="I108" s="108"/>
      <c r="J108" s="108">
        <f>J109/J110</f>
        <v>36.307121096725055</v>
      </c>
      <c r="K108" s="108">
        <f>K109/K110</f>
        <v>19.802883737908378</v>
      </c>
      <c r="L108" s="108">
        <f>L109/L110</f>
        <v>23.324360699865409</v>
      </c>
      <c r="M108" s="108">
        <f>M109/M110</f>
        <v>20.14407684098186</v>
      </c>
      <c r="N108" s="108">
        <f>N109/N110</f>
        <v>12.968253968253967</v>
      </c>
    </row>
    <row r="109" spans="1:14" x14ac:dyDescent="0.2">
      <c r="A109" s="1"/>
      <c r="B109" s="1"/>
      <c r="C109" s="6" t="s">
        <v>564</v>
      </c>
      <c r="D109">
        <v>2001.65</v>
      </c>
      <c r="E109" s="95">
        <v>1826.1</v>
      </c>
      <c r="F109" s="95">
        <v>3177.85</v>
      </c>
      <c r="G109" s="95">
        <v>3739.95</v>
      </c>
      <c r="H109" s="95">
        <v>3205.9</v>
      </c>
      <c r="I109" s="95"/>
      <c r="J109" s="95">
        <v>1906.85</v>
      </c>
      <c r="K109" s="95">
        <v>1085</v>
      </c>
      <c r="L109" s="95">
        <v>519.9</v>
      </c>
      <c r="M109" s="95">
        <v>188.75</v>
      </c>
      <c r="N109" s="95">
        <v>57.19</v>
      </c>
    </row>
    <row r="110" spans="1:14" x14ac:dyDescent="0.2">
      <c r="A110" s="1"/>
      <c r="B110" s="1"/>
      <c r="C110" s="6" t="s">
        <v>568</v>
      </c>
      <c r="D110">
        <v>83.05</v>
      </c>
      <c r="E110">
        <v>86.19</v>
      </c>
      <c r="F110">
        <v>86.71</v>
      </c>
      <c r="G110">
        <v>103.62</v>
      </c>
      <c r="H110">
        <v>115.19</v>
      </c>
      <c r="J110">
        <v>52.52</v>
      </c>
      <c r="K110">
        <v>54.79</v>
      </c>
      <c r="L110">
        <v>22.29</v>
      </c>
      <c r="M110">
        <v>9.3699999999999992</v>
      </c>
      <c r="N110">
        <v>4.41</v>
      </c>
    </row>
    <row r="111" spans="1:14" x14ac:dyDescent="0.2">
      <c r="A111" s="1"/>
      <c r="B111" s="1"/>
      <c r="C111" s="6"/>
    </row>
    <row r="112" spans="1:14" x14ac:dyDescent="0.2">
      <c r="A112" s="1">
        <v>24</v>
      </c>
      <c r="B112" s="1" t="s">
        <v>569</v>
      </c>
      <c r="C112" s="6"/>
      <c r="D112" s="108">
        <f>D113/D114</f>
        <v>8.1632892434435753</v>
      </c>
      <c r="E112" s="108">
        <f t="shared" ref="E112:H112" si="21">E113/E114</f>
        <v>8.0853221866924692</v>
      </c>
      <c r="F112" s="108">
        <f t="shared" si="21"/>
        <v>13.173854533228734</v>
      </c>
      <c r="G112" s="108">
        <f t="shared" si="21"/>
        <v>15.231250361730071</v>
      </c>
      <c r="H112" s="108">
        <f t="shared" si="21"/>
        <v>12.56970639921135</v>
      </c>
      <c r="I112" s="108"/>
      <c r="J112" s="108">
        <f>J113/J114</f>
        <v>10.556996276539559</v>
      </c>
      <c r="K112" s="108">
        <f>K113/K114</f>
        <v>4.5032034618795684</v>
      </c>
      <c r="L112" s="108">
        <f>L113/L114</f>
        <v>4.9263250505182388</v>
      </c>
      <c r="M112" s="108">
        <f>M113/M114</f>
        <v>3.1108373913873768</v>
      </c>
      <c r="N112" s="108">
        <f>N113/N114</f>
        <v>2.3649118531156064</v>
      </c>
    </row>
    <row r="113" spans="1:20" x14ac:dyDescent="0.2">
      <c r="A113" s="1"/>
      <c r="B113" s="1"/>
      <c r="C113" s="6" t="s">
        <v>570</v>
      </c>
      <c r="D113" s="95">
        <v>7510960.7999999998</v>
      </c>
      <c r="E113" s="95">
        <v>6852229.7000000002</v>
      </c>
      <c r="F113" s="95">
        <v>11755030.4</v>
      </c>
      <c r="G113" s="95">
        <v>13684669.199999999</v>
      </c>
      <c r="H113" s="95">
        <v>11730552.800000001</v>
      </c>
      <c r="I113" s="95"/>
      <c r="J113" s="95">
        <v>7995446.7000000002</v>
      </c>
      <c r="K113" s="3">
        <v>2945005</v>
      </c>
      <c r="L113" s="95">
        <v>3244837.3</v>
      </c>
      <c r="M113" s="95">
        <v>32579.8</v>
      </c>
      <c r="N113" s="95">
        <v>29109.7</v>
      </c>
    </row>
    <row r="114" spans="1:20" x14ac:dyDescent="0.2">
      <c r="A114" s="1"/>
      <c r="B114" s="1"/>
      <c r="C114" s="6" t="s">
        <v>533</v>
      </c>
      <c r="D114" s="3">
        <v>920090</v>
      </c>
      <c r="E114" s="3">
        <v>847490</v>
      </c>
      <c r="F114" s="3">
        <v>892300</v>
      </c>
      <c r="G114" s="3">
        <v>898460</v>
      </c>
      <c r="H114" s="3">
        <v>933240</v>
      </c>
      <c r="I114" s="3"/>
      <c r="J114" s="3">
        <v>757360</v>
      </c>
      <c r="K114" s="3">
        <v>653980</v>
      </c>
      <c r="L114" s="3">
        <v>658673</v>
      </c>
      <c r="M114" s="3">
        <v>10473</v>
      </c>
      <c r="N114" s="3">
        <v>12309</v>
      </c>
    </row>
    <row r="115" spans="1:20" x14ac:dyDescent="0.2">
      <c r="C115" s="6"/>
      <c r="O115" s="125"/>
      <c r="P115" s="125"/>
      <c r="Q115" s="125"/>
      <c r="R115" s="125"/>
      <c r="S115" s="125"/>
      <c r="T115" s="125"/>
    </row>
    <row r="119" spans="1:20" ht="15.75" x14ac:dyDescent="0.25">
      <c r="A119" s="114" t="s">
        <v>594</v>
      </c>
      <c r="B119" s="114"/>
      <c r="C119" s="114"/>
      <c r="D119" s="115"/>
      <c r="E119" s="115"/>
    </row>
    <row r="120" spans="1:20" ht="15.75" x14ac:dyDescent="0.25">
      <c r="A120" s="115" t="s">
        <v>595</v>
      </c>
      <c r="B120" s="115"/>
      <c r="C120" s="115"/>
      <c r="D120" s="115"/>
      <c r="E120" s="115"/>
    </row>
    <row r="125" spans="1:20" x14ac:dyDescent="0.2">
      <c r="G125" s="3"/>
    </row>
    <row r="126" spans="1:20" x14ac:dyDescent="0.2">
      <c r="G126" s="3"/>
    </row>
    <row r="128" spans="1:20" ht="18" x14ac:dyDescent="0.25">
      <c r="F128" s="96"/>
      <c r="G128" s="103"/>
      <c r="H128" s="104" t="s">
        <v>586</v>
      </c>
      <c r="I128" s="96"/>
      <c r="J128" s="96"/>
      <c r="M128" s="97" t="s">
        <v>574</v>
      </c>
    </row>
    <row r="129" spans="2:20" ht="15.75" x14ac:dyDescent="0.25">
      <c r="B129" t="s">
        <v>621</v>
      </c>
      <c r="E129" s="110"/>
      <c r="F129" s="110"/>
      <c r="G129" s="110" t="s">
        <v>578</v>
      </c>
      <c r="H129" s="110" t="s">
        <v>628</v>
      </c>
      <c r="I129" s="110" t="s">
        <v>629</v>
      </c>
      <c r="J129" s="110" t="s">
        <v>592</v>
      </c>
      <c r="K129" s="110" t="s">
        <v>575</v>
      </c>
      <c r="L129" s="110" t="s">
        <v>576</v>
      </c>
      <c r="M129" s="110" t="s">
        <v>577</v>
      </c>
      <c r="N129" s="110" t="s">
        <v>581</v>
      </c>
    </row>
    <row r="130" spans="2:20" x14ac:dyDescent="0.2">
      <c r="B130" t="s">
        <v>622</v>
      </c>
      <c r="C130">
        <v>4095</v>
      </c>
      <c r="G130" t="s">
        <v>579</v>
      </c>
      <c r="H130">
        <f>2945005/1014560</f>
        <v>2.9027410897334804</v>
      </c>
      <c r="I130">
        <f>3244837.3/790934</f>
        <v>4.1025386441852287</v>
      </c>
      <c r="J130">
        <f>37613.9/19353</f>
        <v>1.9435694724332147</v>
      </c>
      <c r="K130">
        <f>AVERAGE(F130:J130)</f>
        <v>2.9829497354506409</v>
      </c>
      <c r="L130">
        <f>'Stock Value'!J12/'Income - Adjusted'!H6</f>
        <v>7.1365756033772429</v>
      </c>
      <c r="M130">
        <f>'Income - Adjusted'!I6</f>
        <v>2254580</v>
      </c>
      <c r="N130">
        <f>M130*K130</f>
        <v>6725298.8145523062</v>
      </c>
    </row>
    <row r="131" spans="2:20" x14ac:dyDescent="0.2">
      <c r="B131" t="s">
        <v>23</v>
      </c>
      <c r="C131">
        <v>4047</v>
      </c>
      <c r="G131" t="s">
        <v>584</v>
      </c>
      <c r="H131">
        <f>2945005/653980</f>
        <v>4.5032034618795684</v>
      </c>
      <c r="I131">
        <f>3244837.3/658673</f>
        <v>4.9263250505182388</v>
      </c>
      <c r="J131">
        <f>37613.9/13227</f>
        <v>2.8437211763816439</v>
      </c>
      <c r="K131">
        <f t="shared" ref="K131:K132" si="22">AVERAGE(F131:J131)</f>
        <v>4.0910832295931501</v>
      </c>
      <c r="L131">
        <v>15.23</v>
      </c>
    </row>
    <row r="132" spans="2:20" x14ac:dyDescent="0.2">
      <c r="B132" t="s">
        <v>623</v>
      </c>
      <c r="C132">
        <v>4106</v>
      </c>
      <c r="G132" t="s">
        <v>580</v>
      </c>
      <c r="H132">
        <f>1085.25/54.85</f>
        <v>19.785779398359161</v>
      </c>
      <c r="I132">
        <f>591/22.35</f>
        <v>26.442953020134226</v>
      </c>
      <c r="J132">
        <f>75.53/4.21</f>
        <v>17.940617577197148</v>
      </c>
      <c r="K132">
        <f t="shared" si="22"/>
        <v>21.389783331896847</v>
      </c>
      <c r="L132">
        <v>36.090000000000003</v>
      </c>
      <c r="M132">
        <f>'Income - Adjusted'!I49</f>
        <v>421470</v>
      </c>
      <c r="N132">
        <f>M132*K132</f>
        <v>9015151.9808945637</v>
      </c>
    </row>
    <row r="133" spans="2:20" x14ac:dyDescent="0.2">
      <c r="B133" t="s">
        <v>621</v>
      </c>
      <c r="C133">
        <f>AVERAGE(C130:C132)</f>
        <v>4082.6666666666665</v>
      </c>
    </row>
    <row r="135" spans="2:20" x14ac:dyDescent="0.2">
      <c r="C135" s="25"/>
    </row>
    <row r="136" spans="2:20" x14ac:dyDescent="0.2">
      <c r="C136" s="25"/>
      <c r="M136" s="98" t="s">
        <v>583</v>
      </c>
      <c r="N136">
        <f>SUM(N130:N132)</f>
        <v>15740450.795446869</v>
      </c>
    </row>
    <row r="137" spans="2:20" x14ac:dyDescent="0.2">
      <c r="C137" s="25"/>
      <c r="M137" t="s">
        <v>619</v>
      </c>
      <c r="N137" s="3">
        <v>3827.65</v>
      </c>
    </row>
    <row r="138" spans="2:20" ht="18" x14ac:dyDescent="0.25">
      <c r="D138" t="s">
        <v>627</v>
      </c>
      <c r="E138">
        <v>4007.84</v>
      </c>
      <c r="M138" s="102" t="s">
        <v>582</v>
      </c>
      <c r="N138" s="102">
        <f>N136/N137</f>
        <v>4112.301489281117</v>
      </c>
    </row>
    <row r="139" spans="2:20" x14ac:dyDescent="0.2">
      <c r="E139">
        <v>4053.23</v>
      </c>
    </row>
    <row r="140" spans="2:20" x14ac:dyDescent="0.2">
      <c r="E140">
        <v>4112.3</v>
      </c>
    </row>
    <row r="141" spans="2:20" x14ac:dyDescent="0.2">
      <c r="E141">
        <f>AVERAGE(E138:E140)</f>
        <v>4057.7899999999995</v>
      </c>
      <c r="N141" s="99"/>
      <c r="T141" s="99"/>
    </row>
    <row r="143" spans="2:20" x14ac:dyDescent="0.2">
      <c r="N143" s="99"/>
    </row>
    <row r="144" spans="2:20" x14ac:dyDescent="0.2">
      <c r="G144" t="s">
        <v>630</v>
      </c>
      <c r="I144" t="s">
        <v>633</v>
      </c>
      <c r="J144" t="s">
        <v>634</v>
      </c>
      <c r="K144" t="s">
        <v>635</v>
      </c>
    </row>
    <row r="145" spans="7:11" x14ac:dyDescent="0.2">
      <c r="G145" t="s">
        <v>631</v>
      </c>
      <c r="H145">
        <v>4007.84</v>
      </c>
    </row>
    <row r="146" spans="7:11" x14ac:dyDescent="0.2">
      <c r="G146" t="s">
        <v>23</v>
      </c>
      <c r="H146">
        <v>4053.23</v>
      </c>
      <c r="I146" s="129">
        <v>4057.79</v>
      </c>
      <c r="J146" s="129">
        <v>3827.65</v>
      </c>
      <c r="K146" s="130">
        <v>0.06</v>
      </c>
    </row>
    <row r="147" spans="7:11" x14ac:dyDescent="0.2">
      <c r="G147" t="s">
        <v>632</v>
      </c>
      <c r="H147">
        <v>4112.3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F850A-6C3E-427F-8776-41CABD54E935}">
  <dimension ref="A1:AG41"/>
  <sheetViews>
    <sheetView topLeftCell="A15" workbookViewId="0">
      <selection activeCell="C36" sqref="C36"/>
    </sheetView>
  </sheetViews>
  <sheetFormatPr defaultColWidth="8.7109375" defaultRowHeight="15" x14ac:dyDescent="0.25"/>
  <cols>
    <col min="1" max="1" width="35.140625" style="27" customWidth="1"/>
    <col min="2" max="2" width="0" style="27" hidden="1" customWidth="1"/>
    <col min="3" max="3" width="36.7109375" style="27" customWidth="1"/>
    <col min="4" max="4" width="14.5703125" style="27" customWidth="1"/>
    <col min="5" max="12" width="11.85546875" style="27" customWidth="1"/>
    <col min="13" max="16384" width="8.7109375" style="27"/>
  </cols>
  <sheetData>
    <row r="1" spans="1:12" x14ac:dyDescent="0.25">
      <c r="A1" s="54"/>
      <c r="B1" s="54"/>
      <c r="C1" s="54"/>
      <c r="D1" s="54"/>
      <c r="E1" s="54"/>
      <c r="F1" s="54"/>
      <c r="G1" s="54"/>
      <c r="H1" s="54"/>
      <c r="I1" s="54"/>
      <c r="J1" s="54"/>
      <c r="K1" s="54"/>
      <c r="L1" s="54"/>
    </row>
    <row r="2" spans="1:12" ht="20.25" x14ac:dyDescent="0.25">
      <c r="A2" s="53" t="s">
        <v>480</v>
      </c>
      <c r="B2" s="53"/>
      <c r="C2" s="53"/>
      <c r="D2" s="53"/>
      <c r="E2" s="53"/>
      <c r="F2" s="53"/>
      <c r="G2" s="53"/>
      <c r="H2" s="53"/>
      <c r="I2" s="53"/>
      <c r="J2" s="53"/>
      <c r="K2" s="53"/>
      <c r="L2" s="53"/>
    </row>
    <row r="3" spans="1:12" x14ac:dyDescent="0.25">
      <c r="A3" s="52"/>
      <c r="B3" s="52"/>
      <c r="C3" s="52"/>
      <c r="D3" s="52"/>
      <c r="E3" s="52"/>
      <c r="F3" s="52"/>
      <c r="G3" s="52"/>
      <c r="H3" s="52"/>
      <c r="I3" s="52"/>
      <c r="J3" s="52"/>
      <c r="K3" s="52"/>
      <c r="L3" s="52"/>
    </row>
    <row r="4" spans="1:12" x14ac:dyDescent="0.25">
      <c r="A4" s="51" t="s">
        <v>227</v>
      </c>
      <c r="B4" s="51"/>
      <c r="C4" s="50" t="s">
        <v>408</v>
      </c>
      <c r="D4" s="50" t="s">
        <v>407</v>
      </c>
      <c r="E4" s="50" t="s">
        <v>226</v>
      </c>
      <c r="F4" s="50" t="s">
        <v>225</v>
      </c>
      <c r="G4" s="50" t="s">
        <v>224</v>
      </c>
      <c r="H4" s="50" t="s">
        <v>223</v>
      </c>
      <c r="I4" s="50" t="s">
        <v>222</v>
      </c>
      <c r="J4" s="50" t="s">
        <v>221</v>
      </c>
      <c r="K4" s="50" t="s">
        <v>220</v>
      </c>
      <c r="L4" s="50" t="s">
        <v>479</v>
      </c>
    </row>
    <row r="5" spans="1:12" x14ac:dyDescent="0.25">
      <c r="A5" s="49" t="s">
        <v>216</v>
      </c>
      <c r="B5" s="49"/>
      <c r="C5" s="48" t="s">
        <v>405</v>
      </c>
      <c r="D5" s="48" t="s">
        <v>404</v>
      </c>
      <c r="E5" s="48" t="s">
        <v>215</v>
      </c>
      <c r="F5" s="48" t="s">
        <v>214</v>
      </c>
      <c r="G5" s="48" t="s">
        <v>213</v>
      </c>
      <c r="H5" s="48" t="s">
        <v>212</v>
      </c>
      <c r="I5" s="48" t="s">
        <v>211</v>
      </c>
      <c r="J5" s="48" t="s">
        <v>210</v>
      </c>
      <c r="K5" s="48" t="s">
        <v>209</v>
      </c>
      <c r="L5" s="48" t="s">
        <v>478</v>
      </c>
    </row>
    <row r="6" spans="1:12" x14ac:dyDescent="0.25">
      <c r="A6" s="39" t="s">
        <v>477</v>
      </c>
      <c r="B6" s="39" t="s">
        <v>476</v>
      </c>
      <c r="C6" s="40">
        <v>1276.97</v>
      </c>
      <c r="D6" s="40">
        <v>1260.1500000000001</v>
      </c>
      <c r="E6" s="40">
        <v>1215.9000000000001</v>
      </c>
      <c r="F6" s="40">
        <v>1424.58</v>
      </c>
      <c r="G6" s="40">
        <v>2001.65</v>
      </c>
      <c r="H6" s="40">
        <v>1826.1</v>
      </c>
      <c r="I6" s="40">
        <v>3177.85</v>
      </c>
      <c r="J6" s="40">
        <v>3739.95</v>
      </c>
      <c r="K6" s="40">
        <v>3205.9</v>
      </c>
      <c r="L6" s="41">
        <v>3330.64990234375</v>
      </c>
    </row>
    <row r="7" spans="1:12" x14ac:dyDescent="0.25">
      <c r="A7" s="46" t="s">
        <v>475</v>
      </c>
      <c r="B7" s="46" t="s">
        <v>474</v>
      </c>
      <c r="C7" s="86">
        <v>19.726700000000001</v>
      </c>
      <c r="D7" s="86">
        <v>-1.3176000000000001</v>
      </c>
      <c r="E7" s="86">
        <v>-3.5114999999999998</v>
      </c>
      <c r="F7" s="86">
        <v>17.162199999999999</v>
      </c>
      <c r="G7" s="86">
        <v>40.508600000000001</v>
      </c>
      <c r="H7" s="86">
        <v>-8.7703000000000007</v>
      </c>
      <c r="I7" s="86">
        <v>74.023899999999998</v>
      </c>
      <c r="J7" s="86">
        <v>17.688099999999999</v>
      </c>
      <c r="K7" s="86">
        <v>-14.2796</v>
      </c>
      <c r="L7" s="85"/>
    </row>
    <row r="8" spans="1:12" x14ac:dyDescent="0.25">
      <c r="A8" s="32" t="s">
        <v>473</v>
      </c>
      <c r="B8" s="32" t="s">
        <v>472</v>
      </c>
      <c r="C8" s="33">
        <v>1072.5</v>
      </c>
      <c r="D8" s="33">
        <v>1279</v>
      </c>
      <c r="E8" s="33">
        <v>1252.5</v>
      </c>
      <c r="F8" s="33">
        <v>1217.5</v>
      </c>
      <c r="G8" s="33">
        <v>1422.5</v>
      </c>
      <c r="H8" s="33">
        <v>2025</v>
      </c>
      <c r="I8" s="33">
        <v>1830</v>
      </c>
      <c r="J8" s="33">
        <v>3190</v>
      </c>
      <c r="K8" s="33">
        <v>3746.15</v>
      </c>
      <c r="L8" s="34">
        <v>3354.75</v>
      </c>
    </row>
    <row r="9" spans="1:12" x14ac:dyDescent="0.25">
      <c r="A9" s="32" t="s">
        <v>471</v>
      </c>
      <c r="B9" s="32" t="s">
        <v>470</v>
      </c>
      <c r="C9" s="33">
        <v>1419.85</v>
      </c>
      <c r="D9" s="33">
        <v>1385</v>
      </c>
      <c r="E9" s="33">
        <v>1372.4</v>
      </c>
      <c r="F9" s="33">
        <v>1629.53</v>
      </c>
      <c r="G9" s="33">
        <v>2275.9499999999998</v>
      </c>
      <c r="H9" s="33">
        <v>2296.1999999999998</v>
      </c>
      <c r="I9" s="33">
        <v>3345.25</v>
      </c>
      <c r="J9" s="33">
        <v>4123</v>
      </c>
      <c r="K9" s="33">
        <v>3835.6</v>
      </c>
      <c r="L9" s="34">
        <v>3371.89990234375</v>
      </c>
    </row>
    <row r="10" spans="1:12" x14ac:dyDescent="0.25">
      <c r="A10" s="32" t="s">
        <v>469</v>
      </c>
      <c r="B10" s="32" t="s">
        <v>468</v>
      </c>
      <c r="C10" s="33">
        <v>999.75</v>
      </c>
      <c r="D10" s="33">
        <v>1057.5</v>
      </c>
      <c r="E10" s="33">
        <v>1025.95</v>
      </c>
      <c r="F10" s="33">
        <v>1126.4000000000001</v>
      </c>
      <c r="G10" s="33">
        <v>1420</v>
      </c>
      <c r="H10" s="33">
        <v>1504.4</v>
      </c>
      <c r="I10" s="33">
        <v>1650</v>
      </c>
      <c r="J10" s="33">
        <v>3004</v>
      </c>
      <c r="K10" s="33">
        <v>2926</v>
      </c>
      <c r="L10" s="34">
        <v>3311</v>
      </c>
    </row>
    <row r="11" spans="1:12" x14ac:dyDescent="0.25">
      <c r="A11" s="39"/>
      <c r="B11" s="37"/>
      <c r="C11" s="37"/>
      <c r="D11" s="37"/>
      <c r="E11" s="37"/>
      <c r="F11" s="37"/>
      <c r="G11" s="37"/>
      <c r="H11" s="37"/>
      <c r="I11" s="37"/>
      <c r="J11" s="37"/>
      <c r="K11" s="37"/>
      <c r="L11" s="38"/>
    </row>
    <row r="12" spans="1:12" x14ac:dyDescent="0.25">
      <c r="A12" s="39" t="s">
        <v>467</v>
      </c>
      <c r="B12" s="39" t="s">
        <v>466</v>
      </c>
      <c r="C12" s="42">
        <v>5002493.3219999997</v>
      </c>
      <c r="D12" s="42">
        <v>4966069.5396999996</v>
      </c>
      <c r="E12" s="42">
        <v>4791686.6668999996</v>
      </c>
      <c r="F12" s="42">
        <v>5454092.4899000004</v>
      </c>
      <c r="G12" s="42">
        <v>7510960.8468000004</v>
      </c>
      <c r="H12" s="42">
        <v>6852229.7116</v>
      </c>
      <c r="I12" s="42">
        <v>11755030.4057</v>
      </c>
      <c r="J12" s="42">
        <v>13684669.182499999</v>
      </c>
      <c r="K12" s="42">
        <v>11730552.796700001</v>
      </c>
      <c r="L12" s="43">
        <v>12187019.455482399</v>
      </c>
    </row>
    <row r="13" spans="1:12" x14ac:dyDescent="0.25">
      <c r="A13" s="32" t="s">
        <v>465</v>
      </c>
      <c r="B13" s="32" t="s">
        <v>464</v>
      </c>
      <c r="C13" s="33">
        <v>3917.4560000000001</v>
      </c>
      <c r="D13" s="33">
        <v>3940.8560000000002</v>
      </c>
      <c r="E13" s="33">
        <v>3940.8560000000002</v>
      </c>
      <c r="F13" s="33">
        <v>3828.5749999999998</v>
      </c>
      <c r="G13" s="33">
        <v>3752.3850000000002</v>
      </c>
      <c r="H13" s="33">
        <v>3752.3850000000002</v>
      </c>
      <c r="I13" s="33">
        <v>3699.0520000000001</v>
      </c>
      <c r="J13" s="33">
        <v>3659.0509999999999</v>
      </c>
      <c r="K13" s="33">
        <v>3659.0509999999999</v>
      </c>
      <c r="L13" s="34">
        <v>3659.0509999999999</v>
      </c>
    </row>
    <row r="14" spans="1:12" x14ac:dyDescent="0.25">
      <c r="A14" s="32" t="s">
        <v>463</v>
      </c>
      <c r="B14" s="32" t="s">
        <v>462</v>
      </c>
      <c r="C14" s="33">
        <v>929.86599999999999</v>
      </c>
      <c r="D14" s="33">
        <v>940.15899999999999</v>
      </c>
      <c r="E14" s="33">
        <v>917.67600000000004</v>
      </c>
      <c r="F14" s="33">
        <v>916.553</v>
      </c>
      <c r="G14" s="33">
        <v>895.154</v>
      </c>
      <c r="H14" s="33">
        <v>898.15300000000002</v>
      </c>
      <c r="I14" s="33">
        <v>879.005</v>
      </c>
      <c r="J14" s="33">
        <v>852.71799999999996</v>
      </c>
      <c r="K14" s="33">
        <v>851.98299999999995</v>
      </c>
      <c r="L14" s="34">
        <v>837.36130000000003</v>
      </c>
    </row>
    <row r="15" spans="1:12" x14ac:dyDescent="0.25">
      <c r="A15" s="29" t="s">
        <v>69</v>
      </c>
      <c r="B15" s="29"/>
      <c r="C15" s="29" t="s">
        <v>68</v>
      </c>
      <c r="D15" s="29"/>
      <c r="E15" s="29"/>
      <c r="F15" s="29"/>
      <c r="G15" s="29"/>
      <c r="H15" s="29"/>
      <c r="I15" s="29"/>
      <c r="J15" s="29"/>
      <c r="K15" s="29"/>
      <c r="L15" s="29"/>
    </row>
    <row r="18" spans="1:33" x14ac:dyDescent="0.25">
      <c r="A18" s="116" t="s">
        <v>597</v>
      </c>
      <c r="B18" s="116"/>
      <c r="C18" s="116"/>
      <c r="D18" s="116"/>
      <c r="E18" s="116"/>
      <c r="F18" s="116"/>
      <c r="G18" s="116"/>
      <c r="H18" s="116"/>
      <c r="I18" s="116"/>
      <c r="J18" s="116"/>
      <c r="K18" s="116"/>
      <c r="L18" s="116"/>
      <c r="M18" s="116"/>
      <c r="N18" s="116"/>
      <c r="O18" s="116"/>
      <c r="P18" s="116"/>
    </row>
    <row r="20" spans="1:33" ht="15.75" x14ac:dyDescent="0.25">
      <c r="A20" s="123"/>
      <c r="C20" s="123" t="s">
        <v>596</v>
      </c>
      <c r="D20" s="27">
        <v>2021</v>
      </c>
      <c r="E20" s="27">
        <v>2022</v>
      </c>
      <c r="F20" s="27">
        <v>2023</v>
      </c>
      <c r="R20"/>
      <c r="S20"/>
      <c r="T20"/>
      <c r="U20"/>
      <c r="V20"/>
      <c r="W20"/>
      <c r="X20"/>
      <c r="Y20"/>
      <c r="Z20"/>
      <c r="AA20"/>
      <c r="AB20"/>
      <c r="AC20"/>
      <c r="AD20"/>
      <c r="AE20"/>
      <c r="AF20"/>
      <c r="AG20"/>
    </row>
    <row r="21" spans="1:33" x14ac:dyDescent="0.25">
      <c r="C21" s="27" t="s">
        <v>598</v>
      </c>
      <c r="D21" s="117">
        <v>656340</v>
      </c>
      <c r="E21" s="117">
        <v>751260</v>
      </c>
      <c r="F21" s="117">
        <v>861270</v>
      </c>
    </row>
    <row r="22" spans="1:33" x14ac:dyDescent="0.25">
      <c r="C22" s="113" t="s">
        <v>599</v>
      </c>
      <c r="D22" s="117">
        <v>270770</v>
      </c>
      <c r="E22" s="117">
        <v>318740</v>
      </c>
      <c r="F22" s="117">
        <v>376530</v>
      </c>
    </row>
    <row r="23" spans="1:33" x14ac:dyDescent="0.25">
      <c r="C23" s="113" t="s">
        <v>600</v>
      </c>
      <c r="D23" s="117">
        <v>255890</v>
      </c>
      <c r="E23" s="117">
        <v>307150</v>
      </c>
      <c r="F23" s="117">
        <v>375060</v>
      </c>
    </row>
    <row r="24" spans="1:33" x14ac:dyDescent="0.25">
      <c r="C24" s="113" t="s">
        <v>601</v>
      </c>
      <c r="D24" s="117">
        <v>159500</v>
      </c>
      <c r="E24" s="117">
        <v>186100</v>
      </c>
      <c r="F24" s="117">
        <v>212360</v>
      </c>
    </row>
    <row r="25" spans="1:33" x14ac:dyDescent="0.25">
      <c r="C25" s="113" t="s">
        <v>602</v>
      </c>
      <c r="D25" s="117">
        <v>299270</v>
      </c>
      <c r="E25" s="117">
        <v>149670</v>
      </c>
      <c r="F25" s="117">
        <v>183310</v>
      </c>
    </row>
    <row r="26" spans="1:33" ht="18.75" x14ac:dyDescent="0.3">
      <c r="C26" s="121" t="s">
        <v>614</v>
      </c>
    </row>
    <row r="27" spans="1:33" ht="18.75" x14ac:dyDescent="0.3">
      <c r="C27" s="119" t="s">
        <v>603</v>
      </c>
      <c r="D27" s="119">
        <v>2021</v>
      </c>
      <c r="E27" s="119">
        <v>2022</v>
      </c>
      <c r="F27" s="119">
        <v>2023</v>
      </c>
    </row>
    <row r="28" spans="1:33" x14ac:dyDescent="0.25">
      <c r="C28" s="113" t="s">
        <v>604</v>
      </c>
      <c r="D28" s="117">
        <f>D21+D22+D23+D24</f>
        <v>1342500</v>
      </c>
      <c r="E28" s="117">
        <f t="shared" ref="E28:F28" si="0">E21+E22+E23+E24</f>
        <v>1563250</v>
      </c>
      <c r="F28" s="117">
        <f t="shared" si="0"/>
        <v>1825220</v>
      </c>
    </row>
    <row r="29" spans="1:33" x14ac:dyDescent="0.25">
      <c r="C29" s="113" t="s">
        <v>605</v>
      </c>
      <c r="D29" s="117">
        <v>299270</v>
      </c>
      <c r="E29" s="117">
        <v>149670</v>
      </c>
      <c r="F29" s="117">
        <v>183310</v>
      </c>
    </row>
    <row r="30" spans="1:33" x14ac:dyDescent="0.25">
      <c r="C30" s="118" t="s">
        <v>606</v>
      </c>
      <c r="D30" s="117">
        <f>D28+D29</f>
        <v>1641770</v>
      </c>
      <c r="E30" s="117">
        <f t="shared" ref="E30:F30" si="1">E28+E29</f>
        <v>1712920</v>
      </c>
      <c r="F30" s="117">
        <f t="shared" si="1"/>
        <v>2008530</v>
      </c>
    </row>
    <row r="34" spans="1:4" x14ac:dyDescent="0.25">
      <c r="A34" s="1" t="s">
        <v>615</v>
      </c>
      <c r="B34" s="1"/>
      <c r="C34" s="1" t="s">
        <v>607</v>
      </c>
      <c r="D34" s="113"/>
    </row>
    <row r="35" spans="1:4" x14ac:dyDescent="0.25">
      <c r="A35" s="113" t="s">
        <v>610</v>
      </c>
      <c r="C35" s="117">
        <v>112710</v>
      </c>
      <c r="D35" s="28"/>
    </row>
    <row r="36" spans="1:4" x14ac:dyDescent="0.25">
      <c r="A36" s="113" t="s">
        <v>608</v>
      </c>
      <c r="C36" s="117">
        <v>1243360</v>
      </c>
      <c r="D36" s="120"/>
    </row>
    <row r="37" spans="1:4" x14ac:dyDescent="0.25">
      <c r="A37" s="113" t="s">
        <v>609</v>
      </c>
      <c r="C37" s="117">
        <v>674360</v>
      </c>
      <c r="D37" s="120"/>
    </row>
    <row r="38" spans="1:4" x14ac:dyDescent="0.25">
      <c r="A38" s="113" t="s">
        <v>611</v>
      </c>
      <c r="C38" s="117">
        <v>181320</v>
      </c>
      <c r="D38" s="28"/>
    </row>
    <row r="39" spans="1:4" x14ac:dyDescent="0.25">
      <c r="A39" s="113" t="s">
        <v>612</v>
      </c>
      <c r="C39" s="117">
        <v>112710</v>
      </c>
      <c r="D39" s="120"/>
    </row>
    <row r="40" spans="1:4" x14ac:dyDescent="0.25">
      <c r="A40" s="118" t="s">
        <v>613</v>
      </c>
      <c r="B40" s="118"/>
      <c r="C40" s="122">
        <f>C35+C36+C37+C38+C39</f>
        <v>2324460</v>
      </c>
      <c r="D40" s="28"/>
    </row>
    <row r="41" spans="1:4" ht="18.75" x14ac:dyDescent="0.3">
      <c r="A41" s="121" t="s">
        <v>614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0E49D-C1E5-4D74-A10F-AB4479B08B43}">
  <dimension ref="A1:S87"/>
  <sheetViews>
    <sheetView topLeftCell="A63" workbookViewId="0">
      <selection activeCell="K88" sqref="K88"/>
    </sheetView>
  </sheetViews>
  <sheetFormatPr defaultColWidth="8.7109375" defaultRowHeight="15" x14ac:dyDescent="0.25"/>
  <cols>
    <col min="1" max="1" width="35.140625" style="27" customWidth="1"/>
    <col min="2" max="2" width="0" style="27" hidden="1" customWidth="1"/>
    <col min="3" max="12" width="11.85546875" style="27" customWidth="1"/>
    <col min="13" max="13" width="46.85546875" style="27" bestFit="1" customWidth="1"/>
    <col min="14" max="14" width="26.5703125" style="27" bestFit="1" customWidth="1"/>
    <col min="15" max="15" width="16.7109375" style="27" bestFit="1" customWidth="1"/>
    <col min="16" max="16384" width="8.7109375" style="27"/>
  </cols>
  <sheetData>
    <row r="1" spans="1:19" x14ac:dyDescent="0.25">
      <c r="A1" s="54"/>
      <c r="B1" s="54"/>
      <c r="C1" s="54"/>
      <c r="D1" s="54"/>
      <c r="E1" s="54"/>
      <c r="F1" s="54"/>
      <c r="G1" s="54"/>
      <c r="H1" s="54"/>
      <c r="I1" s="54"/>
      <c r="J1" s="54"/>
      <c r="K1" s="54"/>
      <c r="L1" s="54"/>
    </row>
    <row r="2" spans="1:19" ht="20.25" x14ac:dyDescent="0.25">
      <c r="A2" s="53" t="s">
        <v>228</v>
      </c>
      <c r="B2" s="53"/>
      <c r="C2" s="53"/>
      <c r="D2" s="53"/>
      <c r="E2" s="53"/>
      <c r="F2" s="53"/>
      <c r="G2" s="53"/>
      <c r="H2" s="53"/>
      <c r="I2" s="53"/>
      <c r="J2" s="53"/>
      <c r="K2" s="53"/>
      <c r="L2" s="53"/>
    </row>
    <row r="3" spans="1:19" x14ac:dyDescent="0.25">
      <c r="A3" s="52"/>
      <c r="B3" s="52"/>
      <c r="C3" s="52"/>
      <c r="D3" s="52"/>
      <c r="E3" s="52"/>
      <c r="F3" s="52"/>
      <c r="G3" s="52"/>
      <c r="H3" s="52"/>
      <c r="I3" s="52"/>
      <c r="J3" s="52"/>
      <c r="K3" s="52"/>
      <c r="L3" s="52"/>
    </row>
    <row r="4" spans="1:19" x14ac:dyDescent="0.25">
      <c r="A4" s="51" t="s">
        <v>227</v>
      </c>
      <c r="B4" s="51"/>
      <c r="C4" s="50" t="s">
        <v>226</v>
      </c>
      <c r="D4" s="50" t="s">
        <v>225</v>
      </c>
      <c r="E4" s="50" t="s">
        <v>224</v>
      </c>
      <c r="F4" s="50" t="s">
        <v>223</v>
      </c>
      <c r="G4" s="50" t="s">
        <v>222</v>
      </c>
      <c r="H4" s="50" t="s">
        <v>221</v>
      </c>
      <c r="I4" s="50" t="s">
        <v>220</v>
      </c>
      <c r="J4" s="50" t="s">
        <v>219</v>
      </c>
      <c r="K4" s="50" t="s">
        <v>218</v>
      </c>
      <c r="L4" s="50" t="s">
        <v>217</v>
      </c>
    </row>
    <row r="5" spans="1:19" x14ac:dyDescent="0.25">
      <c r="A5" s="49" t="s">
        <v>216</v>
      </c>
      <c r="B5" s="49"/>
      <c r="C5" s="48" t="s">
        <v>215</v>
      </c>
      <c r="D5" s="48" t="s">
        <v>214</v>
      </c>
      <c r="E5" s="48" t="s">
        <v>213</v>
      </c>
      <c r="F5" s="48" t="s">
        <v>212</v>
      </c>
      <c r="G5" s="48" t="s">
        <v>211</v>
      </c>
      <c r="H5" s="48" t="s">
        <v>210</v>
      </c>
      <c r="I5" s="48" t="s">
        <v>209</v>
      </c>
      <c r="J5" s="48" t="s">
        <v>208</v>
      </c>
      <c r="K5" s="48" t="s">
        <v>207</v>
      </c>
      <c r="L5" s="48" t="s">
        <v>206</v>
      </c>
    </row>
    <row r="6" spans="1:19" x14ac:dyDescent="0.25">
      <c r="A6" s="39" t="s">
        <v>205</v>
      </c>
      <c r="B6" s="39" t="s">
        <v>204</v>
      </c>
      <c r="C6" s="42">
        <v>1179660</v>
      </c>
      <c r="D6" s="42">
        <v>1231040</v>
      </c>
      <c r="E6" s="42">
        <v>1464630</v>
      </c>
      <c r="F6" s="42">
        <v>1569490</v>
      </c>
      <c r="G6" s="42">
        <v>1641770</v>
      </c>
      <c r="H6" s="42">
        <v>1917540</v>
      </c>
      <c r="I6" s="42">
        <v>2254580</v>
      </c>
      <c r="J6" s="43">
        <v>2364640</v>
      </c>
      <c r="K6" s="42">
        <v>2427653.83</v>
      </c>
      <c r="L6" s="42">
        <v>2657570.1060000001</v>
      </c>
      <c r="N6" s="27">
        <f>(I6/E6)^0.2-1</f>
        <v>9.0103025300179329E-2</v>
      </c>
      <c r="O6" s="126">
        <f>(I6-H6)^0.2-1</f>
        <v>11.750766396541289</v>
      </c>
      <c r="P6" s="27">
        <f>((I6-H6)/H6)*100</f>
        <v>17.576686796624845</v>
      </c>
    </row>
    <row r="7" spans="1:19" x14ac:dyDescent="0.25">
      <c r="A7" s="32" t="s">
        <v>203</v>
      </c>
      <c r="B7" s="32" t="s">
        <v>202</v>
      </c>
      <c r="C7" s="30">
        <v>1179660</v>
      </c>
      <c r="D7" s="30">
        <v>1231040</v>
      </c>
      <c r="E7" s="30">
        <v>1464630</v>
      </c>
      <c r="F7" s="30">
        <v>1569490</v>
      </c>
      <c r="G7" s="30">
        <v>1641770</v>
      </c>
      <c r="H7" s="30">
        <v>1917540</v>
      </c>
      <c r="I7" s="30">
        <v>2254580</v>
      </c>
      <c r="J7" s="31">
        <v>2364640</v>
      </c>
      <c r="K7" s="30"/>
      <c r="L7" s="30"/>
      <c r="N7" s="27">
        <f>N6*100</f>
        <v>9.0103025300179329</v>
      </c>
    </row>
    <row r="8" spans="1:19" x14ac:dyDescent="0.25">
      <c r="A8" s="32" t="s">
        <v>201</v>
      </c>
      <c r="B8" s="32" t="s">
        <v>200</v>
      </c>
      <c r="C8" s="30">
        <v>668870</v>
      </c>
      <c r="D8" s="30">
        <v>712880</v>
      </c>
      <c r="E8" s="30">
        <v>851580</v>
      </c>
      <c r="F8" s="30" t="s">
        <v>70</v>
      </c>
      <c r="G8" s="30">
        <v>971380</v>
      </c>
      <c r="H8" s="30" t="s">
        <v>70</v>
      </c>
      <c r="I8" s="30">
        <v>1362680</v>
      </c>
      <c r="J8" s="31">
        <v>1419950</v>
      </c>
      <c r="K8" s="30"/>
      <c r="L8" s="30"/>
    </row>
    <row r="9" spans="1:19" x14ac:dyDescent="0.25">
      <c r="A9" s="32" t="s">
        <v>199</v>
      </c>
      <c r="B9" s="32" t="s">
        <v>198</v>
      </c>
      <c r="C9" s="30">
        <v>654300</v>
      </c>
      <c r="D9" s="30">
        <v>697160</v>
      </c>
      <c r="E9" s="30">
        <v>835090</v>
      </c>
      <c r="F9" s="30" t="s">
        <v>70</v>
      </c>
      <c r="G9" s="30">
        <v>940530</v>
      </c>
      <c r="H9" s="30" t="s">
        <v>70</v>
      </c>
      <c r="I9" s="30">
        <v>1324480</v>
      </c>
      <c r="J9" s="31">
        <v>1381400</v>
      </c>
      <c r="K9" s="30"/>
      <c r="L9" s="30"/>
      <c r="N9" s="47">
        <f>I6-H6</f>
        <v>337040</v>
      </c>
      <c r="O9" s="47">
        <f>H6-G6</f>
        <v>275770</v>
      </c>
      <c r="P9" s="47">
        <f>G6-F6</f>
        <v>72280</v>
      </c>
      <c r="Q9" s="47">
        <f>F6-E6</f>
        <v>104860</v>
      </c>
      <c r="R9" s="47">
        <f>E6-D6</f>
        <v>233590</v>
      </c>
    </row>
    <row r="10" spans="1:19" x14ac:dyDescent="0.25">
      <c r="A10" s="32" t="s">
        <v>186</v>
      </c>
      <c r="B10" s="32" t="s">
        <v>197</v>
      </c>
      <c r="C10" s="30">
        <v>14570</v>
      </c>
      <c r="D10" s="30">
        <v>15720</v>
      </c>
      <c r="E10" s="30">
        <v>16490</v>
      </c>
      <c r="F10" s="30" t="s">
        <v>70</v>
      </c>
      <c r="G10" s="30">
        <v>30850</v>
      </c>
      <c r="H10" s="30" t="s">
        <v>70</v>
      </c>
      <c r="I10" s="30">
        <v>38200</v>
      </c>
      <c r="J10" s="31">
        <v>38550</v>
      </c>
      <c r="K10" s="30"/>
      <c r="L10" s="30"/>
      <c r="N10" s="27">
        <f>N9/H6</f>
        <v>0.17576686796624844</v>
      </c>
      <c r="O10" s="27">
        <f>O9/G6</f>
        <v>0.16797115308478044</v>
      </c>
      <c r="P10" s="27">
        <f>P9/F6</f>
        <v>4.60531765095668E-2</v>
      </c>
      <c r="Q10" s="27">
        <f>Q9/E6</f>
        <v>7.1594873790650201E-2</v>
      </c>
      <c r="R10" s="27">
        <f>R9/D6</f>
        <v>0.18975012997140628</v>
      </c>
    </row>
    <row r="11" spans="1:19" x14ac:dyDescent="0.25">
      <c r="A11" s="39" t="s">
        <v>196</v>
      </c>
      <c r="B11" s="39" t="s">
        <v>195</v>
      </c>
      <c r="C11" s="42">
        <v>510790</v>
      </c>
      <c r="D11" s="42">
        <v>518160</v>
      </c>
      <c r="E11" s="42">
        <v>613050</v>
      </c>
      <c r="F11" s="42" t="s">
        <v>70</v>
      </c>
      <c r="G11" s="42">
        <v>670390</v>
      </c>
      <c r="H11" s="42" t="s">
        <v>70</v>
      </c>
      <c r="I11" s="42">
        <v>891900</v>
      </c>
      <c r="J11" s="43">
        <v>944690</v>
      </c>
      <c r="K11" s="42">
        <v>992521.99185720005</v>
      </c>
      <c r="L11" s="42">
        <v>1073738.0499271799</v>
      </c>
      <c r="N11" s="27">
        <f>N10*100</f>
        <v>17.576686796624845</v>
      </c>
      <c r="O11" s="27">
        <f>O10*100</f>
        <v>16.797115308478045</v>
      </c>
      <c r="P11" s="27">
        <f>P10*100</f>
        <v>4.60531765095668</v>
      </c>
      <c r="Q11" s="27">
        <f>Q10*100</f>
        <v>7.1594873790650198</v>
      </c>
      <c r="R11" s="27">
        <f>R10*100</f>
        <v>18.975012997140627</v>
      </c>
      <c r="S11" s="27">
        <f>AVERAGE(N11:R11)</f>
        <v>13.022724026453043</v>
      </c>
    </row>
    <row r="12" spans="1:19" x14ac:dyDescent="0.25">
      <c r="A12" s="32" t="s">
        <v>194</v>
      </c>
      <c r="B12" s="32" t="s">
        <v>193</v>
      </c>
      <c r="C12" s="30">
        <v>0</v>
      </c>
      <c r="D12" s="30">
        <v>0</v>
      </c>
      <c r="E12" s="30">
        <v>0</v>
      </c>
      <c r="F12" s="30">
        <v>0</v>
      </c>
      <c r="G12" s="30">
        <v>0</v>
      </c>
      <c r="H12" s="30">
        <v>0</v>
      </c>
      <c r="I12" s="30">
        <v>0</v>
      </c>
      <c r="J12" s="31">
        <v>0</v>
      </c>
      <c r="K12" s="30"/>
      <c r="L12" s="30"/>
    </row>
    <row r="13" spans="1:19" x14ac:dyDescent="0.25">
      <c r="A13" s="32" t="s">
        <v>192</v>
      </c>
      <c r="B13" s="32" t="s">
        <v>191</v>
      </c>
      <c r="C13" s="30">
        <v>207580</v>
      </c>
      <c r="D13" s="30">
        <v>213390</v>
      </c>
      <c r="E13" s="30">
        <v>239390</v>
      </c>
      <c r="F13" s="30">
        <v>1183830</v>
      </c>
      <c r="G13" s="30">
        <v>246580</v>
      </c>
      <c r="H13" s="30">
        <v>1433080</v>
      </c>
      <c r="I13" s="30">
        <v>349810</v>
      </c>
      <c r="J13" s="31">
        <v>374830</v>
      </c>
      <c r="K13" s="30"/>
      <c r="L13" s="30"/>
      <c r="N13" s="47">
        <f>D6-C6</f>
        <v>51380</v>
      </c>
    </row>
    <row r="14" spans="1:19" x14ac:dyDescent="0.25">
      <c r="A14" s="32" t="s">
        <v>190</v>
      </c>
      <c r="B14" s="32" t="s">
        <v>189</v>
      </c>
      <c r="C14" s="30">
        <v>202250</v>
      </c>
      <c r="D14" s="30">
        <v>208730</v>
      </c>
      <c r="E14" s="30">
        <v>234490</v>
      </c>
      <c r="F14" s="30" t="s">
        <v>70</v>
      </c>
      <c r="G14" s="30">
        <v>235780</v>
      </c>
      <c r="H14" s="30" t="s">
        <v>70</v>
      </c>
      <c r="I14" s="30">
        <v>337500</v>
      </c>
      <c r="J14" s="31">
        <v>362540</v>
      </c>
      <c r="K14" s="30"/>
      <c r="L14" s="30"/>
      <c r="N14" s="27">
        <f>N13/C6</f>
        <v>4.3554922604818337E-2</v>
      </c>
    </row>
    <row r="15" spans="1:19" x14ac:dyDescent="0.25">
      <c r="A15" s="32" t="s">
        <v>188</v>
      </c>
      <c r="B15" s="32" t="s">
        <v>187</v>
      </c>
      <c r="C15" s="30" t="s">
        <v>70</v>
      </c>
      <c r="D15" s="30" t="s">
        <v>70</v>
      </c>
      <c r="E15" s="30" t="s">
        <v>70</v>
      </c>
      <c r="F15" s="30">
        <v>3060</v>
      </c>
      <c r="G15" s="30" t="s">
        <v>70</v>
      </c>
      <c r="H15" s="30" t="s">
        <v>70</v>
      </c>
      <c r="I15" s="30">
        <v>0</v>
      </c>
      <c r="J15" s="31"/>
      <c r="K15" s="30"/>
      <c r="L15" s="30"/>
      <c r="N15" s="27">
        <f>N14*100</f>
        <v>4.3554922604818334</v>
      </c>
    </row>
    <row r="16" spans="1:19" x14ac:dyDescent="0.25">
      <c r="A16" s="32" t="s">
        <v>186</v>
      </c>
      <c r="B16" s="32" t="s">
        <v>185</v>
      </c>
      <c r="C16" s="30">
        <v>5300</v>
      </c>
      <c r="D16" s="30">
        <v>4410</v>
      </c>
      <c r="E16" s="30">
        <v>4060</v>
      </c>
      <c r="F16" s="30">
        <v>35290</v>
      </c>
      <c r="G16" s="30">
        <v>9800</v>
      </c>
      <c r="H16" s="30">
        <v>46040</v>
      </c>
      <c r="I16" s="30">
        <v>12030</v>
      </c>
      <c r="J16" s="31">
        <v>12050</v>
      </c>
      <c r="K16" s="30"/>
      <c r="L16" s="30"/>
    </row>
    <row r="17" spans="1:12" x14ac:dyDescent="0.25">
      <c r="A17" s="32" t="s">
        <v>184</v>
      </c>
      <c r="B17" s="32" t="s">
        <v>183</v>
      </c>
      <c r="C17" s="30" t="s">
        <v>70</v>
      </c>
      <c r="D17" s="30" t="s">
        <v>70</v>
      </c>
      <c r="E17" s="30" t="s">
        <v>70</v>
      </c>
      <c r="F17" s="30" t="s">
        <v>70</v>
      </c>
      <c r="G17" s="30" t="s">
        <v>70</v>
      </c>
      <c r="H17" s="30" t="s">
        <v>70</v>
      </c>
      <c r="I17" s="30" t="s">
        <v>70</v>
      </c>
      <c r="J17" s="31"/>
      <c r="K17" s="30"/>
      <c r="L17" s="30"/>
    </row>
    <row r="18" spans="1:12" x14ac:dyDescent="0.25">
      <c r="A18" s="32" t="s">
        <v>182</v>
      </c>
      <c r="B18" s="32" t="s">
        <v>181</v>
      </c>
      <c r="C18" s="30">
        <v>30</v>
      </c>
      <c r="D18" s="30">
        <v>250</v>
      </c>
      <c r="E18" s="30">
        <v>840</v>
      </c>
      <c r="F18" s="30">
        <v>1145480</v>
      </c>
      <c r="G18" s="30">
        <v>1000</v>
      </c>
      <c r="H18" s="30">
        <v>1387040</v>
      </c>
      <c r="I18" s="30">
        <v>280</v>
      </c>
      <c r="J18" s="31">
        <v>240</v>
      </c>
      <c r="K18" s="30"/>
      <c r="L18" s="30"/>
    </row>
    <row r="19" spans="1:12" x14ac:dyDescent="0.25">
      <c r="A19" s="39" t="s">
        <v>180</v>
      </c>
      <c r="B19" s="39" t="s">
        <v>179</v>
      </c>
      <c r="C19" s="42">
        <v>303210</v>
      </c>
      <c r="D19" s="42">
        <v>304770</v>
      </c>
      <c r="E19" s="42">
        <v>373660</v>
      </c>
      <c r="F19" s="42">
        <v>385660</v>
      </c>
      <c r="G19" s="42">
        <v>423810</v>
      </c>
      <c r="H19" s="42">
        <v>484460</v>
      </c>
      <c r="I19" s="42">
        <v>542090</v>
      </c>
      <c r="J19" s="43">
        <v>569860</v>
      </c>
      <c r="K19" s="42">
        <v>589157.11600000004</v>
      </c>
      <c r="L19" s="42">
        <v>658086.13600000006</v>
      </c>
    </row>
    <row r="20" spans="1:12" x14ac:dyDescent="0.25">
      <c r="A20" s="32" t="s">
        <v>178</v>
      </c>
      <c r="B20" s="32" t="s">
        <v>177</v>
      </c>
      <c r="C20" s="30">
        <v>-35470</v>
      </c>
      <c r="D20" s="30">
        <v>-35900</v>
      </c>
      <c r="E20" s="30">
        <v>-41130</v>
      </c>
      <c r="F20" s="30">
        <v>-34080</v>
      </c>
      <c r="G20" s="30">
        <v>-24810</v>
      </c>
      <c r="H20" s="30">
        <v>-30060</v>
      </c>
      <c r="I20" s="30">
        <v>-26700</v>
      </c>
      <c r="J20" s="31">
        <v>-32830</v>
      </c>
      <c r="K20" s="30"/>
      <c r="L20" s="30"/>
    </row>
    <row r="21" spans="1:12" x14ac:dyDescent="0.25">
      <c r="A21" s="32" t="s">
        <v>176</v>
      </c>
      <c r="B21" s="32" t="s">
        <v>175</v>
      </c>
      <c r="C21" s="30" t="s">
        <v>70</v>
      </c>
      <c r="D21" s="30" t="s">
        <v>70</v>
      </c>
      <c r="E21" s="30" t="s">
        <v>70</v>
      </c>
      <c r="F21" s="30">
        <v>-31300</v>
      </c>
      <c r="G21" s="30" t="s">
        <v>70</v>
      </c>
      <c r="H21" s="30">
        <v>-23980</v>
      </c>
      <c r="I21" s="30" t="s">
        <v>70</v>
      </c>
      <c r="J21" s="31"/>
      <c r="K21" s="30"/>
      <c r="L21" s="30"/>
    </row>
    <row r="22" spans="1:12" x14ac:dyDescent="0.25">
      <c r="A22" s="46" t="s">
        <v>174</v>
      </c>
      <c r="B22" s="46" t="s">
        <v>173</v>
      </c>
      <c r="C22" s="44" t="s">
        <v>70</v>
      </c>
      <c r="D22" s="44" t="s">
        <v>70</v>
      </c>
      <c r="E22" s="44" t="s">
        <v>70</v>
      </c>
      <c r="F22" s="44">
        <v>4320</v>
      </c>
      <c r="G22" s="44" t="s">
        <v>70</v>
      </c>
      <c r="H22" s="44">
        <v>2650</v>
      </c>
      <c r="I22" s="44" t="s">
        <v>70</v>
      </c>
      <c r="J22" s="45"/>
      <c r="K22" s="44"/>
      <c r="L22" s="44"/>
    </row>
    <row r="23" spans="1:12" x14ac:dyDescent="0.25">
      <c r="A23" s="46" t="s">
        <v>172</v>
      </c>
      <c r="B23" s="46" t="s">
        <v>171</v>
      </c>
      <c r="C23" s="44">
        <v>22820</v>
      </c>
      <c r="D23" s="44">
        <v>24710</v>
      </c>
      <c r="E23" s="44">
        <v>27870</v>
      </c>
      <c r="F23" s="44">
        <v>35620</v>
      </c>
      <c r="G23" s="44">
        <v>25120</v>
      </c>
      <c r="H23" s="44">
        <v>26630</v>
      </c>
      <c r="I23" s="44">
        <v>32630</v>
      </c>
      <c r="J23" s="45"/>
      <c r="K23" s="44"/>
      <c r="L23" s="44"/>
    </row>
    <row r="24" spans="1:12" x14ac:dyDescent="0.25">
      <c r="A24" s="32" t="s">
        <v>170</v>
      </c>
      <c r="B24" s="32" t="s">
        <v>169</v>
      </c>
      <c r="C24" s="30" t="s">
        <v>70</v>
      </c>
      <c r="D24" s="30" t="s">
        <v>70</v>
      </c>
      <c r="E24" s="30" t="s">
        <v>70</v>
      </c>
      <c r="F24" s="30">
        <v>-100</v>
      </c>
      <c r="G24" s="30">
        <v>-25120</v>
      </c>
      <c r="H24" s="30">
        <v>-40</v>
      </c>
      <c r="I24" s="30">
        <v>-32630</v>
      </c>
      <c r="J24" s="31"/>
      <c r="K24" s="30"/>
      <c r="L24" s="30"/>
    </row>
    <row r="25" spans="1:12" x14ac:dyDescent="0.25">
      <c r="A25" s="32" t="s">
        <v>168</v>
      </c>
      <c r="B25" s="32" t="s">
        <v>167</v>
      </c>
      <c r="C25" s="30">
        <v>0</v>
      </c>
      <c r="D25" s="30">
        <v>0</v>
      </c>
      <c r="E25" s="30">
        <v>0</v>
      </c>
      <c r="F25" s="30">
        <v>-7270</v>
      </c>
      <c r="G25" s="30">
        <v>0</v>
      </c>
      <c r="H25" s="30">
        <v>-10450</v>
      </c>
      <c r="I25" s="30">
        <v>0</v>
      </c>
      <c r="J25" s="31"/>
      <c r="K25" s="30"/>
      <c r="L25" s="30"/>
    </row>
    <row r="26" spans="1:12" x14ac:dyDescent="0.25">
      <c r="A26" s="32" t="s">
        <v>166</v>
      </c>
      <c r="B26" s="32" t="s">
        <v>165</v>
      </c>
      <c r="C26" s="30">
        <v>0</v>
      </c>
      <c r="D26" s="30">
        <v>0</v>
      </c>
      <c r="E26" s="30">
        <v>0</v>
      </c>
      <c r="F26" s="30">
        <v>0</v>
      </c>
      <c r="G26" s="30">
        <v>0</v>
      </c>
      <c r="H26" s="30">
        <v>0</v>
      </c>
      <c r="I26" s="30">
        <v>0</v>
      </c>
      <c r="J26" s="31"/>
      <c r="K26" s="30"/>
      <c r="L26" s="30"/>
    </row>
    <row r="27" spans="1:12" x14ac:dyDescent="0.25">
      <c r="A27" s="32" t="s">
        <v>164</v>
      </c>
      <c r="B27" s="32" t="s">
        <v>163</v>
      </c>
      <c r="C27" s="30">
        <v>-12650</v>
      </c>
      <c r="D27" s="30">
        <v>-11190</v>
      </c>
      <c r="E27" s="30">
        <v>-13260</v>
      </c>
      <c r="F27" s="30">
        <v>4590</v>
      </c>
      <c r="G27" s="30">
        <v>25430</v>
      </c>
      <c r="H27" s="30">
        <v>4410</v>
      </c>
      <c r="I27" s="30">
        <v>38560</v>
      </c>
      <c r="J27" s="31">
        <v>-3010</v>
      </c>
      <c r="K27" s="30"/>
      <c r="L27" s="30"/>
    </row>
    <row r="28" spans="1:12" x14ac:dyDescent="0.25">
      <c r="A28" s="39" t="s">
        <v>162</v>
      </c>
      <c r="B28" s="39" t="s">
        <v>148</v>
      </c>
      <c r="C28" s="42">
        <v>338680</v>
      </c>
      <c r="D28" s="42">
        <v>340670</v>
      </c>
      <c r="E28" s="42">
        <v>414790</v>
      </c>
      <c r="F28" s="42">
        <v>419740</v>
      </c>
      <c r="G28" s="42">
        <v>448620</v>
      </c>
      <c r="H28" s="42">
        <v>514520</v>
      </c>
      <c r="I28" s="42">
        <v>568790</v>
      </c>
      <c r="J28" s="43">
        <v>602690</v>
      </c>
      <c r="K28" s="42">
        <v>627675.67700000003</v>
      </c>
      <c r="L28" s="42">
        <v>698039.06299999997</v>
      </c>
    </row>
    <row r="29" spans="1:12" x14ac:dyDescent="0.25">
      <c r="A29" s="32" t="s">
        <v>161</v>
      </c>
      <c r="B29" s="32" t="s">
        <v>160</v>
      </c>
      <c r="C29" s="30">
        <v>-6450</v>
      </c>
      <c r="D29" s="30">
        <v>-250</v>
      </c>
      <c r="E29" s="30">
        <v>-840</v>
      </c>
      <c r="F29" s="30">
        <v>-2740</v>
      </c>
      <c r="G29" s="30">
        <v>11020</v>
      </c>
      <c r="H29" s="30">
        <v>-2350</v>
      </c>
      <c r="I29" s="30">
        <v>-280</v>
      </c>
      <c r="J29" s="31">
        <v>-850</v>
      </c>
      <c r="K29" s="30"/>
      <c r="L29" s="30"/>
    </row>
    <row r="30" spans="1:12" x14ac:dyDescent="0.25">
      <c r="A30" s="32" t="s">
        <v>159</v>
      </c>
      <c r="B30" s="32" t="s">
        <v>158</v>
      </c>
      <c r="C30" s="30">
        <v>-30</v>
      </c>
      <c r="D30" s="30">
        <v>-250</v>
      </c>
      <c r="E30" s="30">
        <v>-840</v>
      </c>
      <c r="F30" s="30">
        <v>-460</v>
      </c>
      <c r="G30" s="30">
        <v>-130</v>
      </c>
      <c r="H30" s="30">
        <v>-230</v>
      </c>
      <c r="I30" s="30">
        <v>-260</v>
      </c>
      <c r="J30" s="31"/>
      <c r="K30" s="30"/>
      <c r="L30" s="30"/>
    </row>
    <row r="31" spans="1:12" x14ac:dyDescent="0.25">
      <c r="A31" s="32" t="s">
        <v>157</v>
      </c>
      <c r="B31" s="32" t="s">
        <v>156</v>
      </c>
      <c r="C31" s="30" t="s">
        <v>70</v>
      </c>
      <c r="D31" s="30" t="s">
        <v>70</v>
      </c>
      <c r="E31" s="30" t="s">
        <v>70</v>
      </c>
      <c r="F31" s="30" t="s">
        <v>70</v>
      </c>
      <c r="G31" s="30">
        <v>12180</v>
      </c>
      <c r="H31" s="30" t="s">
        <v>70</v>
      </c>
      <c r="I31" s="30" t="s">
        <v>70</v>
      </c>
      <c r="J31" s="31"/>
      <c r="K31" s="30"/>
      <c r="L31" s="30"/>
    </row>
    <row r="32" spans="1:12" x14ac:dyDescent="0.25">
      <c r="A32" s="32" t="s">
        <v>155</v>
      </c>
      <c r="B32" s="32" t="s">
        <v>154</v>
      </c>
      <c r="C32" s="30">
        <v>-6420</v>
      </c>
      <c r="D32" s="30" t="s">
        <v>70</v>
      </c>
      <c r="E32" s="30" t="s">
        <v>70</v>
      </c>
      <c r="F32" s="30">
        <v>-2140</v>
      </c>
      <c r="G32" s="30">
        <v>-30</v>
      </c>
      <c r="H32" s="30">
        <v>-1980</v>
      </c>
      <c r="I32" s="30" t="s">
        <v>70</v>
      </c>
      <c r="J32" s="31">
        <v>-650</v>
      </c>
      <c r="K32" s="30"/>
      <c r="L32" s="30"/>
    </row>
    <row r="33" spans="1:12" x14ac:dyDescent="0.25">
      <c r="A33" s="32" t="s">
        <v>153</v>
      </c>
      <c r="B33" s="32" t="s">
        <v>152</v>
      </c>
      <c r="C33" s="30" t="s">
        <v>70</v>
      </c>
      <c r="D33" s="30" t="s">
        <v>70</v>
      </c>
      <c r="E33" s="30" t="s">
        <v>70</v>
      </c>
      <c r="F33" s="30" t="s">
        <v>70</v>
      </c>
      <c r="G33" s="30" t="s">
        <v>70</v>
      </c>
      <c r="H33" s="30" t="s">
        <v>70</v>
      </c>
      <c r="I33" s="30" t="s">
        <v>70</v>
      </c>
      <c r="J33" s="31"/>
      <c r="K33" s="30"/>
      <c r="L33" s="30"/>
    </row>
    <row r="34" spans="1:12" x14ac:dyDescent="0.25">
      <c r="A34" s="32" t="s">
        <v>151</v>
      </c>
      <c r="B34" s="32" t="s">
        <v>150</v>
      </c>
      <c r="C34" s="30" t="s">
        <v>70</v>
      </c>
      <c r="D34" s="30" t="s">
        <v>70</v>
      </c>
      <c r="E34" s="30" t="s">
        <v>70</v>
      </c>
      <c r="F34" s="30">
        <v>-140</v>
      </c>
      <c r="G34" s="30">
        <v>-1000</v>
      </c>
      <c r="H34" s="30">
        <v>-140</v>
      </c>
      <c r="I34" s="30">
        <v>-20</v>
      </c>
      <c r="J34" s="31"/>
      <c r="K34" s="30"/>
      <c r="L34" s="30"/>
    </row>
    <row r="35" spans="1:12" x14ac:dyDescent="0.25">
      <c r="A35" s="39" t="s">
        <v>149</v>
      </c>
      <c r="B35" s="39" t="s">
        <v>148</v>
      </c>
      <c r="C35" s="42">
        <v>345130</v>
      </c>
      <c r="D35" s="42">
        <v>340920</v>
      </c>
      <c r="E35" s="42">
        <v>415630</v>
      </c>
      <c r="F35" s="42">
        <v>422480</v>
      </c>
      <c r="G35" s="42">
        <v>437600</v>
      </c>
      <c r="H35" s="42">
        <v>516870</v>
      </c>
      <c r="I35" s="42">
        <v>569070</v>
      </c>
      <c r="J35" s="43">
        <v>603540</v>
      </c>
      <c r="K35" s="42">
        <v>627675.67700000003</v>
      </c>
      <c r="L35" s="42">
        <v>698039.06299999997</v>
      </c>
    </row>
    <row r="36" spans="1:12" x14ac:dyDescent="0.25">
      <c r="A36" s="32" t="s">
        <v>147</v>
      </c>
      <c r="B36" s="32" t="s">
        <v>146</v>
      </c>
      <c r="C36" s="30">
        <v>81560</v>
      </c>
      <c r="D36" s="30">
        <v>82120</v>
      </c>
      <c r="E36" s="30">
        <v>100010</v>
      </c>
      <c r="F36" s="30">
        <v>98010</v>
      </c>
      <c r="G36" s="30">
        <v>111980</v>
      </c>
      <c r="H36" s="30">
        <v>132380</v>
      </c>
      <c r="I36" s="30">
        <v>146040</v>
      </c>
      <c r="J36" s="31">
        <v>155350</v>
      </c>
      <c r="K36" s="30"/>
      <c r="L36" s="30"/>
    </row>
    <row r="37" spans="1:12" x14ac:dyDescent="0.25">
      <c r="A37" s="32" t="s">
        <v>145</v>
      </c>
      <c r="B37" s="32" t="s">
        <v>144</v>
      </c>
      <c r="C37" s="30" t="s">
        <v>70</v>
      </c>
      <c r="D37" s="30" t="s">
        <v>70</v>
      </c>
      <c r="E37" s="30" t="s">
        <v>70</v>
      </c>
      <c r="F37" s="30">
        <v>103780</v>
      </c>
      <c r="G37" s="30" t="s">
        <v>70</v>
      </c>
      <c r="H37" s="30">
        <v>136540</v>
      </c>
      <c r="I37" s="30" t="s">
        <v>70</v>
      </c>
      <c r="J37" s="31">
        <v>116430</v>
      </c>
      <c r="K37" s="30"/>
      <c r="L37" s="30"/>
    </row>
    <row r="38" spans="1:12" x14ac:dyDescent="0.25">
      <c r="A38" s="32" t="s">
        <v>143</v>
      </c>
      <c r="B38" s="32" t="s">
        <v>142</v>
      </c>
      <c r="C38" s="30" t="s">
        <v>70</v>
      </c>
      <c r="D38" s="30" t="s">
        <v>70</v>
      </c>
      <c r="E38" s="30" t="s">
        <v>70</v>
      </c>
      <c r="F38" s="30">
        <v>-5770</v>
      </c>
      <c r="G38" s="30" t="s">
        <v>70</v>
      </c>
      <c r="H38" s="30">
        <v>-4160</v>
      </c>
      <c r="I38" s="30" t="s">
        <v>70</v>
      </c>
      <c r="J38" s="31">
        <v>-630</v>
      </c>
      <c r="K38" s="30"/>
      <c r="L38" s="30"/>
    </row>
    <row r="39" spans="1:12" x14ac:dyDescent="0.25">
      <c r="A39" s="32" t="s">
        <v>141</v>
      </c>
      <c r="B39" s="32" t="s">
        <v>140</v>
      </c>
      <c r="C39" s="30" t="s">
        <v>70</v>
      </c>
      <c r="D39" s="30" t="s">
        <v>70</v>
      </c>
      <c r="E39" s="30" t="s">
        <v>70</v>
      </c>
      <c r="F39" s="30" t="s">
        <v>70</v>
      </c>
      <c r="G39" s="30" t="s">
        <v>70</v>
      </c>
      <c r="H39" s="30" t="s">
        <v>70</v>
      </c>
      <c r="I39" s="30" t="s">
        <v>70</v>
      </c>
      <c r="J39" s="31"/>
      <c r="K39" s="30"/>
      <c r="L39" s="30"/>
    </row>
    <row r="40" spans="1:12" x14ac:dyDescent="0.25">
      <c r="A40" s="39" t="s">
        <v>139</v>
      </c>
      <c r="B40" s="39" t="s">
        <v>138</v>
      </c>
      <c r="C40" s="42">
        <v>263570</v>
      </c>
      <c r="D40" s="42">
        <v>258800</v>
      </c>
      <c r="E40" s="42">
        <v>315620</v>
      </c>
      <c r="F40" s="42">
        <v>324470</v>
      </c>
      <c r="G40" s="42">
        <v>325620</v>
      </c>
      <c r="H40" s="42">
        <v>384490</v>
      </c>
      <c r="I40" s="42">
        <v>423030</v>
      </c>
      <c r="J40" s="43">
        <v>448190</v>
      </c>
      <c r="K40" s="42">
        <v>464031.41899999999</v>
      </c>
      <c r="L40" s="42">
        <v>515795.35700000002</v>
      </c>
    </row>
    <row r="41" spans="1:12" x14ac:dyDescent="0.25">
      <c r="A41" s="32" t="s">
        <v>137</v>
      </c>
      <c r="B41" s="32" t="s">
        <v>116</v>
      </c>
      <c r="C41" s="30">
        <v>0</v>
      </c>
      <c r="D41" s="30">
        <v>0</v>
      </c>
      <c r="E41" s="30">
        <v>0</v>
      </c>
      <c r="F41" s="30">
        <v>0</v>
      </c>
      <c r="G41" s="30">
        <v>0</v>
      </c>
      <c r="H41" s="30">
        <v>0</v>
      </c>
      <c r="I41" s="30">
        <v>0</v>
      </c>
      <c r="J41" s="31">
        <v>0</v>
      </c>
      <c r="K41" s="30"/>
      <c r="L41" s="30"/>
    </row>
    <row r="42" spans="1:12" x14ac:dyDescent="0.25">
      <c r="A42" s="32" t="s">
        <v>136</v>
      </c>
      <c r="B42" s="32" t="s">
        <v>135</v>
      </c>
      <c r="C42" s="30">
        <v>0</v>
      </c>
      <c r="D42" s="30">
        <v>0</v>
      </c>
      <c r="E42" s="30">
        <v>0</v>
      </c>
      <c r="F42" s="30">
        <v>0</v>
      </c>
      <c r="G42" s="30">
        <v>0</v>
      </c>
      <c r="H42" s="30">
        <v>0</v>
      </c>
      <c r="I42" s="30">
        <v>0</v>
      </c>
      <c r="J42" s="31">
        <v>0</v>
      </c>
      <c r="K42" s="30"/>
      <c r="L42" s="30"/>
    </row>
    <row r="43" spans="1:12" x14ac:dyDescent="0.25">
      <c r="A43" s="32" t="s">
        <v>134</v>
      </c>
      <c r="B43" s="32" t="s">
        <v>133</v>
      </c>
      <c r="C43" s="30">
        <v>0</v>
      </c>
      <c r="D43" s="30">
        <v>0</v>
      </c>
      <c r="E43" s="30">
        <v>0</v>
      </c>
      <c r="F43" s="30">
        <v>0</v>
      </c>
      <c r="G43" s="30">
        <v>0</v>
      </c>
      <c r="H43" s="30">
        <v>0</v>
      </c>
      <c r="I43" s="30">
        <v>0</v>
      </c>
      <c r="J43" s="31">
        <v>0</v>
      </c>
      <c r="K43" s="30"/>
      <c r="L43" s="30"/>
    </row>
    <row r="44" spans="1:12" x14ac:dyDescent="0.25">
      <c r="A44" s="39" t="s">
        <v>132</v>
      </c>
      <c r="B44" s="39" t="s">
        <v>131</v>
      </c>
      <c r="C44" s="42">
        <v>263570</v>
      </c>
      <c r="D44" s="42">
        <v>258800</v>
      </c>
      <c r="E44" s="42">
        <v>315620</v>
      </c>
      <c r="F44" s="42">
        <v>324470</v>
      </c>
      <c r="G44" s="42">
        <v>325620</v>
      </c>
      <c r="H44" s="42">
        <v>384490</v>
      </c>
      <c r="I44" s="42">
        <v>423030</v>
      </c>
      <c r="J44" s="43">
        <v>448190</v>
      </c>
      <c r="K44" s="42"/>
      <c r="L44" s="42"/>
    </row>
    <row r="45" spans="1:12" x14ac:dyDescent="0.25">
      <c r="A45" s="32" t="s">
        <v>130</v>
      </c>
      <c r="B45" s="32" t="s">
        <v>129</v>
      </c>
      <c r="C45" s="30">
        <v>680</v>
      </c>
      <c r="D45" s="30">
        <v>540</v>
      </c>
      <c r="E45" s="30">
        <v>900</v>
      </c>
      <c r="F45" s="30">
        <v>1070</v>
      </c>
      <c r="G45" s="30">
        <v>1320</v>
      </c>
      <c r="H45" s="30">
        <v>1220</v>
      </c>
      <c r="I45" s="30">
        <v>1560</v>
      </c>
      <c r="J45" s="31">
        <v>1650</v>
      </c>
      <c r="K45" s="30"/>
      <c r="L45" s="30"/>
    </row>
    <row r="46" spans="1:12" x14ac:dyDescent="0.25">
      <c r="A46" s="39" t="s">
        <v>128</v>
      </c>
      <c r="B46" s="39" t="s">
        <v>127</v>
      </c>
      <c r="C46" s="42">
        <v>262890</v>
      </c>
      <c r="D46" s="42">
        <v>258260</v>
      </c>
      <c r="E46" s="42">
        <v>314720</v>
      </c>
      <c r="F46" s="42">
        <v>323400</v>
      </c>
      <c r="G46" s="42">
        <v>324300</v>
      </c>
      <c r="H46" s="42">
        <v>383270</v>
      </c>
      <c r="I46" s="42">
        <v>421470</v>
      </c>
      <c r="J46" s="43">
        <v>446540</v>
      </c>
      <c r="K46" s="42">
        <v>464031.41899999999</v>
      </c>
      <c r="L46" s="42">
        <v>515795.35700000002</v>
      </c>
    </row>
    <row r="47" spans="1:12" x14ac:dyDescent="0.25">
      <c r="A47" s="32" t="s">
        <v>126</v>
      </c>
      <c r="B47" s="32" t="s">
        <v>125</v>
      </c>
      <c r="C47" s="30">
        <v>0</v>
      </c>
      <c r="D47" s="30">
        <v>0</v>
      </c>
      <c r="E47" s="30">
        <v>0</v>
      </c>
      <c r="F47" s="30">
        <v>0</v>
      </c>
      <c r="G47" s="30">
        <v>0</v>
      </c>
      <c r="H47" s="30">
        <v>0</v>
      </c>
      <c r="I47" s="30">
        <v>0</v>
      </c>
      <c r="J47" s="31">
        <v>0</v>
      </c>
      <c r="K47" s="30"/>
      <c r="L47" s="30"/>
    </row>
    <row r="48" spans="1:12" x14ac:dyDescent="0.25">
      <c r="A48" s="32" t="s">
        <v>124</v>
      </c>
      <c r="B48" s="32" t="s">
        <v>123</v>
      </c>
      <c r="C48" s="30">
        <v>0</v>
      </c>
      <c r="D48" s="30">
        <v>0</v>
      </c>
      <c r="E48" s="30">
        <v>0</v>
      </c>
      <c r="F48" s="30">
        <v>0</v>
      </c>
      <c r="G48" s="30">
        <v>0</v>
      </c>
      <c r="H48" s="30">
        <v>0</v>
      </c>
      <c r="I48" s="30">
        <v>0</v>
      </c>
      <c r="J48" s="31">
        <v>0</v>
      </c>
      <c r="K48" s="30"/>
      <c r="L48" s="30"/>
    </row>
    <row r="49" spans="1:12" x14ac:dyDescent="0.25">
      <c r="A49" s="39" t="s">
        <v>122</v>
      </c>
      <c r="B49" s="39" t="s">
        <v>120</v>
      </c>
      <c r="C49" s="42">
        <v>262890</v>
      </c>
      <c r="D49" s="42">
        <v>258260</v>
      </c>
      <c r="E49" s="42">
        <v>314720</v>
      </c>
      <c r="F49" s="42">
        <v>323400</v>
      </c>
      <c r="G49" s="42">
        <v>324300</v>
      </c>
      <c r="H49" s="42">
        <v>383270</v>
      </c>
      <c r="I49" s="42">
        <v>421470</v>
      </c>
      <c r="J49" s="43">
        <v>446540</v>
      </c>
      <c r="K49" s="42">
        <v>464031.41899999999</v>
      </c>
      <c r="L49" s="42">
        <v>515795.35700000002</v>
      </c>
    </row>
    <row r="50" spans="1:12" x14ac:dyDescent="0.25">
      <c r="A50" s="39"/>
      <c r="B50" s="37"/>
      <c r="C50" s="37"/>
      <c r="D50" s="37"/>
      <c r="E50" s="37"/>
      <c r="F50" s="37"/>
      <c r="G50" s="37"/>
      <c r="H50" s="37"/>
      <c r="I50" s="37"/>
      <c r="J50" s="38"/>
      <c r="K50" s="37"/>
      <c r="L50" s="37"/>
    </row>
    <row r="51" spans="1:12" x14ac:dyDescent="0.25">
      <c r="A51" s="39" t="s">
        <v>121</v>
      </c>
      <c r="B51" s="39" t="s">
        <v>120</v>
      </c>
      <c r="C51" s="42">
        <v>258375</v>
      </c>
      <c r="D51" s="42">
        <v>258085</v>
      </c>
      <c r="E51" s="42">
        <v>314132</v>
      </c>
      <c r="F51" s="42">
        <v>321482</v>
      </c>
      <c r="G51" s="42">
        <v>332014</v>
      </c>
      <c r="H51" s="42">
        <v>381625</v>
      </c>
      <c r="I51" s="42">
        <v>421274</v>
      </c>
      <c r="J51" s="43">
        <v>445917</v>
      </c>
      <c r="K51" s="42">
        <v>463745.478</v>
      </c>
      <c r="L51" s="42">
        <v>514797.93599999999</v>
      </c>
    </row>
    <row r="52" spans="1:12" x14ac:dyDescent="0.25">
      <c r="A52" s="32" t="s">
        <v>119</v>
      </c>
      <c r="B52" s="32" t="s">
        <v>118</v>
      </c>
      <c r="C52" s="30">
        <v>-4515</v>
      </c>
      <c r="D52" s="30">
        <v>-175</v>
      </c>
      <c r="E52" s="30">
        <v>-588</v>
      </c>
      <c r="F52" s="30">
        <v>-1918</v>
      </c>
      <c r="G52" s="30">
        <v>7714</v>
      </c>
      <c r="H52" s="30">
        <v>-1645</v>
      </c>
      <c r="I52" s="30">
        <v>-196</v>
      </c>
      <c r="J52" s="31">
        <v>-623</v>
      </c>
      <c r="K52" s="30"/>
      <c r="L52" s="30"/>
    </row>
    <row r="53" spans="1:12" x14ac:dyDescent="0.25">
      <c r="A53" s="32" t="s">
        <v>117</v>
      </c>
      <c r="B53" s="32" t="s">
        <v>116</v>
      </c>
      <c r="C53" s="30">
        <v>0</v>
      </c>
      <c r="D53" s="30">
        <v>0</v>
      </c>
      <c r="E53" s="30">
        <v>0</v>
      </c>
      <c r="F53" s="30">
        <v>0</v>
      </c>
      <c r="G53" s="30">
        <v>0</v>
      </c>
      <c r="H53" s="30">
        <v>0</v>
      </c>
      <c r="I53" s="30">
        <v>0</v>
      </c>
      <c r="J53" s="31">
        <v>0</v>
      </c>
      <c r="K53" s="30"/>
      <c r="L53" s="30"/>
    </row>
    <row r="54" spans="1:12" x14ac:dyDescent="0.25">
      <c r="A54" s="39"/>
      <c r="B54" s="37"/>
      <c r="C54" s="37"/>
      <c r="D54" s="37"/>
      <c r="E54" s="37"/>
      <c r="F54" s="37"/>
      <c r="G54" s="37"/>
      <c r="H54" s="37"/>
      <c r="I54" s="37"/>
      <c r="J54" s="38"/>
      <c r="K54" s="37"/>
      <c r="L54" s="37"/>
    </row>
    <row r="55" spans="1:12" x14ac:dyDescent="0.25">
      <c r="A55" s="32" t="s">
        <v>115</v>
      </c>
      <c r="B55" s="32" t="s">
        <v>114</v>
      </c>
      <c r="C55" s="30">
        <v>3940.8559</v>
      </c>
      <c r="D55" s="30">
        <v>3849.1855999999998</v>
      </c>
      <c r="E55" s="30">
        <v>3789.7494000000002</v>
      </c>
      <c r="F55" s="30">
        <v>3752.3847000000001</v>
      </c>
      <c r="G55" s="30">
        <v>3740.1107000000002</v>
      </c>
      <c r="H55" s="30">
        <v>3698.8321999999998</v>
      </c>
      <c r="I55" s="30">
        <v>3659.0513999999998</v>
      </c>
      <c r="J55" s="31">
        <v>3659.0513729999998</v>
      </c>
      <c r="K55" s="30"/>
      <c r="L55" s="30"/>
    </row>
    <row r="56" spans="1:12" x14ac:dyDescent="0.25">
      <c r="A56" s="39" t="s">
        <v>113</v>
      </c>
      <c r="B56" s="39" t="s">
        <v>112</v>
      </c>
      <c r="C56" s="40">
        <v>66.704999999999998</v>
      </c>
      <c r="D56" s="40">
        <v>67.094999999999999</v>
      </c>
      <c r="E56" s="40">
        <v>83.05</v>
      </c>
      <c r="F56" s="40">
        <v>86.19</v>
      </c>
      <c r="G56" s="40">
        <v>86.71</v>
      </c>
      <c r="H56" s="40">
        <v>103.62</v>
      </c>
      <c r="I56" s="40">
        <v>115.19</v>
      </c>
      <c r="J56" s="41">
        <v>122.033753</v>
      </c>
      <c r="K56" s="40">
        <v>127.163</v>
      </c>
      <c r="L56" s="40">
        <v>141.79499999999999</v>
      </c>
    </row>
    <row r="57" spans="1:12" x14ac:dyDescent="0.25">
      <c r="A57" s="39" t="s">
        <v>111</v>
      </c>
      <c r="B57" s="39" t="s">
        <v>110</v>
      </c>
      <c r="C57" s="40">
        <v>66.704999999999998</v>
      </c>
      <c r="D57" s="40">
        <v>67.094999999999999</v>
      </c>
      <c r="E57" s="40">
        <v>83.05</v>
      </c>
      <c r="F57" s="40">
        <v>86.19</v>
      </c>
      <c r="G57" s="40">
        <v>86.71</v>
      </c>
      <c r="H57" s="40">
        <v>103.62</v>
      </c>
      <c r="I57" s="40">
        <v>115.19</v>
      </c>
      <c r="J57" s="41">
        <v>122.033753</v>
      </c>
      <c r="K57" s="40">
        <v>127.163</v>
      </c>
      <c r="L57" s="40">
        <v>141.79499999999999</v>
      </c>
    </row>
    <row r="58" spans="1:12" x14ac:dyDescent="0.25">
      <c r="A58" s="39" t="s">
        <v>109</v>
      </c>
      <c r="B58" s="39" t="s">
        <v>108</v>
      </c>
      <c r="C58" s="40">
        <v>65.563199999999995</v>
      </c>
      <c r="D58" s="40">
        <v>67.049199999999999</v>
      </c>
      <c r="E58" s="40">
        <v>82.889899999999997</v>
      </c>
      <c r="F58" s="40">
        <v>85.674099999999996</v>
      </c>
      <c r="G58" s="40">
        <v>88.771199999999993</v>
      </c>
      <c r="H58" s="40">
        <v>103.17449999999999</v>
      </c>
      <c r="I58" s="40">
        <v>115.13200000000001</v>
      </c>
      <c r="J58" s="41">
        <v>121.866832</v>
      </c>
      <c r="K58" s="40">
        <v>127.072</v>
      </c>
      <c r="L58" s="40">
        <v>141.40299999999999</v>
      </c>
    </row>
    <row r="59" spans="1:12" x14ac:dyDescent="0.25">
      <c r="A59" s="39"/>
      <c r="B59" s="37"/>
      <c r="C59" s="37"/>
      <c r="D59" s="37"/>
      <c r="E59" s="37"/>
      <c r="F59" s="37"/>
      <c r="G59" s="37"/>
      <c r="H59" s="37"/>
      <c r="I59" s="37"/>
      <c r="J59" s="38"/>
      <c r="K59" s="37"/>
      <c r="L59" s="37"/>
    </row>
    <row r="60" spans="1:12" x14ac:dyDescent="0.25">
      <c r="A60" s="32" t="s">
        <v>107</v>
      </c>
      <c r="B60" s="32" t="s">
        <v>106</v>
      </c>
      <c r="C60" s="30">
        <v>3940.8559</v>
      </c>
      <c r="D60" s="30">
        <v>3849.1855999999998</v>
      </c>
      <c r="E60" s="30">
        <v>3789.7494000000002</v>
      </c>
      <c r="F60" s="30">
        <v>3752.3847000000001</v>
      </c>
      <c r="G60" s="30">
        <v>3740.1107000000002</v>
      </c>
      <c r="H60" s="30">
        <v>3698.8321999999998</v>
      </c>
      <c r="I60" s="30">
        <v>3659.0513999999998</v>
      </c>
      <c r="J60" s="31">
        <v>3659.0513729999998</v>
      </c>
      <c r="K60" s="30"/>
      <c r="L60" s="30"/>
    </row>
    <row r="61" spans="1:12" x14ac:dyDescent="0.25">
      <c r="A61" s="39" t="s">
        <v>105</v>
      </c>
      <c r="B61" s="39" t="s">
        <v>104</v>
      </c>
      <c r="C61" s="40">
        <v>66.704999999999998</v>
      </c>
      <c r="D61" s="40">
        <v>67.094999999999999</v>
      </c>
      <c r="E61" s="40">
        <v>83.05</v>
      </c>
      <c r="F61" s="40">
        <v>86.19</v>
      </c>
      <c r="G61" s="40">
        <v>86.71</v>
      </c>
      <c r="H61" s="40">
        <v>103.62</v>
      </c>
      <c r="I61" s="40">
        <v>115.19</v>
      </c>
      <c r="J61" s="41">
        <v>122.033753</v>
      </c>
      <c r="K61" s="40">
        <v>127.163</v>
      </c>
      <c r="L61" s="40">
        <v>141.79499999999999</v>
      </c>
    </row>
    <row r="62" spans="1:12" x14ac:dyDescent="0.25">
      <c r="A62" s="39" t="s">
        <v>103</v>
      </c>
      <c r="B62" s="39" t="s">
        <v>102</v>
      </c>
      <c r="C62" s="40">
        <v>66.704999999999998</v>
      </c>
      <c r="D62" s="40">
        <v>67.094999999999999</v>
      </c>
      <c r="E62" s="40">
        <v>83.05</v>
      </c>
      <c r="F62" s="40">
        <v>86.19</v>
      </c>
      <c r="G62" s="40">
        <v>86.71</v>
      </c>
      <c r="H62" s="40">
        <v>103.62</v>
      </c>
      <c r="I62" s="40">
        <v>115.19</v>
      </c>
      <c r="J62" s="41">
        <v>122.033753</v>
      </c>
      <c r="K62" s="40">
        <v>127.163</v>
      </c>
      <c r="L62" s="40">
        <v>141.79499999999999</v>
      </c>
    </row>
    <row r="63" spans="1:12" x14ac:dyDescent="0.25">
      <c r="A63" s="39" t="s">
        <v>101</v>
      </c>
      <c r="B63" s="39" t="s">
        <v>100</v>
      </c>
      <c r="C63" s="40">
        <v>65.563199999999995</v>
      </c>
      <c r="D63" s="40">
        <v>67.049199999999999</v>
      </c>
      <c r="E63" s="40">
        <v>82.889899999999997</v>
      </c>
      <c r="F63" s="40">
        <v>85.674099999999996</v>
      </c>
      <c r="G63" s="40">
        <v>88.771199999999993</v>
      </c>
      <c r="H63" s="40">
        <v>103.17449999999999</v>
      </c>
      <c r="I63" s="40">
        <v>115.13200000000001</v>
      </c>
      <c r="J63" s="41">
        <v>121.866832</v>
      </c>
      <c r="K63" s="40">
        <v>127.072</v>
      </c>
      <c r="L63" s="40">
        <v>141.40299999999999</v>
      </c>
    </row>
    <row r="64" spans="1:12" x14ac:dyDescent="0.25">
      <c r="A64" s="39"/>
      <c r="B64" s="37"/>
      <c r="C64" s="37"/>
      <c r="D64" s="37"/>
      <c r="E64" s="37"/>
      <c r="F64" s="37"/>
      <c r="G64" s="37"/>
      <c r="H64" s="37"/>
      <c r="I64" s="37"/>
      <c r="J64" s="38"/>
      <c r="K64" s="37"/>
      <c r="L64" s="37"/>
    </row>
    <row r="65" spans="1:14" x14ac:dyDescent="0.25">
      <c r="A65" s="39" t="s">
        <v>99</v>
      </c>
      <c r="B65" s="37"/>
      <c r="C65" s="37"/>
      <c r="D65" s="37"/>
      <c r="E65" s="37"/>
      <c r="F65" s="37"/>
      <c r="G65" s="37"/>
      <c r="H65" s="37"/>
      <c r="I65" s="37"/>
      <c r="J65" s="38"/>
      <c r="K65" s="37"/>
      <c r="L65" s="37"/>
    </row>
    <row r="66" spans="1:14" x14ac:dyDescent="0.25">
      <c r="A66" s="32" t="s">
        <v>98</v>
      </c>
      <c r="B66" s="32" t="s">
        <v>97</v>
      </c>
      <c r="C66" s="35" t="s">
        <v>95</v>
      </c>
      <c r="D66" s="35" t="s">
        <v>95</v>
      </c>
      <c r="E66" s="35" t="s">
        <v>95</v>
      </c>
      <c r="F66" s="35" t="s">
        <v>96</v>
      </c>
      <c r="G66" s="35" t="s">
        <v>95</v>
      </c>
      <c r="H66" s="35" t="s">
        <v>96</v>
      </c>
      <c r="I66" s="35" t="s">
        <v>95</v>
      </c>
      <c r="J66" s="36"/>
      <c r="K66" s="35"/>
      <c r="L66" s="35"/>
    </row>
    <row r="67" spans="1:14" x14ac:dyDescent="0.25">
      <c r="A67" s="32" t="s">
        <v>54</v>
      </c>
      <c r="B67" s="32" t="s">
        <v>54</v>
      </c>
      <c r="C67" s="30">
        <v>323080</v>
      </c>
      <c r="D67" s="30">
        <v>324910</v>
      </c>
      <c r="E67" s="30">
        <v>394220</v>
      </c>
      <c r="F67" s="30">
        <v>420950</v>
      </c>
      <c r="G67" s="30">
        <v>464460</v>
      </c>
      <c r="H67" s="30">
        <v>530500</v>
      </c>
      <c r="I67" s="30">
        <v>592310</v>
      </c>
      <c r="J67" s="31">
        <v>620470</v>
      </c>
      <c r="K67" s="30">
        <v>638198.85</v>
      </c>
      <c r="L67" s="30">
        <v>710651.73199999996</v>
      </c>
    </row>
    <row r="68" spans="1:14" x14ac:dyDescent="0.25">
      <c r="A68" s="32" t="s">
        <v>94</v>
      </c>
      <c r="B68" s="32" t="s">
        <v>93</v>
      </c>
      <c r="C68" s="33">
        <v>27.387599999999999</v>
      </c>
      <c r="D68" s="33">
        <v>26.3931</v>
      </c>
      <c r="E68" s="33">
        <v>26.916</v>
      </c>
      <c r="F68" s="33">
        <v>26.820799999999998</v>
      </c>
      <c r="G68" s="33">
        <v>28.290199999999999</v>
      </c>
      <c r="H68" s="33">
        <v>27.665700000000001</v>
      </c>
      <c r="I68" s="33">
        <v>26.2714</v>
      </c>
      <c r="J68" s="34">
        <v>26.239512145612</v>
      </c>
      <c r="K68" s="33">
        <v>26.2887089630897</v>
      </c>
      <c r="L68" s="33">
        <v>26.740657956513001</v>
      </c>
    </row>
    <row r="69" spans="1:14" x14ac:dyDescent="0.25">
      <c r="A69" s="32" t="s">
        <v>92</v>
      </c>
      <c r="B69" s="32" t="s">
        <v>92</v>
      </c>
      <c r="C69" s="30">
        <v>303210</v>
      </c>
      <c r="D69" s="30">
        <v>304780</v>
      </c>
      <c r="E69" s="30">
        <v>373670</v>
      </c>
      <c r="F69" s="30">
        <v>386550</v>
      </c>
      <c r="G69" s="30">
        <v>423810</v>
      </c>
      <c r="H69" s="30">
        <v>488010</v>
      </c>
      <c r="I69" s="30">
        <v>542090</v>
      </c>
      <c r="J69" s="31">
        <v>569870</v>
      </c>
      <c r="K69" s="30"/>
      <c r="L69" s="30"/>
    </row>
    <row r="70" spans="1:14" x14ac:dyDescent="0.25">
      <c r="A70" s="32" t="s">
        <v>91</v>
      </c>
      <c r="B70" s="32" t="s">
        <v>91</v>
      </c>
      <c r="C70" s="30">
        <v>303210</v>
      </c>
      <c r="D70" s="30">
        <v>304770</v>
      </c>
      <c r="E70" s="30">
        <v>373660</v>
      </c>
      <c r="F70" s="30">
        <v>385660</v>
      </c>
      <c r="G70" s="30">
        <v>423810</v>
      </c>
      <c r="H70" s="30">
        <v>484460</v>
      </c>
      <c r="I70" s="30">
        <v>542090</v>
      </c>
      <c r="J70" s="31">
        <v>569860</v>
      </c>
      <c r="K70" s="30">
        <v>589157.11600000004</v>
      </c>
      <c r="L70" s="30">
        <v>658086.13600000006</v>
      </c>
    </row>
    <row r="71" spans="1:14" x14ac:dyDescent="0.25">
      <c r="A71" s="32" t="s">
        <v>90</v>
      </c>
      <c r="B71" s="32" t="s">
        <v>89</v>
      </c>
      <c r="C71" s="33">
        <v>43.299799999999998</v>
      </c>
      <c r="D71" s="33">
        <v>42.091200000000001</v>
      </c>
      <c r="E71" s="33">
        <v>41.856999999999999</v>
      </c>
      <c r="F71" s="33" t="s">
        <v>70</v>
      </c>
      <c r="G71" s="33">
        <v>40.833399999999997</v>
      </c>
      <c r="H71" s="33" t="s">
        <v>70</v>
      </c>
      <c r="I71" s="33">
        <v>39.5595</v>
      </c>
      <c r="J71" s="34">
        <v>39.950690168482303</v>
      </c>
      <c r="K71" s="33">
        <v>40.884</v>
      </c>
      <c r="L71" s="33">
        <v>40.402999999999999</v>
      </c>
    </row>
    <row r="72" spans="1:14" x14ac:dyDescent="0.25">
      <c r="A72" s="32" t="s">
        <v>88</v>
      </c>
      <c r="B72" s="32" t="s">
        <v>87</v>
      </c>
      <c r="C72" s="33">
        <v>25.703199999999999</v>
      </c>
      <c r="D72" s="33">
        <v>24.757100000000001</v>
      </c>
      <c r="E72" s="33">
        <v>25.5122</v>
      </c>
      <c r="F72" s="33">
        <v>24.572299999999998</v>
      </c>
      <c r="G72" s="33">
        <v>25.8142</v>
      </c>
      <c r="H72" s="33">
        <v>25.264700000000001</v>
      </c>
      <c r="I72" s="33">
        <v>24.043900000000001</v>
      </c>
      <c r="J72" s="34">
        <v>24.0992286352257</v>
      </c>
      <c r="K72" s="33">
        <v>24.2685801706745</v>
      </c>
      <c r="L72" s="33">
        <v>24.7627008790563</v>
      </c>
    </row>
    <row r="73" spans="1:14" x14ac:dyDescent="0.25">
      <c r="A73" s="32" t="s">
        <v>86</v>
      </c>
      <c r="B73" s="32" t="s">
        <v>85</v>
      </c>
      <c r="C73" s="33">
        <v>21.9025</v>
      </c>
      <c r="D73" s="33">
        <v>20.9648</v>
      </c>
      <c r="E73" s="33">
        <v>21.447900000000001</v>
      </c>
      <c r="F73" s="33">
        <v>20.4832</v>
      </c>
      <c r="G73" s="33">
        <v>20.222899999999999</v>
      </c>
      <c r="H73" s="33">
        <v>19.901800000000001</v>
      </c>
      <c r="I73" s="33">
        <v>18.685300000000002</v>
      </c>
      <c r="J73" s="34">
        <v>18.857711956153999</v>
      </c>
      <c r="K73" s="33">
        <v>19.102619667977901</v>
      </c>
      <c r="L73" s="33">
        <v>19.371001157701901</v>
      </c>
    </row>
    <row r="74" spans="1:14" x14ac:dyDescent="0.25">
      <c r="A74" s="32" t="s">
        <v>84</v>
      </c>
      <c r="B74" s="32" t="s">
        <v>83</v>
      </c>
      <c r="C74" s="30" t="s">
        <v>70</v>
      </c>
      <c r="D74" s="30" t="s">
        <v>70</v>
      </c>
      <c r="E74" s="30" t="s">
        <v>70</v>
      </c>
      <c r="F74" s="30" t="s">
        <v>70</v>
      </c>
      <c r="G74" s="30" t="s">
        <v>70</v>
      </c>
      <c r="H74" s="30" t="s">
        <v>70</v>
      </c>
      <c r="I74" s="30" t="s">
        <v>70</v>
      </c>
      <c r="J74" s="31"/>
      <c r="K74" s="30">
        <v>634635.05299999996</v>
      </c>
      <c r="L74" s="30">
        <v>712967.152</v>
      </c>
    </row>
    <row r="75" spans="1:14" x14ac:dyDescent="0.25">
      <c r="A75" s="32" t="s">
        <v>82</v>
      </c>
      <c r="B75" s="32" t="s">
        <v>81</v>
      </c>
      <c r="C75" s="33">
        <v>3046461.5995999998</v>
      </c>
      <c r="D75" s="33">
        <v>3116572.7420999999</v>
      </c>
      <c r="E75" s="33">
        <v>3451995.7104000002</v>
      </c>
      <c r="F75" s="33">
        <v>3499701.2023</v>
      </c>
      <c r="G75" s="33">
        <v>3359814.5090000001</v>
      </c>
      <c r="H75" s="33">
        <v>3238021.2598999999</v>
      </c>
      <c r="I75" s="33">
        <v>3667206.1419000002</v>
      </c>
      <c r="J75" s="34">
        <v>3855933.7793057398</v>
      </c>
      <c r="K75" s="33"/>
      <c r="L75" s="33"/>
    </row>
    <row r="76" spans="1:14" x14ac:dyDescent="0.25">
      <c r="A76" s="32" t="s">
        <v>80</v>
      </c>
      <c r="B76" s="32" t="s">
        <v>79</v>
      </c>
      <c r="C76" s="33">
        <v>23.5</v>
      </c>
      <c r="D76" s="33">
        <v>25</v>
      </c>
      <c r="E76" s="33">
        <v>30</v>
      </c>
      <c r="F76" s="33">
        <v>73</v>
      </c>
      <c r="G76" s="33">
        <v>38</v>
      </c>
      <c r="H76" s="33">
        <v>43</v>
      </c>
      <c r="I76" s="33">
        <v>115</v>
      </c>
      <c r="J76" s="34">
        <v>117</v>
      </c>
      <c r="K76" s="33">
        <v>75.81</v>
      </c>
      <c r="L76" s="33">
        <v>105.423</v>
      </c>
    </row>
    <row r="77" spans="1:14" x14ac:dyDescent="0.25">
      <c r="A77" s="32" t="s">
        <v>78</v>
      </c>
      <c r="B77" s="32" t="s">
        <v>77</v>
      </c>
      <c r="C77" s="30">
        <v>92610.113200000007</v>
      </c>
      <c r="D77" s="30">
        <v>95714.3796</v>
      </c>
      <c r="E77" s="30">
        <v>112571.54120000001</v>
      </c>
      <c r="F77" s="30">
        <v>424019.4718</v>
      </c>
      <c r="G77" s="30">
        <v>140563.9522</v>
      </c>
      <c r="H77" s="30">
        <v>157339.209</v>
      </c>
      <c r="I77" s="30">
        <v>665947.34990000003</v>
      </c>
      <c r="J77" s="31">
        <v>673265.45263199997</v>
      </c>
      <c r="K77" s="30"/>
      <c r="L77" s="30"/>
      <c r="N77" s="27">
        <f>(I76-H76)/H76</f>
        <v>1.6744186046511629</v>
      </c>
    </row>
    <row r="78" spans="1:14" x14ac:dyDescent="0.25">
      <c r="A78" s="32" t="s">
        <v>76</v>
      </c>
      <c r="B78" s="32" t="s">
        <v>75</v>
      </c>
      <c r="C78" s="30">
        <v>616220</v>
      </c>
      <c r="D78" s="30">
        <v>663960</v>
      </c>
      <c r="E78" s="30">
        <v>782450</v>
      </c>
      <c r="F78" s="30">
        <v>859520</v>
      </c>
      <c r="G78" s="30">
        <v>918140</v>
      </c>
      <c r="H78" s="30">
        <v>1075540</v>
      </c>
      <c r="I78" s="30">
        <v>1275220</v>
      </c>
      <c r="J78" s="31">
        <v>1364270</v>
      </c>
      <c r="K78" s="30"/>
      <c r="L78" s="30"/>
    </row>
    <row r="79" spans="1:14" x14ac:dyDescent="0.25">
      <c r="A79" s="32" t="s">
        <v>74</v>
      </c>
      <c r="B79" s="32" t="s">
        <v>73</v>
      </c>
      <c r="C79" s="30">
        <v>19870</v>
      </c>
      <c r="D79" s="30">
        <v>20130</v>
      </c>
      <c r="E79" s="30">
        <v>20550</v>
      </c>
      <c r="F79" s="30">
        <v>34400</v>
      </c>
      <c r="G79" s="30">
        <v>40650</v>
      </c>
      <c r="H79" s="30">
        <v>42490</v>
      </c>
      <c r="I79" s="30">
        <v>50220</v>
      </c>
      <c r="J79" s="31">
        <v>50600</v>
      </c>
      <c r="K79" s="30"/>
      <c r="L79" s="30"/>
      <c r="M79" s="127"/>
      <c r="N79" s="47"/>
    </row>
    <row r="80" spans="1:14" x14ac:dyDescent="0.25">
      <c r="A80" s="32" t="s">
        <v>72</v>
      </c>
      <c r="B80" s="32" t="s">
        <v>71</v>
      </c>
      <c r="C80" s="30" t="s">
        <v>70</v>
      </c>
      <c r="D80" s="30" t="s">
        <v>70</v>
      </c>
      <c r="E80" s="30" t="s">
        <v>70</v>
      </c>
      <c r="F80" s="30" t="s">
        <v>70</v>
      </c>
      <c r="G80" s="30">
        <v>14010</v>
      </c>
      <c r="H80" s="30" t="s">
        <v>70</v>
      </c>
      <c r="I80" s="30">
        <v>10030</v>
      </c>
      <c r="J80" s="31">
        <v>11070</v>
      </c>
      <c r="K80" s="30"/>
      <c r="L80" s="30"/>
    </row>
    <row r="81" spans="1:12" x14ac:dyDescent="0.25">
      <c r="A81" s="29" t="s">
        <v>69</v>
      </c>
      <c r="B81" s="29"/>
      <c r="C81" s="29" t="s">
        <v>68</v>
      </c>
      <c r="D81" s="29"/>
      <c r="E81" s="29"/>
      <c r="F81" s="29"/>
      <c r="G81" s="29"/>
      <c r="H81" s="29"/>
      <c r="I81" s="29"/>
      <c r="J81" s="29"/>
      <c r="K81" s="29"/>
      <c r="L81" s="29"/>
    </row>
    <row r="83" spans="1:12" x14ac:dyDescent="0.25">
      <c r="D83" s="27">
        <f>(D76-C76)/C76</f>
        <v>6.3829787234042548E-2</v>
      </c>
      <c r="E83" s="27">
        <f>(E76-D76)/D76</f>
        <v>0.2</v>
      </c>
      <c r="G83" s="27">
        <f>(D76-C76)/C76</f>
        <v>6.3829787234042548E-2</v>
      </c>
    </row>
    <row r="84" spans="1:12" x14ac:dyDescent="0.25">
      <c r="D84" s="27">
        <f>D83*100</f>
        <v>6.3829787234042552</v>
      </c>
      <c r="E84" s="27">
        <f>E83*100</f>
        <v>20</v>
      </c>
      <c r="I84" s="27">
        <f>(F76-E76)/E76</f>
        <v>1.4333333333333333</v>
      </c>
      <c r="K84" s="88">
        <f>K76-J76</f>
        <v>-41.19</v>
      </c>
      <c r="L84" s="27">
        <f>(L76-K76)/K76</f>
        <v>0.39062129006727342</v>
      </c>
    </row>
    <row r="85" spans="1:12" x14ac:dyDescent="0.25">
      <c r="K85" s="27">
        <f>K84/J76</f>
        <v>-0.35205128205128206</v>
      </c>
      <c r="L85" s="27">
        <f>L84*100</f>
        <v>39.062129006727339</v>
      </c>
    </row>
    <row r="86" spans="1:12" x14ac:dyDescent="0.25">
      <c r="G86" s="88">
        <f>F76-E76</f>
        <v>43</v>
      </c>
    </row>
    <row r="87" spans="1:12" x14ac:dyDescent="0.25">
      <c r="G87" s="27">
        <f>G86/E76</f>
        <v>1.4333333333333333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E1D0-FDDA-4549-9D5E-FC188D7266D1}">
  <dimension ref="A1:L100"/>
  <sheetViews>
    <sheetView topLeftCell="A74" workbookViewId="0">
      <selection activeCell="A85" sqref="A85"/>
    </sheetView>
  </sheetViews>
  <sheetFormatPr defaultColWidth="8.7109375" defaultRowHeight="15" x14ac:dyDescent="0.25"/>
  <cols>
    <col min="1" max="1" width="35.140625" style="27" customWidth="1"/>
    <col min="2" max="2" width="0" style="27" hidden="1" customWidth="1"/>
    <col min="3" max="12" width="11.85546875" style="27" customWidth="1"/>
    <col min="13" max="16384" width="8.7109375" style="27"/>
  </cols>
  <sheetData>
    <row r="1" spans="1:12" x14ac:dyDescent="0.25">
      <c r="A1" s="54"/>
      <c r="B1" s="54"/>
      <c r="C1" s="54"/>
      <c r="D1" s="54"/>
      <c r="E1" s="54"/>
      <c r="F1" s="54"/>
      <c r="G1" s="54"/>
      <c r="H1" s="54"/>
      <c r="I1" s="54"/>
      <c r="J1" s="54"/>
      <c r="K1" s="54"/>
      <c r="L1" s="54"/>
    </row>
    <row r="2" spans="1:12" ht="20.25" x14ac:dyDescent="0.25">
      <c r="A2" s="53" t="s">
        <v>410</v>
      </c>
      <c r="B2" s="53"/>
      <c r="C2" s="53"/>
      <c r="D2" s="53"/>
      <c r="E2" s="53"/>
      <c r="F2" s="53"/>
      <c r="G2" s="53"/>
      <c r="H2" s="53"/>
      <c r="I2" s="53"/>
      <c r="J2" s="53"/>
      <c r="K2" s="53"/>
      <c r="L2" s="53"/>
    </row>
    <row r="3" spans="1:12" x14ac:dyDescent="0.25">
      <c r="A3" s="52"/>
      <c r="B3" s="52"/>
      <c r="C3" s="52"/>
      <c r="D3" s="52"/>
      <c r="E3" s="52"/>
      <c r="F3" s="52"/>
      <c r="G3" s="52"/>
      <c r="H3" s="52"/>
      <c r="I3" s="52"/>
      <c r="J3" s="52"/>
      <c r="K3" s="52"/>
      <c r="L3" s="52"/>
    </row>
    <row r="4" spans="1:12" x14ac:dyDescent="0.25">
      <c r="A4" s="51" t="s">
        <v>227</v>
      </c>
      <c r="B4" s="51"/>
      <c r="C4" s="50" t="s">
        <v>409</v>
      </c>
      <c r="D4" s="50" t="s">
        <v>408</v>
      </c>
      <c r="E4" s="50" t="s">
        <v>407</v>
      </c>
      <c r="F4" s="50" t="s">
        <v>226</v>
      </c>
      <c r="G4" s="50" t="s">
        <v>225</v>
      </c>
      <c r="H4" s="50" t="s">
        <v>224</v>
      </c>
      <c r="I4" s="50" t="s">
        <v>223</v>
      </c>
      <c r="J4" s="50" t="s">
        <v>222</v>
      </c>
      <c r="K4" s="50" t="s">
        <v>221</v>
      </c>
      <c r="L4" s="50" t="s">
        <v>220</v>
      </c>
    </row>
    <row r="5" spans="1:12" x14ac:dyDescent="0.25">
      <c r="A5" s="49" t="s">
        <v>216</v>
      </c>
      <c r="B5" s="49"/>
      <c r="C5" s="48" t="s">
        <v>406</v>
      </c>
      <c r="D5" s="48" t="s">
        <v>405</v>
      </c>
      <c r="E5" s="48" t="s">
        <v>404</v>
      </c>
      <c r="F5" s="48" t="s">
        <v>215</v>
      </c>
      <c r="G5" s="48" t="s">
        <v>214</v>
      </c>
      <c r="H5" s="48" t="s">
        <v>213</v>
      </c>
      <c r="I5" s="48" t="s">
        <v>212</v>
      </c>
      <c r="J5" s="48" t="s">
        <v>211</v>
      </c>
      <c r="K5" s="48" t="s">
        <v>210</v>
      </c>
      <c r="L5" s="48" t="s">
        <v>209</v>
      </c>
    </row>
    <row r="6" spans="1:12" x14ac:dyDescent="0.25">
      <c r="A6" s="39" t="s">
        <v>339</v>
      </c>
      <c r="B6" s="37"/>
      <c r="C6" s="37"/>
      <c r="D6" s="37"/>
      <c r="E6" s="37"/>
      <c r="F6" s="37"/>
      <c r="G6" s="37"/>
      <c r="H6" s="37"/>
      <c r="I6" s="37"/>
      <c r="J6" s="37"/>
      <c r="K6" s="37"/>
      <c r="L6" s="37"/>
    </row>
    <row r="7" spans="1:12" x14ac:dyDescent="0.25">
      <c r="A7" s="32" t="s">
        <v>403</v>
      </c>
      <c r="B7" s="32" t="s">
        <v>402</v>
      </c>
      <c r="C7" s="30">
        <v>156495.4</v>
      </c>
      <c r="D7" s="30">
        <v>197224.1</v>
      </c>
      <c r="E7" s="30">
        <v>288270</v>
      </c>
      <c r="F7" s="30">
        <v>456630</v>
      </c>
      <c r="G7" s="30">
        <v>426460</v>
      </c>
      <c r="H7" s="30">
        <v>417430</v>
      </c>
      <c r="I7" s="30">
        <v>355890</v>
      </c>
      <c r="J7" s="30">
        <v>382800</v>
      </c>
      <c r="K7" s="30">
        <v>482570</v>
      </c>
      <c r="L7" s="30">
        <v>472440</v>
      </c>
    </row>
    <row r="8" spans="1:12" x14ac:dyDescent="0.25">
      <c r="A8" s="32" t="s">
        <v>401</v>
      </c>
      <c r="B8" s="32" t="s">
        <v>400</v>
      </c>
      <c r="C8" s="30">
        <v>144907.20000000001</v>
      </c>
      <c r="D8" s="30">
        <v>182298.1</v>
      </c>
      <c r="E8" s="30">
        <v>63480</v>
      </c>
      <c r="F8" s="30">
        <v>35970</v>
      </c>
      <c r="G8" s="30">
        <v>48830</v>
      </c>
      <c r="H8" s="30">
        <v>72240</v>
      </c>
      <c r="I8" s="30">
        <v>94490</v>
      </c>
      <c r="J8" s="30">
        <v>68580</v>
      </c>
      <c r="K8" s="30">
        <v>179950</v>
      </c>
      <c r="L8" s="30">
        <v>71230</v>
      </c>
    </row>
    <row r="9" spans="1:12" x14ac:dyDescent="0.25">
      <c r="A9" s="32" t="s">
        <v>399</v>
      </c>
      <c r="B9" s="32" t="s">
        <v>398</v>
      </c>
      <c r="C9" s="30">
        <v>11588.2</v>
      </c>
      <c r="D9" s="30">
        <v>14926</v>
      </c>
      <c r="E9" s="30">
        <v>224790</v>
      </c>
      <c r="F9" s="30">
        <v>420660</v>
      </c>
      <c r="G9" s="30">
        <v>377630</v>
      </c>
      <c r="H9" s="30">
        <v>345190</v>
      </c>
      <c r="I9" s="30">
        <v>261400</v>
      </c>
      <c r="J9" s="30">
        <v>314220</v>
      </c>
      <c r="K9" s="30">
        <v>302620</v>
      </c>
      <c r="L9" s="30">
        <v>401210</v>
      </c>
    </row>
    <row r="10" spans="1:12" x14ac:dyDescent="0.25">
      <c r="A10" s="32" t="s">
        <v>397</v>
      </c>
      <c r="B10" s="32" t="s">
        <v>396</v>
      </c>
      <c r="C10" s="30">
        <v>182304</v>
      </c>
      <c r="D10" s="30">
        <v>204379.4</v>
      </c>
      <c r="E10" s="30">
        <v>240730</v>
      </c>
      <c r="F10" s="30">
        <v>226170</v>
      </c>
      <c r="G10" s="30">
        <v>249430</v>
      </c>
      <c r="H10" s="30">
        <v>273460</v>
      </c>
      <c r="I10" s="30">
        <v>305320</v>
      </c>
      <c r="J10" s="30">
        <v>300790</v>
      </c>
      <c r="K10" s="30">
        <v>340740</v>
      </c>
      <c r="L10" s="30">
        <v>410490</v>
      </c>
    </row>
    <row r="11" spans="1:12" x14ac:dyDescent="0.25">
      <c r="A11" s="32" t="s">
        <v>395</v>
      </c>
      <c r="B11" s="32" t="s">
        <v>394</v>
      </c>
      <c r="C11" s="30">
        <v>182304</v>
      </c>
      <c r="D11" s="30">
        <v>204379.4</v>
      </c>
      <c r="E11" s="30">
        <v>240730</v>
      </c>
      <c r="F11" s="30">
        <v>226170</v>
      </c>
      <c r="G11" s="30">
        <v>249430</v>
      </c>
      <c r="H11" s="30">
        <v>273460</v>
      </c>
      <c r="I11" s="30">
        <v>305320</v>
      </c>
      <c r="J11" s="30">
        <v>300790</v>
      </c>
      <c r="K11" s="30">
        <v>340740</v>
      </c>
      <c r="L11" s="30">
        <v>410490</v>
      </c>
    </row>
    <row r="12" spans="1:12" x14ac:dyDescent="0.25">
      <c r="A12" s="32" t="s">
        <v>393</v>
      </c>
      <c r="B12" s="32" t="s">
        <v>392</v>
      </c>
      <c r="C12" s="30">
        <v>0</v>
      </c>
      <c r="D12" s="30">
        <v>0</v>
      </c>
      <c r="E12" s="30">
        <v>0</v>
      </c>
      <c r="F12" s="30">
        <v>0</v>
      </c>
      <c r="G12" s="30">
        <v>0</v>
      </c>
      <c r="H12" s="30">
        <v>0</v>
      </c>
      <c r="I12" s="30">
        <v>0</v>
      </c>
      <c r="J12" s="30">
        <v>0</v>
      </c>
      <c r="K12" s="30">
        <v>0</v>
      </c>
      <c r="L12" s="30">
        <v>0</v>
      </c>
    </row>
    <row r="13" spans="1:12" x14ac:dyDescent="0.25">
      <c r="A13" s="32" t="s">
        <v>391</v>
      </c>
      <c r="B13" s="32" t="s">
        <v>390</v>
      </c>
      <c r="C13" s="30">
        <v>40056.1</v>
      </c>
      <c r="D13" s="30">
        <v>38270.800000000003</v>
      </c>
      <c r="E13" s="30">
        <v>39920</v>
      </c>
      <c r="F13" s="30">
        <v>52080</v>
      </c>
      <c r="G13" s="30">
        <v>66860</v>
      </c>
      <c r="H13" s="30">
        <v>51570</v>
      </c>
      <c r="I13" s="30">
        <v>106450</v>
      </c>
      <c r="J13" s="30">
        <v>65830</v>
      </c>
      <c r="K13" s="30">
        <v>130580</v>
      </c>
      <c r="L13" s="30">
        <v>89050</v>
      </c>
    </row>
    <row r="14" spans="1:12" x14ac:dyDescent="0.25">
      <c r="A14" s="32" t="s">
        <v>389</v>
      </c>
      <c r="B14" s="32" t="s">
        <v>388</v>
      </c>
      <c r="C14" s="30" t="s">
        <v>70</v>
      </c>
      <c r="D14" s="30">
        <v>160.69999999999999</v>
      </c>
      <c r="E14" s="30" t="s">
        <v>70</v>
      </c>
      <c r="F14" s="30" t="s">
        <v>70</v>
      </c>
      <c r="G14" s="30" t="s">
        <v>70</v>
      </c>
      <c r="H14" s="30" t="s">
        <v>70</v>
      </c>
      <c r="I14" s="30">
        <v>50</v>
      </c>
      <c r="J14" s="30">
        <v>0</v>
      </c>
      <c r="K14" s="30">
        <v>200</v>
      </c>
      <c r="L14" s="30">
        <v>0</v>
      </c>
    </row>
    <row r="15" spans="1:12" x14ac:dyDescent="0.25">
      <c r="A15" s="32" t="s">
        <v>387</v>
      </c>
      <c r="B15" s="32" t="s">
        <v>386</v>
      </c>
      <c r="C15" s="30" t="s">
        <v>70</v>
      </c>
      <c r="D15" s="30">
        <v>121.7</v>
      </c>
      <c r="E15" s="30" t="s">
        <v>70</v>
      </c>
      <c r="F15" s="30" t="s">
        <v>70</v>
      </c>
      <c r="G15" s="30" t="s">
        <v>70</v>
      </c>
      <c r="H15" s="30" t="s">
        <v>70</v>
      </c>
      <c r="I15" s="30">
        <v>50</v>
      </c>
      <c r="J15" s="30">
        <v>0</v>
      </c>
      <c r="K15" s="30">
        <v>170</v>
      </c>
      <c r="L15" s="30">
        <v>0</v>
      </c>
    </row>
    <row r="16" spans="1:12" x14ac:dyDescent="0.25">
      <c r="A16" s="32" t="s">
        <v>385</v>
      </c>
      <c r="B16" s="32" t="s">
        <v>384</v>
      </c>
      <c r="C16" s="30" t="s">
        <v>70</v>
      </c>
      <c r="D16" s="30">
        <v>0</v>
      </c>
      <c r="E16" s="30" t="s">
        <v>70</v>
      </c>
      <c r="F16" s="30" t="s">
        <v>70</v>
      </c>
      <c r="G16" s="30" t="s">
        <v>70</v>
      </c>
      <c r="H16" s="30" t="s">
        <v>70</v>
      </c>
      <c r="I16" s="30">
        <v>0</v>
      </c>
      <c r="J16" s="30">
        <v>0</v>
      </c>
      <c r="K16" s="30">
        <v>0</v>
      </c>
      <c r="L16" s="30">
        <v>0</v>
      </c>
    </row>
    <row r="17" spans="1:12" x14ac:dyDescent="0.25">
      <c r="A17" s="32" t="s">
        <v>383</v>
      </c>
      <c r="B17" s="32" t="s">
        <v>382</v>
      </c>
      <c r="C17" s="30" t="s">
        <v>70</v>
      </c>
      <c r="D17" s="30">
        <v>0</v>
      </c>
      <c r="E17" s="30" t="s">
        <v>70</v>
      </c>
      <c r="F17" s="30" t="s">
        <v>70</v>
      </c>
      <c r="G17" s="30" t="s">
        <v>70</v>
      </c>
      <c r="H17" s="30" t="s">
        <v>70</v>
      </c>
      <c r="I17" s="30">
        <v>0</v>
      </c>
      <c r="J17" s="30">
        <v>0</v>
      </c>
      <c r="K17" s="30">
        <v>30</v>
      </c>
      <c r="L17" s="30">
        <v>0</v>
      </c>
    </row>
    <row r="18" spans="1:12" x14ac:dyDescent="0.25">
      <c r="A18" s="32" t="s">
        <v>381</v>
      </c>
      <c r="B18" s="32" t="s">
        <v>380</v>
      </c>
      <c r="C18" s="30" t="s">
        <v>70</v>
      </c>
      <c r="D18" s="30">
        <v>39</v>
      </c>
      <c r="E18" s="30" t="s">
        <v>70</v>
      </c>
      <c r="F18" s="30" t="s">
        <v>70</v>
      </c>
      <c r="G18" s="30" t="s">
        <v>70</v>
      </c>
      <c r="H18" s="30" t="s">
        <v>70</v>
      </c>
      <c r="I18" s="30">
        <v>0</v>
      </c>
      <c r="J18" s="30">
        <v>0</v>
      </c>
      <c r="K18" s="30">
        <v>0</v>
      </c>
      <c r="L18" s="30">
        <v>0</v>
      </c>
    </row>
    <row r="19" spans="1:12" x14ac:dyDescent="0.25">
      <c r="A19" s="32" t="s">
        <v>379</v>
      </c>
      <c r="B19" s="32" t="s">
        <v>378</v>
      </c>
      <c r="C19" s="30">
        <v>50847.7</v>
      </c>
      <c r="D19" s="30">
        <v>48095</v>
      </c>
      <c r="E19" s="30">
        <v>63220</v>
      </c>
      <c r="F19" s="30">
        <v>68280</v>
      </c>
      <c r="G19" s="30">
        <v>69490</v>
      </c>
      <c r="H19" s="30">
        <v>178850</v>
      </c>
      <c r="I19" s="30">
        <v>134660</v>
      </c>
      <c r="J19" s="30">
        <v>243380</v>
      </c>
      <c r="K19" s="30">
        <v>129010</v>
      </c>
      <c r="L19" s="30">
        <v>130720</v>
      </c>
    </row>
    <row r="20" spans="1:12" x14ac:dyDescent="0.25">
      <c r="A20" s="32" t="s">
        <v>377</v>
      </c>
      <c r="B20" s="32" t="s">
        <v>376</v>
      </c>
      <c r="C20" s="30" t="s">
        <v>70</v>
      </c>
      <c r="D20" s="30" t="s">
        <v>70</v>
      </c>
      <c r="E20" s="30" t="s">
        <v>70</v>
      </c>
      <c r="F20" s="30" t="s">
        <v>70</v>
      </c>
      <c r="G20" s="30" t="s">
        <v>70</v>
      </c>
      <c r="H20" s="30" t="s">
        <v>70</v>
      </c>
      <c r="I20" s="30">
        <v>17880</v>
      </c>
      <c r="J20" s="30" t="s">
        <v>70</v>
      </c>
      <c r="K20" s="30">
        <v>32220</v>
      </c>
      <c r="L20" s="30" t="s">
        <v>70</v>
      </c>
    </row>
    <row r="21" spans="1:12" x14ac:dyDescent="0.25">
      <c r="A21" s="32" t="s">
        <v>375</v>
      </c>
      <c r="B21" s="32" t="s">
        <v>374</v>
      </c>
      <c r="C21" s="30">
        <v>338.3</v>
      </c>
      <c r="D21" s="30" t="s">
        <v>70</v>
      </c>
      <c r="E21" s="30">
        <v>320</v>
      </c>
      <c r="F21" s="30">
        <v>260</v>
      </c>
      <c r="G21" s="30">
        <v>370</v>
      </c>
      <c r="H21" s="30">
        <v>18530</v>
      </c>
      <c r="I21" s="30">
        <v>13840</v>
      </c>
      <c r="J21" s="30">
        <v>190</v>
      </c>
      <c r="K21" s="30">
        <v>13210</v>
      </c>
      <c r="L21" s="30">
        <v>80</v>
      </c>
    </row>
    <row r="22" spans="1:12" x14ac:dyDescent="0.25">
      <c r="A22" s="32" t="s">
        <v>373</v>
      </c>
      <c r="B22" s="32" t="s">
        <v>372</v>
      </c>
      <c r="C22" s="30">
        <v>50509.4</v>
      </c>
      <c r="D22" s="30">
        <v>48095</v>
      </c>
      <c r="E22" s="30">
        <v>62900</v>
      </c>
      <c r="F22" s="30">
        <v>68020</v>
      </c>
      <c r="G22" s="30">
        <v>69120</v>
      </c>
      <c r="H22" s="30">
        <v>160320</v>
      </c>
      <c r="I22" s="30">
        <v>102940</v>
      </c>
      <c r="J22" s="30">
        <v>243190</v>
      </c>
      <c r="K22" s="30">
        <v>83580</v>
      </c>
      <c r="L22" s="30">
        <v>130640</v>
      </c>
    </row>
    <row r="23" spans="1:12" x14ac:dyDescent="0.25">
      <c r="A23" s="39" t="s">
        <v>371</v>
      </c>
      <c r="B23" s="39" t="s">
        <v>370</v>
      </c>
      <c r="C23" s="42">
        <v>429703.2</v>
      </c>
      <c r="D23" s="42">
        <v>488130</v>
      </c>
      <c r="E23" s="42">
        <v>632140</v>
      </c>
      <c r="F23" s="42">
        <v>803160</v>
      </c>
      <c r="G23" s="42">
        <v>812240</v>
      </c>
      <c r="H23" s="42">
        <v>921310</v>
      </c>
      <c r="I23" s="42">
        <v>902370</v>
      </c>
      <c r="J23" s="42">
        <v>992800</v>
      </c>
      <c r="K23" s="42">
        <v>1083100</v>
      </c>
      <c r="L23" s="42">
        <v>1102700</v>
      </c>
    </row>
    <row r="24" spans="1:12" x14ac:dyDescent="0.25">
      <c r="A24" s="32" t="s">
        <v>369</v>
      </c>
      <c r="B24" s="32" t="s">
        <v>368</v>
      </c>
      <c r="C24" s="30">
        <v>103643.7</v>
      </c>
      <c r="D24" s="30">
        <v>121424.9</v>
      </c>
      <c r="E24" s="30">
        <v>117900</v>
      </c>
      <c r="F24" s="30">
        <v>117410</v>
      </c>
      <c r="G24" s="30">
        <v>116000</v>
      </c>
      <c r="H24" s="30">
        <v>116500</v>
      </c>
      <c r="I24" s="30">
        <v>198410</v>
      </c>
      <c r="J24" s="30">
        <v>197680</v>
      </c>
      <c r="K24" s="30">
        <v>196150</v>
      </c>
      <c r="L24" s="30">
        <v>191550</v>
      </c>
    </row>
    <row r="25" spans="1:12" x14ac:dyDescent="0.25">
      <c r="A25" s="32" t="s">
        <v>367</v>
      </c>
      <c r="B25" s="32" t="s">
        <v>366</v>
      </c>
      <c r="C25" s="30" t="s">
        <v>70</v>
      </c>
      <c r="D25" s="30">
        <v>193903.2</v>
      </c>
      <c r="E25" s="30" t="s">
        <v>70</v>
      </c>
      <c r="F25" s="30" t="s">
        <v>70</v>
      </c>
      <c r="G25" s="30" t="s">
        <v>70</v>
      </c>
      <c r="H25" s="30" t="s">
        <v>70</v>
      </c>
      <c r="I25" s="30">
        <v>353440</v>
      </c>
      <c r="J25" s="30" t="s">
        <v>70</v>
      </c>
      <c r="K25" s="30">
        <v>391410</v>
      </c>
      <c r="L25" s="30" t="s">
        <v>70</v>
      </c>
    </row>
    <row r="26" spans="1:12" x14ac:dyDescent="0.25">
      <c r="A26" s="32" t="s">
        <v>365</v>
      </c>
      <c r="B26" s="32" t="s">
        <v>364</v>
      </c>
      <c r="C26" s="30" t="s">
        <v>70</v>
      </c>
      <c r="D26" s="30">
        <v>72478.3</v>
      </c>
      <c r="E26" s="30" t="s">
        <v>70</v>
      </c>
      <c r="F26" s="30" t="s">
        <v>70</v>
      </c>
      <c r="G26" s="30" t="s">
        <v>70</v>
      </c>
      <c r="H26" s="30" t="s">
        <v>70</v>
      </c>
      <c r="I26" s="30">
        <v>155030</v>
      </c>
      <c r="J26" s="30" t="s">
        <v>70</v>
      </c>
      <c r="K26" s="30">
        <v>195260</v>
      </c>
      <c r="L26" s="30" t="s">
        <v>70</v>
      </c>
    </row>
    <row r="27" spans="1:12" x14ac:dyDescent="0.25">
      <c r="A27" s="32" t="s">
        <v>363</v>
      </c>
      <c r="B27" s="32" t="s">
        <v>362</v>
      </c>
      <c r="C27" s="30">
        <v>22900.9</v>
      </c>
      <c r="D27" s="30">
        <v>1691.8</v>
      </c>
      <c r="E27" s="30">
        <v>3430</v>
      </c>
      <c r="F27" s="30">
        <v>4110</v>
      </c>
      <c r="G27" s="30">
        <v>3950</v>
      </c>
      <c r="H27" s="30">
        <v>3340</v>
      </c>
      <c r="I27" s="30">
        <v>2900</v>
      </c>
      <c r="J27" s="30">
        <v>2680</v>
      </c>
      <c r="K27" s="30">
        <v>3680</v>
      </c>
      <c r="L27" s="30">
        <v>4150</v>
      </c>
    </row>
    <row r="28" spans="1:12" x14ac:dyDescent="0.25">
      <c r="A28" s="32" t="s">
        <v>361</v>
      </c>
      <c r="B28" s="32" t="s">
        <v>360</v>
      </c>
      <c r="C28" s="30">
        <v>22900.9</v>
      </c>
      <c r="D28" s="30">
        <v>1691.8</v>
      </c>
      <c r="E28" s="30">
        <v>3430</v>
      </c>
      <c r="F28" s="30">
        <v>3440</v>
      </c>
      <c r="G28" s="30">
        <v>3010</v>
      </c>
      <c r="H28" s="30">
        <v>2390</v>
      </c>
      <c r="I28" s="30">
        <v>2160</v>
      </c>
      <c r="J28" s="30">
        <v>2130</v>
      </c>
      <c r="K28" s="30">
        <v>2230</v>
      </c>
      <c r="L28" s="30">
        <v>2660</v>
      </c>
    </row>
    <row r="29" spans="1:12" x14ac:dyDescent="0.25">
      <c r="A29" s="32" t="s">
        <v>359</v>
      </c>
      <c r="B29" s="32" t="s">
        <v>358</v>
      </c>
      <c r="C29" s="30" t="s">
        <v>70</v>
      </c>
      <c r="D29" s="30" t="s">
        <v>70</v>
      </c>
      <c r="E29" s="30" t="s">
        <v>70</v>
      </c>
      <c r="F29" s="30">
        <v>670</v>
      </c>
      <c r="G29" s="30">
        <v>940</v>
      </c>
      <c r="H29" s="30">
        <v>950</v>
      </c>
      <c r="I29" s="30">
        <v>740</v>
      </c>
      <c r="J29" s="30">
        <v>550</v>
      </c>
      <c r="K29" s="30">
        <v>1450</v>
      </c>
      <c r="L29" s="30">
        <v>1490</v>
      </c>
    </row>
    <row r="30" spans="1:12" x14ac:dyDescent="0.25">
      <c r="A30" s="32" t="s">
        <v>357</v>
      </c>
      <c r="B30" s="32" t="s">
        <v>356</v>
      </c>
      <c r="C30" s="30">
        <v>132877.5</v>
      </c>
      <c r="D30" s="30">
        <v>125362.1</v>
      </c>
      <c r="E30" s="30">
        <v>158660</v>
      </c>
      <c r="F30" s="30">
        <v>128850</v>
      </c>
      <c r="G30" s="30">
        <v>151900</v>
      </c>
      <c r="H30" s="30">
        <v>129380</v>
      </c>
      <c r="I30" s="30">
        <v>105310</v>
      </c>
      <c r="J30" s="30">
        <v>135650</v>
      </c>
      <c r="K30" s="30">
        <v>132210</v>
      </c>
      <c r="L30" s="30">
        <v>159290</v>
      </c>
    </row>
    <row r="31" spans="1:12" x14ac:dyDescent="0.25">
      <c r="A31" s="32" t="s">
        <v>355</v>
      </c>
      <c r="B31" s="32" t="s">
        <v>354</v>
      </c>
      <c r="C31" s="30">
        <v>41568.400000000001</v>
      </c>
      <c r="D31" s="30">
        <v>22620.5</v>
      </c>
      <c r="E31" s="30">
        <v>39460</v>
      </c>
      <c r="F31" s="30">
        <v>37680</v>
      </c>
      <c r="G31" s="30">
        <v>38960</v>
      </c>
      <c r="H31" s="30">
        <v>40130</v>
      </c>
      <c r="I31" s="30">
        <v>19930</v>
      </c>
      <c r="J31" s="30">
        <v>44280</v>
      </c>
      <c r="K31" s="30">
        <v>28880</v>
      </c>
      <c r="L31" s="30">
        <v>48730</v>
      </c>
    </row>
    <row r="32" spans="1:12" x14ac:dyDescent="0.25">
      <c r="A32" s="46" t="s">
        <v>353</v>
      </c>
      <c r="B32" s="46" t="s">
        <v>352</v>
      </c>
      <c r="C32" s="44">
        <v>39796.800000000003</v>
      </c>
      <c r="D32" s="44">
        <v>20932.2</v>
      </c>
      <c r="E32" s="44">
        <v>38120</v>
      </c>
      <c r="F32" s="44">
        <v>37210</v>
      </c>
      <c r="G32" s="44">
        <v>38840</v>
      </c>
      <c r="H32" s="44">
        <v>38340</v>
      </c>
      <c r="I32" s="44">
        <v>17100</v>
      </c>
      <c r="J32" s="44">
        <v>39480</v>
      </c>
      <c r="K32" s="44">
        <v>17870</v>
      </c>
      <c r="L32" s="44">
        <v>40060</v>
      </c>
    </row>
    <row r="33" spans="1:12" x14ac:dyDescent="0.25">
      <c r="A33" s="46" t="s">
        <v>351</v>
      </c>
      <c r="B33" s="46" t="s">
        <v>350</v>
      </c>
      <c r="C33" s="44">
        <v>1771.6</v>
      </c>
      <c r="D33" s="44">
        <v>1688.3</v>
      </c>
      <c r="E33" s="44">
        <v>1340</v>
      </c>
      <c r="F33" s="44">
        <v>470</v>
      </c>
      <c r="G33" s="44">
        <v>120</v>
      </c>
      <c r="H33" s="44">
        <v>1790</v>
      </c>
      <c r="I33" s="44">
        <v>2830</v>
      </c>
      <c r="J33" s="44">
        <v>4800</v>
      </c>
      <c r="K33" s="44">
        <v>11010</v>
      </c>
      <c r="L33" s="44">
        <v>8670</v>
      </c>
    </row>
    <row r="34" spans="1:12" x14ac:dyDescent="0.25">
      <c r="A34" s="32" t="s">
        <v>349</v>
      </c>
      <c r="B34" s="32" t="s">
        <v>348</v>
      </c>
      <c r="C34" s="30" t="s">
        <v>70</v>
      </c>
      <c r="D34" s="30" t="s">
        <v>70</v>
      </c>
      <c r="E34" s="30" t="s">
        <v>70</v>
      </c>
      <c r="F34" s="30" t="s">
        <v>70</v>
      </c>
      <c r="G34" s="30" t="s">
        <v>70</v>
      </c>
      <c r="H34" s="30" t="s">
        <v>70</v>
      </c>
      <c r="I34" s="30">
        <v>8390</v>
      </c>
      <c r="J34" s="30" t="s">
        <v>70</v>
      </c>
      <c r="K34" s="30">
        <v>12910</v>
      </c>
      <c r="L34" s="30" t="s">
        <v>70</v>
      </c>
    </row>
    <row r="35" spans="1:12" x14ac:dyDescent="0.25">
      <c r="A35" s="32" t="s">
        <v>347</v>
      </c>
      <c r="B35" s="32" t="s">
        <v>346</v>
      </c>
      <c r="C35" s="30">
        <v>23060</v>
      </c>
      <c r="D35" s="30">
        <v>5939.4</v>
      </c>
      <c r="E35" s="30">
        <v>28820</v>
      </c>
      <c r="F35" s="30">
        <v>28050</v>
      </c>
      <c r="G35" s="30">
        <v>34230</v>
      </c>
      <c r="H35" s="30">
        <v>26320</v>
      </c>
      <c r="I35" s="30">
        <v>28280</v>
      </c>
      <c r="J35" s="30">
        <v>39030</v>
      </c>
      <c r="K35" s="30">
        <v>37080</v>
      </c>
      <c r="L35" s="30">
        <v>32770</v>
      </c>
    </row>
    <row r="36" spans="1:12" x14ac:dyDescent="0.25">
      <c r="A36" s="32" t="s">
        <v>345</v>
      </c>
      <c r="B36" s="32" t="s">
        <v>344</v>
      </c>
      <c r="C36" s="30">
        <v>0</v>
      </c>
      <c r="D36" s="30">
        <v>0</v>
      </c>
      <c r="E36" s="30">
        <v>0</v>
      </c>
      <c r="F36" s="30">
        <v>0</v>
      </c>
      <c r="G36" s="30">
        <v>0</v>
      </c>
      <c r="H36" s="30">
        <v>0</v>
      </c>
      <c r="I36" s="30">
        <v>0</v>
      </c>
      <c r="J36" s="30">
        <v>0</v>
      </c>
      <c r="K36" s="30">
        <v>0</v>
      </c>
      <c r="L36" s="30">
        <v>0</v>
      </c>
    </row>
    <row r="37" spans="1:12" x14ac:dyDescent="0.25">
      <c r="A37" s="32" t="s">
        <v>343</v>
      </c>
      <c r="B37" s="32" t="s">
        <v>342</v>
      </c>
      <c r="C37" s="30">
        <v>68249.100000000006</v>
      </c>
      <c r="D37" s="30">
        <v>96802.2</v>
      </c>
      <c r="E37" s="30">
        <v>90380</v>
      </c>
      <c r="F37" s="30">
        <v>63120</v>
      </c>
      <c r="G37" s="30">
        <v>78710</v>
      </c>
      <c r="H37" s="30">
        <v>62930</v>
      </c>
      <c r="I37" s="30">
        <v>48710</v>
      </c>
      <c r="J37" s="30">
        <v>52340</v>
      </c>
      <c r="K37" s="30">
        <v>53340</v>
      </c>
      <c r="L37" s="30">
        <v>77790</v>
      </c>
    </row>
    <row r="38" spans="1:12" x14ac:dyDescent="0.25">
      <c r="A38" s="39" t="s">
        <v>341</v>
      </c>
      <c r="B38" s="39" t="s">
        <v>340</v>
      </c>
      <c r="C38" s="42">
        <v>259422.1</v>
      </c>
      <c r="D38" s="42">
        <v>248478.8</v>
      </c>
      <c r="E38" s="42">
        <v>279990</v>
      </c>
      <c r="F38" s="42">
        <v>250370</v>
      </c>
      <c r="G38" s="42">
        <v>271850</v>
      </c>
      <c r="H38" s="42">
        <v>249220</v>
      </c>
      <c r="I38" s="42">
        <v>306620</v>
      </c>
      <c r="J38" s="42">
        <v>336010</v>
      </c>
      <c r="K38" s="42">
        <v>332040</v>
      </c>
      <c r="L38" s="42">
        <v>354990</v>
      </c>
    </row>
    <row r="39" spans="1:12" x14ac:dyDescent="0.25">
      <c r="A39" s="39" t="s">
        <v>339</v>
      </c>
      <c r="B39" s="39" t="s">
        <v>338</v>
      </c>
      <c r="C39" s="42">
        <v>689125.3</v>
      </c>
      <c r="D39" s="42">
        <v>736608.8</v>
      </c>
      <c r="E39" s="42">
        <v>912130</v>
      </c>
      <c r="F39" s="42">
        <v>1053530</v>
      </c>
      <c r="G39" s="42">
        <v>1084090</v>
      </c>
      <c r="H39" s="42">
        <v>1170530</v>
      </c>
      <c r="I39" s="42">
        <v>1208990</v>
      </c>
      <c r="J39" s="42">
        <v>1328810</v>
      </c>
      <c r="K39" s="42">
        <v>1415140</v>
      </c>
      <c r="L39" s="42">
        <v>1457690</v>
      </c>
    </row>
    <row r="40" spans="1:12" x14ac:dyDescent="0.25">
      <c r="A40" s="39"/>
      <c r="B40" s="37"/>
      <c r="C40" s="37"/>
      <c r="D40" s="37"/>
      <c r="E40" s="37"/>
      <c r="F40" s="37"/>
      <c r="G40" s="37"/>
      <c r="H40" s="37"/>
      <c r="I40" s="37"/>
      <c r="J40" s="37"/>
      <c r="K40" s="37"/>
      <c r="L40" s="37"/>
    </row>
    <row r="41" spans="1:12" x14ac:dyDescent="0.25">
      <c r="A41" s="39" t="s">
        <v>337</v>
      </c>
      <c r="B41" s="37"/>
      <c r="C41" s="37"/>
      <c r="D41" s="37"/>
      <c r="E41" s="37"/>
      <c r="F41" s="37"/>
      <c r="G41" s="37"/>
      <c r="H41" s="37"/>
      <c r="I41" s="37"/>
      <c r="J41" s="37"/>
      <c r="K41" s="37"/>
      <c r="L41" s="37"/>
    </row>
    <row r="42" spans="1:12" x14ac:dyDescent="0.25">
      <c r="A42" s="32" t="s">
        <v>336</v>
      </c>
      <c r="B42" s="32" t="s">
        <v>335</v>
      </c>
      <c r="C42" s="30">
        <v>72536.2</v>
      </c>
      <c r="D42" s="30">
        <v>89207</v>
      </c>
      <c r="E42" s="30">
        <v>99810</v>
      </c>
      <c r="F42" s="30">
        <v>81790</v>
      </c>
      <c r="G42" s="30">
        <v>85330</v>
      </c>
      <c r="H42" s="30">
        <v>113150</v>
      </c>
      <c r="I42" s="30">
        <v>166300</v>
      </c>
      <c r="J42" s="30">
        <v>176010</v>
      </c>
      <c r="K42" s="30">
        <v>284170</v>
      </c>
      <c r="L42" s="30">
        <v>239250</v>
      </c>
    </row>
    <row r="43" spans="1:12" x14ac:dyDescent="0.25">
      <c r="A43" s="32" t="s">
        <v>334</v>
      </c>
      <c r="B43" s="32" t="s">
        <v>333</v>
      </c>
      <c r="C43" s="30">
        <v>55365.4</v>
      </c>
      <c r="D43" s="30">
        <v>88309.3</v>
      </c>
      <c r="E43" s="30">
        <v>75410</v>
      </c>
      <c r="F43" s="30">
        <v>49050</v>
      </c>
      <c r="G43" s="30">
        <v>50940</v>
      </c>
      <c r="H43" s="30">
        <v>62920</v>
      </c>
      <c r="I43" s="30">
        <v>67400</v>
      </c>
      <c r="J43" s="30">
        <v>78600</v>
      </c>
      <c r="K43" s="30">
        <v>80450</v>
      </c>
      <c r="L43" s="30">
        <v>105150</v>
      </c>
    </row>
    <row r="44" spans="1:12" x14ac:dyDescent="0.25">
      <c r="A44" s="32" t="s">
        <v>332</v>
      </c>
      <c r="B44" s="32" t="s">
        <v>331</v>
      </c>
      <c r="C44" s="30">
        <v>6701.8</v>
      </c>
      <c r="D44" s="30" t="s">
        <v>70</v>
      </c>
      <c r="E44" s="30">
        <v>8050</v>
      </c>
      <c r="F44" s="30">
        <v>14120</v>
      </c>
      <c r="G44" s="30">
        <v>14210</v>
      </c>
      <c r="H44" s="30">
        <v>26670</v>
      </c>
      <c r="I44" s="30">
        <v>65860</v>
      </c>
      <c r="J44" s="30">
        <v>62430</v>
      </c>
      <c r="K44" s="30">
        <v>157450</v>
      </c>
      <c r="L44" s="30">
        <v>93450</v>
      </c>
    </row>
    <row r="45" spans="1:12" x14ac:dyDescent="0.25">
      <c r="A45" s="32" t="s">
        <v>330</v>
      </c>
      <c r="B45" s="32" t="s">
        <v>329</v>
      </c>
      <c r="C45" s="30" t="s">
        <v>70</v>
      </c>
      <c r="D45" s="30">
        <v>4.8</v>
      </c>
      <c r="E45" s="30" t="s">
        <v>70</v>
      </c>
      <c r="F45" s="30" t="s">
        <v>70</v>
      </c>
      <c r="G45" s="30" t="s">
        <v>70</v>
      </c>
      <c r="H45" s="30" t="s">
        <v>70</v>
      </c>
      <c r="I45" s="30">
        <v>530</v>
      </c>
      <c r="J45" s="30" t="s">
        <v>70</v>
      </c>
      <c r="K45" s="30">
        <v>460</v>
      </c>
      <c r="L45" s="30" t="s">
        <v>70</v>
      </c>
    </row>
    <row r="46" spans="1:12" x14ac:dyDescent="0.25">
      <c r="A46" s="32" t="s">
        <v>328</v>
      </c>
      <c r="B46" s="32" t="s">
        <v>327</v>
      </c>
      <c r="C46" s="30">
        <v>10469</v>
      </c>
      <c r="D46" s="30">
        <v>892.9</v>
      </c>
      <c r="E46" s="30">
        <v>16350</v>
      </c>
      <c r="F46" s="30">
        <v>18620</v>
      </c>
      <c r="G46" s="30">
        <v>20180</v>
      </c>
      <c r="H46" s="30">
        <v>23560</v>
      </c>
      <c r="I46" s="30">
        <v>32510</v>
      </c>
      <c r="J46" s="30">
        <v>34980</v>
      </c>
      <c r="K46" s="30">
        <v>45810</v>
      </c>
      <c r="L46" s="30">
        <v>40650</v>
      </c>
    </row>
    <row r="47" spans="1:12" x14ac:dyDescent="0.25">
      <c r="A47" s="32" t="s">
        <v>326</v>
      </c>
      <c r="B47" s="32" t="s">
        <v>325</v>
      </c>
      <c r="C47" s="30">
        <v>1696.1</v>
      </c>
      <c r="D47" s="30">
        <v>2434.3000000000002</v>
      </c>
      <c r="E47" s="30">
        <v>1620</v>
      </c>
      <c r="F47" s="30">
        <v>2180</v>
      </c>
      <c r="G47" s="30">
        <v>1930</v>
      </c>
      <c r="H47" s="30">
        <v>180</v>
      </c>
      <c r="I47" s="30">
        <v>12700</v>
      </c>
      <c r="J47" s="30">
        <v>12920</v>
      </c>
      <c r="K47" s="30">
        <v>14500</v>
      </c>
      <c r="L47" s="30">
        <v>14850</v>
      </c>
    </row>
    <row r="48" spans="1:12" x14ac:dyDescent="0.25">
      <c r="A48" s="32" t="s">
        <v>324</v>
      </c>
      <c r="B48" s="32" t="s">
        <v>323</v>
      </c>
      <c r="C48" s="30">
        <v>1696.1</v>
      </c>
      <c r="D48" s="30">
        <v>1860.3</v>
      </c>
      <c r="E48" s="30">
        <v>1620</v>
      </c>
      <c r="F48" s="30">
        <v>2180</v>
      </c>
      <c r="G48" s="30">
        <v>1930</v>
      </c>
      <c r="H48" s="30">
        <v>180</v>
      </c>
      <c r="I48" s="30">
        <v>12680</v>
      </c>
      <c r="J48" s="30">
        <v>0</v>
      </c>
      <c r="K48" s="30" t="s">
        <v>70</v>
      </c>
      <c r="L48" s="30">
        <v>0</v>
      </c>
    </row>
    <row r="49" spans="1:12" x14ac:dyDescent="0.25">
      <c r="A49" s="32" t="s">
        <v>322</v>
      </c>
      <c r="B49" s="32" t="s">
        <v>321</v>
      </c>
      <c r="C49" s="30">
        <v>0</v>
      </c>
      <c r="D49" s="30">
        <v>574</v>
      </c>
      <c r="E49" s="30">
        <v>0</v>
      </c>
      <c r="F49" s="30">
        <v>0</v>
      </c>
      <c r="G49" s="30">
        <v>0</v>
      </c>
      <c r="H49" s="30" t="s">
        <v>70</v>
      </c>
      <c r="I49" s="30">
        <v>20</v>
      </c>
      <c r="J49" s="30">
        <v>12920</v>
      </c>
      <c r="K49" s="30">
        <v>14500</v>
      </c>
      <c r="L49" s="30">
        <v>14850</v>
      </c>
    </row>
    <row r="50" spans="1:12" x14ac:dyDescent="0.25">
      <c r="A50" s="46" t="s">
        <v>320</v>
      </c>
      <c r="B50" s="46" t="s">
        <v>319</v>
      </c>
      <c r="C50" s="44">
        <v>0</v>
      </c>
      <c r="D50" s="44">
        <v>574</v>
      </c>
      <c r="E50" s="44">
        <v>0</v>
      </c>
      <c r="F50" s="44">
        <v>0</v>
      </c>
      <c r="G50" s="44">
        <v>0</v>
      </c>
      <c r="H50" s="44" t="s">
        <v>70</v>
      </c>
      <c r="I50" s="44" t="s">
        <v>70</v>
      </c>
      <c r="J50" s="44" t="s">
        <v>70</v>
      </c>
      <c r="K50" s="44" t="s">
        <v>70</v>
      </c>
      <c r="L50" s="44" t="s">
        <v>70</v>
      </c>
    </row>
    <row r="51" spans="1:12" x14ac:dyDescent="0.25">
      <c r="A51" s="46" t="s">
        <v>318</v>
      </c>
      <c r="B51" s="46" t="s">
        <v>317</v>
      </c>
      <c r="C51" s="44" t="s">
        <v>70</v>
      </c>
      <c r="D51" s="44" t="s">
        <v>70</v>
      </c>
      <c r="E51" s="44" t="s">
        <v>70</v>
      </c>
      <c r="F51" s="44" t="s">
        <v>70</v>
      </c>
      <c r="G51" s="44" t="s">
        <v>70</v>
      </c>
      <c r="H51" s="44" t="s">
        <v>70</v>
      </c>
      <c r="I51" s="44">
        <v>20</v>
      </c>
      <c r="J51" s="44" t="s">
        <v>70</v>
      </c>
      <c r="K51" s="44" t="s">
        <v>70</v>
      </c>
      <c r="L51" s="44" t="s">
        <v>70</v>
      </c>
    </row>
    <row r="52" spans="1:12" x14ac:dyDescent="0.25">
      <c r="A52" s="32" t="s">
        <v>316</v>
      </c>
      <c r="B52" s="32" t="s">
        <v>315</v>
      </c>
      <c r="C52" s="30">
        <v>36519.300000000003</v>
      </c>
      <c r="D52" s="30">
        <v>111541.1</v>
      </c>
      <c r="E52" s="30">
        <v>54260</v>
      </c>
      <c r="F52" s="30">
        <v>61150</v>
      </c>
      <c r="G52" s="30">
        <v>91020</v>
      </c>
      <c r="H52" s="30">
        <v>107510</v>
      </c>
      <c r="I52" s="30">
        <v>91600</v>
      </c>
      <c r="J52" s="30">
        <v>152620</v>
      </c>
      <c r="K52" s="30">
        <v>124840</v>
      </c>
      <c r="L52" s="30">
        <v>181480</v>
      </c>
    </row>
    <row r="53" spans="1:12" x14ac:dyDescent="0.25">
      <c r="A53" s="32" t="s">
        <v>292</v>
      </c>
      <c r="B53" s="32" t="s">
        <v>314</v>
      </c>
      <c r="C53" s="30">
        <v>10507.3</v>
      </c>
      <c r="D53" s="30">
        <v>0</v>
      </c>
      <c r="E53" s="30">
        <v>13590</v>
      </c>
      <c r="F53" s="30">
        <v>13980</v>
      </c>
      <c r="G53" s="30">
        <v>20320</v>
      </c>
      <c r="H53" s="30">
        <v>23920</v>
      </c>
      <c r="I53" s="30">
        <v>29150</v>
      </c>
      <c r="J53" s="30">
        <v>36500</v>
      </c>
      <c r="K53" s="30">
        <v>36350</v>
      </c>
      <c r="L53" s="30">
        <v>38430</v>
      </c>
    </row>
    <row r="54" spans="1:12" x14ac:dyDescent="0.25">
      <c r="A54" s="32" t="s">
        <v>288</v>
      </c>
      <c r="B54" s="32" t="s">
        <v>313</v>
      </c>
      <c r="C54" s="30" t="s">
        <v>70</v>
      </c>
      <c r="D54" s="30">
        <v>197.5</v>
      </c>
      <c r="E54" s="30" t="s">
        <v>70</v>
      </c>
      <c r="F54" s="30" t="s">
        <v>70</v>
      </c>
      <c r="G54" s="30" t="s">
        <v>70</v>
      </c>
      <c r="H54" s="30" t="s">
        <v>70</v>
      </c>
      <c r="I54" s="30" t="s">
        <v>70</v>
      </c>
      <c r="J54" s="30">
        <v>0</v>
      </c>
      <c r="K54" s="30" t="s">
        <v>70</v>
      </c>
      <c r="L54" s="30" t="s">
        <v>70</v>
      </c>
    </row>
    <row r="55" spans="1:12" x14ac:dyDescent="0.25">
      <c r="A55" s="32" t="s">
        <v>312</v>
      </c>
      <c r="B55" s="32" t="s">
        <v>311</v>
      </c>
      <c r="C55" s="30">
        <v>26012</v>
      </c>
      <c r="D55" s="30">
        <v>111343.6</v>
      </c>
      <c r="E55" s="30">
        <v>40670</v>
      </c>
      <c r="F55" s="30">
        <v>47170</v>
      </c>
      <c r="G55" s="30">
        <v>70700</v>
      </c>
      <c r="H55" s="30">
        <v>83590</v>
      </c>
      <c r="I55" s="30">
        <v>62450</v>
      </c>
      <c r="J55" s="30">
        <v>116120</v>
      </c>
      <c r="K55" s="30">
        <v>88490</v>
      </c>
      <c r="L55" s="30">
        <v>143050</v>
      </c>
    </row>
    <row r="56" spans="1:12" x14ac:dyDescent="0.25">
      <c r="A56" s="39" t="s">
        <v>310</v>
      </c>
      <c r="B56" s="39" t="s">
        <v>309</v>
      </c>
      <c r="C56" s="42">
        <v>110751.6</v>
      </c>
      <c r="D56" s="42">
        <v>203182.4</v>
      </c>
      <c r="E56" s="42">
        <v>155690</v>
      </c>
      <c r="F56" s="42">
        <v>145120</v>
      </c>
      <c r="G56" s="42">
        <v>178280</v>
      </c>
      <c r="H56" s="42">
        <v>220840</v>
      </c>
      <c r="I56" s="42">
        <v>270600</v>
      </c>
      <c r="J56" s="42">
        <v>341550</v>
      </c>
      <c r="K56" s="42">
        <v>423510</v>
      </c>
      <c r="L56" s="42">
        <v>435580</v>
      </c>
    </row>
    <row r="57" spans="1:12" x14ac:dyDescent="0.25">
      <c r="A57" s="32" t="s">
        <v>308</v>
      </c>
      <c r="B57" s="32" t="s">
        <v>307</v>
      </c>
      <c r="C57" s="30">
        <v>1272.5999999999999</v>
      </c>
      <c r="D57" s="30">
        <v>1142.7</v>
      </c>
      <c r="E57" s="30">
        <v>830</v>
      </c>
      <c r="F57" s="30">
        <v>710</v>
      </c>
      <c r="G57" s="30">
        <v>540</v>
      </c>
      <c r="H57" s="30">
        <v>440</v>
      </c>
      <c r="I57" s="30">
        <v>69060</v>
      </c>
      <c r="J57" s="30">
        <v>65030</v>
      </c>
      <c r="K57" s="30">
        <v>63680</v>
      </c>
      <c r="L57" s="30">
        <v>62030</v>
      </c>
    </row>
    <row r="58" spans="1:12" x14ac:dyDescent="0.25">
      <c r="A58" s="32" t="s">
        <v>306</v>
      </c>
      <c r="B58" s="32" t="s">
        <v>305</v>
      </c>
      <c r="C58" s="30">
        <v>1272.5999999999999</v>
      </c>
      <c r="D58" s="30">
        <v>5.8</v>
      </c>
      <c r="E58" s="30">
        <v>830</v>
      </c>
      <c r="F58" s="30">
        <v>710</v>
      </c>
      <c r="G58" s="30">
        <v>540</v>
      </c>
      <c r="H58" s="30">
        <v>440</v>
      </c>
      <c r="I58" s="30">
        <v>0</v>
      </c>
      <c r="J58" s="30">
        <v>0</v>
      </c>
      <c r="K58" s="30" t="s">
        <v>70</v>
      </c>
      <c r="L58" s="30">
        <v>0</v>
      </c>
    </row>
    <row r="59" spans="1:12" x14ac:dyDescent="0.25">
      <c r="A59" s="32" t="s">
        <v>304</v>
      </c>
      <c r="B59" s="32" t="s">
        <v>303</v>
      </c>
      <c r="C59" s="30">
        <v>0</v>
      </c>
      <c r="D59" s="30">
        <v>1136.9000000000001</v>
      </c>
      <c r="E59" s="30">
        <v>0</v>
      </c>
      <c r="F59" s="30">
        <v>0</v>
      </c>
      <c r="G59" s="30">
        <v>0</v>
      </c>
      <c r="H59" s="30" t="s">
        <v>70</v>
      </c>
      <c r="I59" s="30">
        <v>69060</v>
      </c>
      <c r="J59" s="30">
        <v>65030</v>
      </c>
      <c r="K59" s="30">
        <v>63680</v>
      </c>
      <c r="L59" s="30">
        <v>62030</v>
      </c>
    </row>
    <row r="60" spans="1:12" x14ac:dyDescent="0.25">
      <c r="A60" s="46" t="s">
        <v>302</v>
      </c>
      <c r="B60" s="46" t="s">
        <v>301</v>
      </c>
      <c r="C60" s="44">
        <v>0</v>
      </c>
      <c r="D60" s="44">
        <v>1136.9000000000001</v>
      </c>
      <c r="E60" s="44">
        <v>0</v>
      </c>
      <c r="F60" s="44">
        <v>0</v>
      </c>
      <c r="G60" s="44">
        <v>0</v>
      </c>
      <c r="H60" s="44" t="s">
        <v>70</v>
      </c>
      <c r="I60" s="44" t="s">
        <v>70</v>
      </c>
      <c r="J60" s="44" t="s">
        <v>70</v>
      </c>
      <c r="K60" s="44" t="s">
        <v>70</v>
      </c>
      <c r="L60" s="44" t="s">
        <v>70</v>
      </c>
    </row>
    <row r="61" spans="1:12" x14ac:dyDescent="0.25">
      <c r="A61" s="32" t="s">
        <v>300</v>
      </c>
      <c r="B61" s="32" t="s">
        <v>299</v>
      </c>
      <c r="C61" s="30">
        <v>16844.5</v>
      </c>
      <c r="D61" s="30">
        <v>14658.5</v>
      </c>
      <c r="E61" s="30">
        <v>20170</v>
      </c>
      <c r="F61" s="30">
        <v>20890</v>
      </c>
      <c r="G61" s="30">
        <v>28840</v>
      </c>
      <c r="H61" s="30">
        <v>29160</v>
      </c>
      <c r="I61" s="30">
        <v>21840</v>
      </c>
      <c r="J61" s="30">
        <v>29930</v>
      </c>
      <c r="K61" s="30">
        <v>29490</v>
      </c>
      <c r="L61" s="30">
        <v>26840</v>
      </c>
    </row>
    <row r="62" spans="1:12" x14ac:dyDescent="0.25">
      <c r="A62" s="32" t="s">
        <v>298</v>
      </c>
      <c r="B62" s="32" t="s">
        <v>297</v>
      </c>
      <c r="C62" s="30">
        <v>0</v>
      </c>
      <c r="D62" s="30">
        <v>0</v>
      </c>
      <c r="E62" s="30">
        <v>0</v>
      </c>
      <c r="F62" s="30" t="s">
        <v>70</v>
      </c>
      <c r="G62" s="30" t="s">
        <v>70</v>
      </c>
      <c r="H62" s="30" t="s">
        <v>70</v>
      </c>
      <c r="I62" s="30" t="s">
        <v>70</v>
      </c>
      <c r="J62" s="30">
        <v>0</v>
      </c>
      <c r="K62" s="30" t="s">
        <v>70</v>
      </c>
      <c r="L62" s="30">
        <v>0</v>
      </c>
    </row>
    <row r="63" spans="1:12" x14ac:dyDescent="0.25">
      <c r="A63" s="32" t="s">
        <v>296</v>
      </c>
      <c r="B63" s="32" t="s">
        <v>295</v>
      </c>
      <c r="C63" s="30">
        <v>2749.1</v>
      </c>
      <c r="D63" s="30" t="s">
        <v>70</v>
      </c>
      <c r="E63" s="30">
        <v>2370</v>
      </c>
      <c r="F63" s="30">
        <v>2450</v>
      </c>
      <c r="G63" s="30">
        <v>2900</v>
      </c>
      <c r="H63" s="30">
        <v>3300</v>
      </c>
      <c r="I63" s="30" t="s">
        <v>70</v>
      </c>
      <c r="J63" s="30">
        <v>7490</v>
      </c>
      <c r="K63" s="30" t="s">
        <v>70</v>
      </c>
      <c r="L63" s="30">
        <v>5360</v>
      </c>
    </row>
    <row r="64" spans="1:12" x14ac:dyDescent="0.25">
      <c r="A64" s="32" t="s">
        <v>294</v>
      </c>
      <c r="B64" s="32" t="s">
        <v>293</v>
      </c>
      <c r="C64" s="30" t="s">
        <v>70</v>
      </c>
      <c r="D64" s="30" t="s">
        <v>70</v>
      </c>
      <c r="E64" s="30" t="s">
        <v>70</v>
      </c>
      <c r="F64" s="30" t="s">
        <v>70</v>
      </c>
      <c r="G64" s="30" t="s">
        <v>70</v>
      </c>
      <c r="H64" s="30" t="s">
        <v>70</v>
      </c>
      <c r="I64" s="30">
        <v>4170</v>
      </c>
      <c r="J64" s="30" t="s">
        <v>70</v>
      </c>
      <c r="K64" s="30">
        <v>6770</v>
      </c>
      <c r="L64" s="30" t="s">
        <v>70</v>
      </c>
    </row>
    <row r="65" spans="1:12" x14ac:dyDescent="0.25">
      <c r="A65" s="32" t="s">
        <v>292</v>
      </c>
      <c r="B65" s="32" t="s">
        <v>291</v>
      </c>
      <c r="C65" s="30">
        <v>0</v>
      </c>
      <c r="D65" s="30">
        <v>0</v>
      </c>
      <c r="E65" s="30">
        <v>0</v>
      </c>
      <c r="F65" s="30">
        <v>0</v>
      </c>
      <c r="G65" s="30">
        <v>5030</v>
      </c>
      <c r="H65" s="30">
        <v>8440</v>
      </c>
      <c r="I65" s="30">
        <v>6970</v>
      </c>
      <c r="J65" s="30">
        <v>11970</v>
      </c>
      <c r="K65" s="30">
        <v>11100</v>
      </c>
      <c r="L65" s="30">
        <v>10030</v>
      </c>
    </row>
    <row r="66" spans="1:12" x14ac:dyDescent="0.25">
      <c r="A66" s="32" t="s">
        <v>290</v>
      </c>
      <c r="B66" s="32" t="s">
        <v>289</v>
      </c>
      <c r="C66" s="30">
        <v>5556.4</v>
      </c>
      <c r="D66" s="30">
        <v>3429.6</v>
      </c>
      <c r="E66" s="30">
        <v>8050</v>
      </c>
      <c r="F66" s="30">
        <v>9190</v>
      </c>
      <c r="G66" s="30">
        <v>11700</v>
      </c>
      <c r="H66" s="30">
        <v>10420</v>
      </c>
      <c r="I66" s="30">
        <v>7790</v>
      </c>
      <c r="J66" s="30">
        <v>7670</v>
      </c>
      <c r="K66" s="30">
        <v>5900</v>
      </c>
      <c r="L66" s="30">
        <v>7920</v>
      </c>
    </row>
    <row r="67" spans="1:12" x14ac:dyDescent="0.25">
      <c r="A67" s="32" t="s">
        <v>288</v>
      </c>
      <c r="B67" s="32" t="s">
        <v>287</v>
      </c>
      <c r="C67" s="30" t="s">
        <v>70</v>
      </c>
      <c r="D67" s="30" t="s">
        <v>70</v>
      </c>
      <c r="E67" s="30" t="s">
        <v>70</v>
      </c>
      <c r="F67" s="30" t="s">
        <v>70</v>
      </c>
      <c r="G67" s="30" t="s">
        <v>70</v>
      </c>
      <c r="H67" s="30" t="s">
        <v>70</v>
      </c>
      <c r="I67" s="30" t="s">
        <v>70</v>
      </c>
      <c r="J67" s="30">
        <v>0</v>
      </c>
      <c r="K67" s="30" t="s">
        <v>70</v>
      </c>
      <c r="L67" s="30" t="s">
        <v>70</v>
      </c>
    </row>
    <row r="68" spans="1:12" x14ac:dyDescent="0.25">
      <c r="A68" s="32" t="s">
        <v>286</v>
      </c>
      <c r="B68" s="32" t="s">
        <v>285</v>
      </c>
      <c r="C68" s="30">
        <v>8539</v>
      </c>
      <c r="D68" s="30">
        <v>11228.9</v>
      </c>
      <c r="E68" s="30">
        <v>9750</v>
      </c>
      <c r="F68" s="30">
        <v>9250</v>
      </c>
      <c r="G68" s="30">
        <v>9210</v>
      </c>
      <c r="H68" s="30">
        <v>7000</v>
      </c>
      <c r="I68" s="30">
        <v>2910</v>
      </c>
      <c r="J68" s="30">
        <v>2800</v>
      </c>
      <c r="K68" s="30">
        <v>5720</v>
      </c>
      <c r="L68" s="30">
        <v>3530</v>
      </c>
    </row>
    <row r="69" spans="1:12" x14ac:dyDescent="0.25">
      <c r="A69" s="39" t="s">
        <v>284</v>
      </c>
      <c r="B69" s="39" t="s">
        <v>283</v>
      </c>
      <c r="C69" s="42">
        <v>18117.099999999999</v>
      </c>
      <c r="D69" s="42">
        <v>15801.2</v>
      </c>
      <c r="E69" s="42">
        <v>21000</v>
      </c>
      <c r="F69" s="42">
        <v>21600</v>
      </c>
      <c r="G69" s="42">
        <v>29380</v>
      </c>
      <c r="H69" s="42">
        <v>29600</v>
      </c>
      <c r="I69" s="42">
        <v>90900</v>
      </c>
      <c r="J69" s="42">
        <v>94960</v>
      </c>
      <c r="K69" s="42">
        <v>93170</v>
      </c>
      <c r="L69" s="42">
        <v>88870</v>
      </c>
    </row>
    <row r="70" spans="1:12" x14ac:dyDescent="0.25">
      <c r="A70" s="39" t="s">
        <v>282</v>
      </c>
      <c r="B70" s="39" t="s">
        <v>281</v>
      </c>
      <c r="C70" s="42">
        <v>128868.7</v>
      </c>
      <c r="D70" s="42">
        <v>218983.6</v>
      </c>
      <c r="E70" s="42">
        <v>176690</v>
      </c>
      <c r="F70" s="42">
        <v>166720</v>
      </c>
      <c r="G70" s="42">
        <v>207660</v>
      </c>
      <c r="H70" s="42">
        <v>250440</v>
      </c>
      <c r="I70" s="42">
        <v>361500</v>
      </c>
      <c r="J70" s="42">
        <v>436510</v>
      </c>
      <c r="K70" s="42">
        <v>516680</v>
      </c>
      <c r="L70" s="42">
        <v>524450</v>
      </c>
    </row>
    <row r="71" spans="1:12" x14ac:dyDescent="0.25">
      <c r="A71" s="32" t="s">
        <v>280</v>
      </c>
      <c r="B71" s="32" t="s">
        <v>279</v>
      </c>
      <c r="C71" s="30">
        <v>0</v>
      </c>
      <c r="D71" s="30">
        <v>0</v>
      </c>
      <c r="E71" s="30">
        <v>0</v>
      </c>
      <c r="F71" s="30">
        <v>0</v>
      </c>
      <c r="G71" s="30">
        <v>0</v>
      </c>
      <c r="H71" s="30">
        <v>0</v>
      </c>
      <c r="I71" s="30">
        <v>0</v>
      </c>
      <c r="J71" s="30">
        <v>0</v>
      </c>
      <c r="K71" s="30">
        <v>0</v>
      </c>
      <c r="L71" s="30">
        <v>0</v>
      </c>
    </row>
    <row r="72" spans="1:12" x14ac:dyDescent="0.25">
      <c r="A72" s="32" t="s">
        <v>278</v>
      </c>
      <c r="B72" s="32" t="s">
        <v>277</v>
      </c>
      <c r="C72" s="30">
        <v>21161.599999999999</v>
      </c>
      <c r="D72" s="30">
        <v>21147.4</v>
      </c>
      <c r="E72" s="30">
        <v>52790</v>
      </c>
      <c r="F72" s="30">
        <v>52790</v>
      </c>
      <c r="G72" s="30">
        <v>1910</v>
      </c>
      <c r="H72" s="30">
        <v>3750</v>
      </c>
      <c r="I72" s="30">
        <v>3750</v>
      </c>
      <c r="J72" s="30">
        <v>3700</v>
      </c>
      <c r="K72" s="30">
        <v>3660</v>
      </c>
      <c r="L72" s="30">
        <v>3660</v>
      </c>
    </row>
    <row r="73" spans="1:12" x14ac:dyDescent="0.25">
      <c r="A73" s="32" t="s">
        <v>276</v>
      </c>
      <c r="B73" s="32" t="s">
        <v>275</v>
      </c>
      <c r="C73" s="30">
        <v>1958.7</v>
      </c>
      <c r="D73" s="30">
        <v>1958.7</v>
      </c>
      <c r="E73" s="30">
        <v>1970</v>
      </c>
      <c r="F73" s="30">
        <v>1970</v>
      </c>
      <c r="G73" s="30">
        <v>1910</v>
      </c>
      <c r="H73" s="30">
        <v>3750</v>
      </c>
      <c r="I73" s="30">
        <v>3750</v>
      </c>
      <c r="J73" s="30">
        <v>3700</v>
      </c>
      <c r="K73" s="30">
        <v>3660</v>
      </c>
      <c r="L73" s="30">
        <v>3660</v>
      </c>
    </row>
    <row r="74" spans="1:12" x14ac:dyDescent="0.25">
      <c r="A74" s="32" t="s">
        <v>274</v>
      </c>
      <c r="B74" s="32" t="s">
        <v>273</v>
      </c>
      <c r="C74" s="30">
        <v>19202.900000000001</v>
      </c>
      <c r="D74" s="30">
        <v>19188.7</v>
      </c>
      <c r="E74" s="30">
        <v>50820</v>
      </c>
      <c r="F74" s="30">
        <v>50820</v>
      </c>
      <c r="G74" s="30">
        <v>0</v>
      </c>
      <c r="H74" s="30">
        <v>0</v>
      </c>
      <c r="I74" s="30">
        <v>0</v>
      </c>
      <c r="J74" s="30">
        <v>0</v>
      </c>
      <c r="K74" s="30">
        <v>0</v>
      </c>
      <c r="L74" s="30">
        <v>0</v>
      </c>
    </row>
    <row r="75" spans="1:12" x14ac:dyDescent="0.25">
      <c r="A75" s="32" t="s">
        <v>272</v>
      </c>
      <c r="B75" s="32" t="s">
        <v>271</v>
      </c>
      <c r="C75" s="30">
        <v>0</v>
      </c>
      <c r="D75" s="30">
        <v>0</v>
      </c>
      <c r="E75" s="30">
        <v>0</v>
      </c>
      <c r="F75" s="30">
        <v>0</v>
      </c>
      <c r="G75" s="30">
        <v>0</v>
      </c>
      <c r="H75" s="30">
        <v>0</v>
      </c>
      <c r="I75" s="30">
        <v>0</v>
      </c>
      <c r="J75" s="30">
        <v>0</v>
      </c>
      <c r="K75" s="30">
        <v>0</v>
      </c>
      <c r="L75" s="30">
        <v>0</v>
      </c>
    </row>
    <row r="76" spans="1:12" x14ac:dyDescent="0.25">
      <c r="A76" s="32" t="s">
        <v>270</v>
      </c>
      <c r="B76" s="32" t="s">
        <v>269</v>
      </c>
      <c r="C76" s="30">
        <v>517433.9</v>
      </c>
      <c r="D76" s="30">
        <v>391325.7</v>
      </c>
      <c r="E76" s="30">
        <v>664960</v>
      </c>
      <c r="F76" s="30">
        <v>814870</v>
      </c>
      <c r="G76" s="30">
        <v>842540</v>
      </c>
      <c r="H76" s="30">
        <v>886150</v>
      </c>
      <c r="I76" s="30">
        <v>791850</v>
      </c>
      <c r="J76" s="30">
        <v>827450</v>
      </c>
      <c r="K76" s="30">
        <v>783200</v>
      </c>
      <c r="L76" s="30">
        <v>775940</v>
      </c>
    </row>
    <row r="77" spans="1:12" x14ac:dyDescent="0.25">
      <c r="A77" s="32" t="s">
        <v>268</v>
      </c>
      <c r="B77" s="32" t="s">
        <v>267</v>
      </c>
      <c r="C77" s="30">
        <v>14756.5</v>
      </c>
      <c r="D77" s="30">
        <v>93874.5</v>
      </c>
      <c r="E77" s="30">
        <v>14140</v>
      </c>
      <c r="F77" s="30">
        <v>15490</v>
      </c>
      <c r="G77" s="30">
        <v>27960</v>
      </c>
      <c r="H77" s="30">
        <v>25660</v>
      </c>
      <c r="I77" s="30">
        <v>45660</v>
      </c>
      <c r="J77" s="30">
        <v>54400</v>
      </c>
      <c r="K77" s="30">
        <v>104530</v>
      </c>
      <c r="L77" s="30">
        <v>145820</v>
      </c>
    </row>
    <row r="78" spans="1:12" x14ac:dyDescent="0.25">
      <c r="A78" s="39" t="s">
        <v>266</v>
      </c>
      <c r="B78" s="39" t="s">
        <v>265</v>
      </c>
      <c r="C78" s="42">
        <v>553352</v>
      </c>
      <c r="D78" s="42">
        <v>506347.6</v>
      </c>
      <c r="E78" s="42">
        <v>731890</v>
      </c>
      <c r="F78" s="42">
        <v>883150</v>
      </c>
      <c r="G78" s="42">
        <v>872410</v>
      </c>
      <c r="H78" s="42">
        <v>915560</v>
      </c>
      <c r="I78" s="42">
        <v>841260</v>
      </c>
      <c r="J78" s="42">
        <v>885550</v>
      </c>
      <c r="K78" s="42">
        <v>891390</v>
      </c>
      <c r="L78" s="42">
        <v>925420</v>
      </c>
    </row>
    <row r="79" spans="1:12" x14ac:dyDescent="0.25">
      <c r="A79" s="32" t="s">
        <v>264</v>
      </c>
      <c r="B79" s="32" t="s">
        <v>263</v>
      </c>
      <c r="C79" s="30">
        <v>6904.6</v>
      </c>
      <c r="D79" s="30">
        <v>11277.6</v>
      </c>
      <c r="E79" s="30">
        <v>3550</v>
      </c>
      <c r="F79" s="30">
        <v>3660</v>
      </c>
      <c r="G79" s="30">
        <v>4020</v>
      </c>
      <c r="H79" s="30">
        <v>4530</v>
      </c>
      <c r="I79" s="30">
        <v>6230</v>
      </c>
      <c r="J79" s="30">
        <v>6750</v>
      </c>
      <c r="K79" s="30">
        <v>7070</v>
      </c>
      <c r="L79" s="30">
        <v>7820</v>
      </c>
    </row>
    <row r="80" spans="1:12" x14ac:dyDescent="0.25">
      <c r="A80" s="39" t="s">
        <v>262</v>
      </c>
      <c r="B80" s="39" t="s">
        <v>261</v>
      </c>
      <c r="C80" s="42">
        <v>560256.6</v>
      </c>
      <c r="D80" s="42">
        <v>517625.2</v>
      </c>
      <c r="E80" s="42">
        <v>735440</v>
      </c>
      <c r="F80" s="42">
        <v>886810</v>
      </c>
      <c r="G80" s="42">
        <v>876430</v>
      </c>
      <c r="H80" s="42">
        <v>920090</v>
      </c>
      <c r="I80" s="42">
        <v>847490</v>
      </c>
      <c r="J80" s="42">
        <v>892300</v>
      </c>
      <c r="K80" s="42">
        <v>898460</v>
      </c>
      <c r="L80" s="42">
        <v>933240</v>
      </c>
    </row>
    <row r="81" spans="1:12" x14ac:dyDescent="0.25">
      <c r="A81" s="39" t="s">
        <v>260</v>
      </c>
      <c r="B81" s="39" t="s">
        <v>259</v>
      </c>
      <c r="C81" s="42">
        <v>689125.3</v>
      </c>
      <c r="D81" s="42">
        <v>736608.8</v>
      </c>
      <c r="E81" s="42">
        <v>912130</v>
      </c>
      <c r="F81" s="42">
        <v>1053530</v>
      </c>
      <c r="G81" s="42">
        <v>1084090</v>
      </c>
      <c r="H81" s="42">
        <v>1170530</v>
      </c>
      <c r="I81" s="42">
        <v>1208990</v>
      </c>
      <c r="J81" s="42">
        <v>1328810</v>
      </c>
      <c r="K81" s="42">
        <v>1415140</v>
      </c>
      <c r="L81" s="42">
        <v>1457690</v>
      </c>
    </row>
    <row r="82" spans="1:12" x14ac:dyDescent="0.25">
      <c r="A82" s="39"/>
      <c r="B82" s="37"/>
      <c r="C82" s="37"/>
      <c r="D82" s="37"/>
      <c r="E82" s="37"/>
      <c r="F82" s="37"/>
      <c r="G82" s="37"/>
      <c r="H82" s="37"/>
      <c r="I82" s="37"/>
      <c r="J82" s="37"/>
      <c r="K82" s="37"/>
      <c r="L82" s="37"/>
    </row>
    <row r="83" spans="1:12" x14ac:dyDescent="0.25">
      <c r="A83" s="39" t="s">
        <v>99</v>
      </c>
      <c r="B83" s="37"/>
      <c r="C83" s="37"/>
      <c r="D83" s="37"/>
      <c r="E83" s="37"/>
      <c r="F83" s="37"/>
      <c r="G83" s="37"/>
      <c r="H83" s="37"/>
      <c r="I83" s="37"/>
      <c r="J83" s="37"/>
      <c r="K83" s="37"/>
      <c r="L83" s="37"/>
    </row>
    <row r="84" spans="1:12" x14ac:dyDescent="0.25">
      <c r="A84" s="32" t="s">
        <v>98</v>
      </c>
      <c r="B84" s="32" t="s">
        <v>97</v>
      </c>
      <c r="C84" s="35" t="s">
        <v>95</v>
      </c>
      <c r="D84" s="35" t="s">
        <v>96</v>
      </c>
      <c r="E84" s="35" t="s">
        <v>95</v>
      </c>
      <c r="F84" s="35" t="s">
        <v>95</v>
      </c>
      <c r="G84" s="35" t="s">
        <v>95</v>
      </c>
      <c r="H84" s="35" t="s">
        <v>95</v>
      </c>
      <c r="I84" s="35" t="s">
        <v>96</v>
      </c>
      <c r="J84" s="35" t="s">
        <v>95</v>
      </c>
      <c r="K84" s="35" t="s">
        <v>96</v>
      </c>
      <c r="L84" s="35" t="s">
        <v>95</v>
      </c>
    </row>
    <row r="85" spans="1:12" x14ac:dyDescent="0.25">
      <c r="A85" s="32" t="s">
        <v>258</v>
      </c>
      <c r="B85" s="32" t="s">
        <v>257</v>
      </c>
      <c r="C85" s="30">
        <v>3917.4560000000001</v>
      </c>
      <c r="D85" s="30">
        <v>3917.4560000000001</v>
      </c>
      <c r="E85" s="30">
        <v>3940.8559</v>
      </c>
      <c r="F85" s="30">
        <v>3940.8559</v>
      </c>
      <c r="G85" s="30">
        <v>3828.5752000000002</v>
      </c>
      <c r="H85" s="30">
        <v>3752.3847000000001</v>
      </c>
      <c r="I85" s="30">
        <v>3752.3847000000001</v>
      </c>
      <c r="J85" s="30">
        <v>3699.0513999999998</v>
      </c>
      <c r="K85" s="30">
        <v>3659.0513999999998</v>
      </c>
      <c r="L85" s="30">
        <v>3659.0513999999998</v>
      </c>
    </row>
    <row r="86" spans="1:12" x14ac:dyDescent="0.25">
      <c r="A86" s="32" t="s">
        <v>256</v>
      </c>
      <c r="B86" s="32" t="s">
        <v>255</v>
      </c>
      <c r="C86" s="30">
        <v>0</v>
      </c>
      <c r="D86" s="30">
        <v>0</v>
      </c>
      <c r="E86" s="30">
        <v>0</v>
      </c>
      <c r="F86" s="30">
        <v>0</v>
      </c>
      <c r="G86" s="30">
        <v>0</v>
      </c>
      <c r="H86" s="30">
        <v>0</v>
      </c>
      <c r="I86" s="30">
        <v>0</v>
      </c>
      <c r="J86" s="30">
        <v>0</v>
      </c>
      <c r="K86" s="30">
        <v>0</v>
      </c>
      <c r="L86" s="30">
        <v>0</v>
      </c>
    </row>
    <row r="87" spans="1:12" x14ac:dyDescent="0.25">
      <c r="A87" s="32" t="s">
        <v>254</v>
      </c>
      <c r="B87" s="32" t="s">
        <v>253</v>
      </c>
      <c r="C87" s="30">
        <v>2749.1</v>
      </c>
      <c r="D87" s="30" t="s">
        <v>70</v>
      </c>
      <c r="E87" s="30">
        <v>2370</v>
      </c>
      <c r="F87" s="30">
        <v>2450</v>
      </c>
      <c r="G87" s="30">
        <v>2900</v>
      </c>
      <c r="H87" s="30">
        <v>3300</v>
      </c>
      <c r="I87" s="30" t="s">
        <v>70</v>
      </c>
      <c r="J87" s="30">
        <v>7490</v>
      </c>
      <c r="K87" s="30" t="s">
        <v>70</v>
      </c>
      <c r="L87" s="30">
        <v>5360</v>
      </c>
    </row>
    <row r="88" spans="1:12" x14ac:dyDescent="0.25">
      <c r="A88" s="32" t="s">
        <v>252</v>
      </c>
      <c r="B88" s="32" t="s">
        <v>251</v>
      </c>
      <c r="C88" s="30">
        <v>0</v>
      </c>
      <c r="D88" s="30">
        <v>44098.5</v>
      </c>
      <c r="E88" s="30">
        <v>0</v>
      </c>
      <c r="F88" s="30">
        <v>0</v>
      </c>
      <c r="G88" s="30">
        <v>0</v>
      </c>
      <c r="H88" s="30">
        <v>0</v>
      </c>
      <c r="I88" s="30" t="s">
        <v>70</v>
      </c>
      <c r="J88" s="30" t="s">
        <v>70</v>
      </c>
      <c r="K88" s="30" t="s">
        <v>70</v>
      </c>
      <c r="L88" s="30" t="s">
        <v>70</v>
      </c>
    </row>
    <row r="89" spans="1:12" x14ac:dyDescent="0.25">
      <c r="A89" s="32" t="s">
        <v>250</v>
      </c>
      <c r="B89" s="32" t="s">
        <v>249</v>
      </c>
      <c r="C89" s="30">
        <v>0</v>
      </c>
      <c r="D89" s="30">
        <v>1710.9</v>
      </c>
      <c r="E89" s="30">
        <v>0</v>
      </c>
      <c r="F89" s="30">
        <v>0</v>
      </c>
      <c r="G89" s="30">
        <v>0</v>
      </c>
      <c r="H89" s="30" t="s">
        <v>70</v>
      </c>
      <c r="I89" s="30" t="s">
        <v>70</v>
      </c>
      <c r="J89" s="30" t="s">
        <v>70</v>
      </c>
      <c r="K89" s="30" t="s">
        <v>70</v>
      </c>
      <c r="L89" s="30" t="s">
        <v>70</v>
      </c>
    </row>
    <row r="90" spans="1:12" x14ac:dyDescent="0.25">
      <c r="A90" s="32" t="s">
        <v>248</v>
      </c>
      <c r="B90" s="32" t="s">
        <v>247</v>
      </c>
      <c r="C90" s="33" t="s">
        <v>70</v>
      </c>
      <c r="D90" s="33">
        <v>17.059999999999999</v>
      </c>
      <c r="E90" s="33" t="s">
        <v>70</v>
      </c>
      <c r="F90" s="33" t="s">
        <v>70</v>
      </c>
      <c r="G90" s="33" t="s">
        <v>70</v>
      </c>
      <c r="H90" s="33" t="s">
        <v>70</v>
      </c>
      <c r="I90" s="33">
        <v>15.8</v>
      </c>
      <c r="J90" s="33" t="s">
        <v>70</v>
      </c>
      <c r="K90" s="33">
        <v>14.3</v>
      </c>
      <c r="L90" s="33" t="s">
        <v>70</v>
      </c>
    </row>
    <row r="91" spans="1:12" x14ac:dyDescent="0.25">
      <c r="A91" s="32" t="s">
        <v>246</v>
      </c>
      <c r="B91" s="32" t="s">
        <v>245</v>
      </c>
      <c r="C91" s="33" t="s">
        <v>70</v>
      </c>
      <c r="D91" s="33">
        <v>616828</v>
      </c>
      <c r="E91" s="33" t="s">
        <v>70</v>
      </c>
      <c r="F91" s="33" t="s">
        <v>70</v>
      </c>
      <c r="G91" s="33" t="s">
        <v>70</v>
      </c>
      <c r="H91" s="33" t="s">
        <v>70</v>
      </c>
      <c r="I91" s="33">
        <v>893446</v>
      </c>
      <c r="J91" s="33" t="s">
        <v>70</v>
      </c>
      <c r="K91" s="33">
        <v>3659051373</v>
      </c>
      <c r="L91" s="33" t="s">
        <v>70</v>
      </c>
    </row>
    <row r="92" spans="1:12" x14ac:dyDescent="0.25">
      <c r="A92" s="32" t="s">
        <v>244</v>
      </c>
      <c r="B92" s="32" t="s">
        <v>243</v>
      </c>
      <c r="C92" s="30" t="s">
        <v>70</v>
      </c>
      <c r="D92" s="30">
        <v>0</v>
      </c>
      <c r="E92" s="30" t="s">
        <v>70</v>
      </c>
      <c r="F92" s="30" t="s">
        <v>70</v>
      </c>
      <c r="G92" s="30" t="s">
        <v>70</v>
      </c>
      <c r="H92" s="30" t="s">
        <v>70</v>
      </c>
      <c r="I92" s="30" t="s">
        <v>70</v>
      </c>
      <c r="J92" s="30" t="s">
        <v>70</v>
      </c>
      <c r="K92" s="30" t="s">
        <v>70</v>
      </c>
      <c r="L92" s="30" t="s">
        <v>70</v>
      </c>
    </row>
    <row r="93" spans="1:12" x14ac:dyDescent="0.25">
      <c r="A93" s="32" t="s">
        <v>242</v>
      </c>
      <c r="B93" s="32" t="s">
        <v>241</v>
      </c>
      <c r="C93" s="30" t="s">
        <v>70</v>
      </c>
      <c r="D93" s="30">
        <v>0</v>
      </c>
      <c r="E93" s="30" t="s">
        <v>70</v>
      </c>
      <c r="F93" s="30" t="s">
        <v>70</v>
      </c>
      <c r="G93" s="30" t="s">
        <v>70</v>
      </c>
      <c r="H93" s="30" t="s">
        <v>70</v>
      </c>
      <c r="I93" s="30" t="s">
        <v>70</v>
      </c>
      <c r="J93" s="30" t="s">
        <v>70</v>
      </c>
      <c r="K93" s="30" t="s">
        <v>70</v>
      </c>
      <c r="L93" s="30" t="s">
        <v>70</v>
      </c>
    </row>
    <row r="94" spans="1:12" x14ac:dyDescent="0.25">
      <c r="A94" s="32" t="s">
        <v>240</v>
      </c>
      <c r="B94" s="32" t="s">
        <v>239</v>
      </c>
      <c r="C94" s="30">
        <v>-153526.70000000001</v>
      </c>
      <c r="D94" s="30">
        <v>-193647.1</v>
      </c>
      <c r="E94" s="30">
        <v>-285820</v>
      </c>
      <c r="F94" s="30">
        <v>-453740</v>
      </c>
      <c r="G94" s="30">
        <v>-423990</v>
      </c>
      <c r="H94" s="30">
        <v>-416810</v>
      </c>
      <c r="I94" s="30">
        <v>-274130</v>
      </c>
      <c r="J94" s="30">
        <v>-304850</v>
      </c>
      <c r="K94" s="30">
        <v>-404390</v>
      </c>
      <c r="L94" s="30">
        <v>-395560</v>
      </c>
    </row>
    <row r="95" spans="1:12" x14ac:dyDescent="0.25">
      <c r="A95" s="32" t="s">
        <v>238</v>
      </c>
      <c r="B95" s="32" t="s">
        <v>237</v>
      </c>
      <c r="C95" s="33">
        <v>-27.402899999999999</v>
      </c>
      <c r="D95" s="33">
        <v>-37.410699999999999</v>
      </c>
      <c r="E95" s="33">
        <v>-38.863799999999998</v>
      </c>
      <c r="F95" s="33">
        <v>-51.165399999999998</v>
      </c>
      <c r="G95" s="33">
        <v>-48.376899999999999</v>
      </c>
      <c r="H95" s="33">
        <v>-45.301000000000002</v>
      </c>
      <c r="I95" s="33">
        <v>-32.3461</v>
      </c>
      <c r="J95" s="33">
        <v>-34.164499999999997</v>
      </c>
      <c r="K95" s="33">
        <v>-45.0092</v>
      </c>
      <c r="L95" s="33">
        <v>-42.3857</v>
      </c>
    </row>
    <row r="96" spans="1:12" x14ac:dyDescent="0.25">
      <c r="A96" s="32" t="s">
        <v>236</v>
      </c>
      <c r="B96" s="32" t="s">
        <v>235</v>
      </c>
      <c r="C96" s="33">
        <v>79.033000000000001</v>
      </c>
      <c r="D96" s="33">
        <v>67.75</v>
      </c>
      <c r="E96" s="33">
        <v>79.346100000000007</v>
      </c>
      <c r="F96" s="33">
        <v>83.227800000000002</v>
      </c>
      <c r="G96" s="33">
        <v>79.746099999999998</v>
      </c>
      <c r="H96" s="33">
        <v>77.444299999999998</v>
      </c>
      <c r="I96" s="33">
        <v>69.073899999999995</v>
      </c>
      <c r="J96" s="33">
        <v>65.492400000000004</v>
      </c>
      <c r="K96" s="33">
        <v>62.218499999999999</v>
      </c>
      <c r="L96" s="33">
        <v>62.222499999999997</v>
      </c>
    </row>
    <row r="97" spans="1:12" x14ac:dyDescent="0.25">
      <c r="A97" s="32" t="s">
        <v>234</v>
      </c>
      <c r="B97" s="32" t="s">
        <v>233</v>
      </c>
      <c r="C97" s="33">
        <v>3.8799000000000001</v>
      </c>
      <c r="D97" s="33">
        <v>2.4024000000000001</v>
      </c>
      <c r="E97" s="33">
        <v>4.0602</v>
      </c>
      <c r="F97" s="33">
        <v>5.5345000000000004</v>
      </c>
      <c r="G97" s="33">
        <v>4.556</v>
      </c>
      <c r="H97" s="33">
        <v>4.1718000000000002</v>
      </c>
      <c r="I97" s="33">
        <v>3.3347000000000002</v>
      </c>
      <c r="J97" s="33">
        <v>2.9066999999999998</v>
      </c>
      <c r="K97" s="33">
        <v>2.5573999999999999</v>
      </c>
      <c r="L97" s="33">
        <v>2.5316000000000001</v>
      </c>
    </row>
    <row r="98" spans="1:12" x14ac:dyDescent="0.25">
      <c r="A98" s="32" t="s">
        <v>232</v>
      </c>
      <c r="B98" s="32" t="s">
        <v>231</v>
      </c>
      <c r="C98" s="33" t="s">
        <v>70</v>
      </c>
      <c r="D98" s="33" t="s">
        <v>70</v>
      </c>
      <c r="E98" s="33" t="s">
        <v>70</v>
      </c>
      <c r="F98" s="33" t="s">
        <v>70</v>
      </c>
      <c r="G98" s="33" t="s">
        <v>70</v>
      </c>
      <c r="H98" s="33" t="s">
        <v>70</v>
      </c>
      <c r="I98" s="33" t="s">
        <v>70</v>
      </c>
      <c r="J98" s="33">
        <v>39.953400000000002</v>
      </c>
      <c r="K98" s="33">
        <v>-59051.091099999998</v>
      </c>
      <c r="L98" s="33">
        <v>35.9756</v>
      </c>
    </row>
    <row r="99" spans="1:12" x14ac:dyDescent="0.25">
      <c r="A99" s="32" t="s">
        <v>230</v>
      </c>
      <c r="B99" s="32" t="s">
        <v>229</v>
      </c>
      <c r="C99" s="33">
        <v>300464</v>
      </c>
      <c r="D99" s="33">
        <v>319656</v>
      </c>
      <c r="E99" s="33">
        <v>353843</v>
      </c>
      <c r="F99" s="33">
        <v>387223</v>
      </c>
      <c r="G99" s="33">
        <v>394998</v>
      </c>
      <c r="H99" s="33">
        <v>424285</v>
      </c>
      <c r="I99" s="33">
        <v>448464</v>
      </c>
      <c r="J99" s="33">
        <v>488649</v>
      </c>
      <c r="K99" s="33">
        <v>592195</v>
      </c>
      <c r="L99" s="33">
        <v>614795</v>
      </c>
    </row>
    <row r="100" spans="1:12" x14ac:dyDescent="0.25">
      <c r="A100" s="29" t="s">
        <v>69</v>
      </c>
      <c r="B100" s="29"/>
      <c r="C100" s="29" t="s">
        <v>68</v>
      </c>
      <c r="D100" s="29"/>
      <c r="E100" s="29"/>
      <c r="F100" s="29"/>
      <c r="G100" s="29"/>
      <c r="H100" s="29"/>
      <c r="I100" s="29"/>
      <c r="J100" s="29"/>
      <c r="K100" s="29"/>
      <c r="L100"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A0ED0-D13D-4C46-B8CE-6E7D0C8EE0FE}">
  <dimension ref="A1:L69"/>
  <sheetViews>
    <sheetView topLeftCell="A43" workbookViewId="0">
      <selection activeCell="E39" sqref="E39"/>
    </sheetView>
  </sheetViews>
  <sheetFormatPr defaultColWidth="8.7109375" defaultRowHeight="15" x14ac:dyDescent="0.25"/>
  <cols>
    <col min="1" max="1" width="34.5703125" style="27" customWidth="1"/>
    <col min="2" max="2" width="18.140625" style="27" customWidth="1"/>
    <col min="3" max="3" width="15.28515625" style="27" customWidth="1"/>
    <col min="4" max="4" width="13.85546875" style="27" customWidth="1"/>
    <col min="5" max="5" width="15.42578125" style="27" customWidth="1"/>
    <col min="6" max="6" width="15.7109375" style="27" customWidth="1"/>
    <col min="7" max="7" width="11.42578125" style="27" customWidth="1"/>
    <col min="8" max="8" width="14.5703125" style="27" customWidth="1"/>
    <col min="9" max="9" width="13" style="27" customWidth="1"/>
    <col min="10" max="10" width="15.140625" style="27" customWidth="1"/>
    <col min="11" max="11" width="15.28515625" style="27" customWidth="1"/>
    <col min="12" max="16384" width="8.7109375" style="27"/>
  </cols>
  <sheetData>
    <row r="1" spans="1:12" x14ac:dyDescent="0.25">
      <c r="A1" s="84" t="s">
        <v>411</v>
      </c>
      <c r="B1" s="84" t="s">
        <v>411</v>
      </c>
      <c r="C1" s="84" t="s">
        <v>411</v>
      </c>
      <c r="D1" s="84" t="s">
        <v>411</v>
      </c>
      <c r="E1" s="84" t="s">
        <v>411</v>
      </c>
      <c r="F1" s="84" t="s">
        <v>411</v>
      </c>
      <c r="G1" s="84" t="s">
        <v>411</v>
      </c>
      <c r="H1" s="84" t="s">
        <v>411</v>
      </c>
      <c r="I1" s="84" t="s">
        <v>411</v>
      </c>
      <c r="J1" s="84" t="s">
        <v>411</v>
      </c>
      <c r="K1" s="84" t="s">
        <v>411</v>
      </c>
    </row>
    <row r="2" spans="1:12" ht="20.25" x14ac:dyDescent="0.3">
      <c r="A2" s="82" t="s">
        <v>410</v>
      </c>
      <c r="B2" s="83"/>
      <c r="C2" s="83"/>
      <c r="D2" s="83"/>
      <c r="E2" s="83"/>
      <c r="F2" s="83"/>
      <c r="G2" s="82" t="s">
        <v>411</v>
      </c>
      <c r="H2" s="82" t="s">
        <v>411</v>
      </c>
      <c r="I2" s="82" t="s">
        <v>411</v>
      </c>
      <c r="J2" s="82" t="s">
        <v>411</v>
      </c>
      <c r="K2" s="82" t="s">
        <v>411</v>
      </c>
      <c r="L2" s="82" t="s">
        <v>411</v>
      </c>
    </row>
    <row r="3" spans="1:12" x14ac:dyDescent="0.25">
      <c r="A3" s="81" t="s">
        <v>411</v>
      </c>
      <c r="B3" s="81" t="s">
        <v>411</v>
      </c>
      <c r="C3" s="81" t="s">
        <v>411</v>
      </c>
      <c r="D3" s="81" t="s">
        <v>411</v>
      </c>
      <c r="E3" s="81" t="s">
        <v>411</v>
      </c>
      <c r="F3" s="81" t="s">
        <v>411</v>
      </c>
      <c r="G3" s="81" t="s">
        <v>411</v>
      </c>
      <c r="H3" s="81" t="s">
        <v>411</v>
      </c>
      <c r="I3" s="81" t="s">
        <v>411</v>
      </c>
      <c r="J3" s="81" t="s">
        <v>411</v>
      </c>
      <c r="K3" s="81" t="s">
        <v>411</v>
      </c>
    </row>
    <row r="4" spans="1:12" x14ac:dyDescent="0.25">
      <c r="A4" s="80" t="s">
        <v>227</v>
      </c>
      <c r="B4" s="79" t="s">
        <v>408</v>
      </c>
      <c r="C4" s="79" t="s">
        <v>407</v>
      </c>
      <c r="D4" s="79" t="s">
        <v>226</v>
      </c>
      <c r="E4" s="79" t="s">
        <v>225</v>
      </c>
      <c r="F4" s="79" t="s">
        <v>224</v>
      </c>
      <c r="G4" s="79" t="s">
        <v>223</v>
      </c>
      <c r="H4" s="79" t="s">
        <v>222</v>
      </c>
      <c r="I4" s="79" t="s">
        <v>221</v>
      </c>
      <c r="J4" s="79" t="s">
        <v>220</v>
      </c>
      <c r="K4" s="79" t="s">
        <v>219</v>
      </c>
    </row>
    <row r="5" spans="1:12" x14ac:dyDescent="0.25">
      <c r="A5" s="78" t="s">
        <v>216</v>
      </c>
      <c r="B5" s="77">
        <v>42094</v>
      </c>
      <c r="C5" s="77">
        <v>42460</v>
      </c>
      <c r="D5" s="77">
        <v>42825</v>
      </c>
      <c r="E5" s="77">
        <v>43190</v>
      </c>
      <c r="F5" s="77">
        <v>43555</v>
      </c>
      <c r="G5" s="77">
        <v>43921</v>
      </c>
      <c r="H5" s="77">
        <v>44286</v>
      </c>
      <c r="I5" s="77">
        <v>44651</v>
      </c>
      <c r="J5" s="77">
        <v>45016</v>
      </c>
      <c r="K5" s="77">
        <v>45291</v>
      </c>
    </row>
    <row r="6" spans="1:12" x14ac:dyDescent="0.25">
      <c r="A6" s="66" t="s">
        <v>452</v>
      </c>
      <c r="B6" s="65" t="s">
        <v>411</v>
      </c>
      <c r="C6" s="65" t="s">
        <v>411</v>
      </c>
      <c r="D6" s="65" t="s">
        <v>411</v>
      </c>
      <c r="E6" s="65" t="s">
        <v>411</v>
      </c>
      <c r="F6" s="65" t="s">
        <v>411</v>
      </c>
      <c r="G6" s="65" t="s">
        <v>411</v>
      </c>
      <c r="H6" s="65" t="s">
        <v>411</v>
      </c>
      <c r="I6" s="65" t="s">
        <v>411</v>
      </c>
      <c r="J6" s="65" t="s">
        <v>411</v>
      </c>
      <c r="K6" s="64" t="s">
        <v>411</v>
      </c>
    </row>
    <row r="7" spans="1:12" x14ac:dyDescent="0.25">
      <c r="A7" s="60" t="s">
        <v>461</v>
      </c>
      <c r="B7" s="63">
        <v>198521.8</v>
      </c>
      <c r="C7" s="62">
        <v>242150</v>
      </c>
      <c r="D7" s="62">
        <v>262890</v>
      </c>
      <c r="E7" s="62">
        <v>258260</v>
      </c>
      <c r="F7" s="62">
        <v>314720</v>
      </c>
      <c r="G7" s="62">
        <v>323400</v>
      </c>
      <c r="H7" s="62">
        <v>324300</v>
      </c>
      <c r="I7" s="62">
        <v>383270</v>
      </c>
      <c r="J7" s="62">
        <v>421470</v>
      </c>
      <c r="K7" s="61">
        <v>448660</v>
      </c>
    </row>
    <row r="8" spans="1:12" x14ac:dyDescent="0.25">
      <c r="A8" s="60" t="s">
        <v>460</v>
      </c>
      <c r="B8" s="63">
        <v>13089.4</v>
      </c>
      <c r="C8" s="62">
        <v>18880</v>
      </c>
      <c r="D8" s="62">
        <v>19870</v>
      </c>
      <c r="E8" s="62">
        <v>20140</v>
      </c>
      <c r="F8" s="62">
        <v>20560</v>
      </c>
      <c r="G8" s="62">
        <v>35290</v>
      </c>
      <c r="H8" s="62">
        <v>40650</v>
      </c>
      <c r="I8" s="62">
        <v>46040</v>
      </c>
      <c r="J8" s="62">
        <v>50220</v>
      </c>
      <c r="K8" s="61">
        <v>50240</v>
      </c>
    </row>
    <row r="9" spans="1:12" x14ac:dyDescent="0.25">
      <c r="A9" s="60" t="s">
        <v>459</v>
      </c>
      <c r="B9" s="63">
        <v>-6406.5</v>
      </c>
      <c r="C9" s="62">
        <v>-4230</v>
      </c>
      <c r="D9" s="62">
        <v>3110</v>
      </c>
      <c r="E9" s="62">
        <v>28420</v>
      </c>
      <c r="F9" s="62">
        <v>-24390</v>
      </c>
      <c r="G9" s="62">
        <v>22900</v>
      </c>
      <c r="H9" s="62">
        <v>25550</v>
      </c>
      <c r="I9" s="62">
        <v>41000</v>
      </c>
      <c r="J9" s="62">
        <v>29440</v>
      </c>
      <c r="K9" s="61">
        <v>4510</v>
      </c>
    </row>
    <row r="10" spans="1:12" x14ac:dyDescent="0.25">
      <c r="A10" s="60" t="s">
        <v>458</v>
      </c>
      <c r="B10" s="63">
        <v>-6406.5</v>
      </c>
      <c r="C10" s="62">
        <v>-4230</v>
      </c>
      <c r="D10" s="62">
        <v>3110</v>
      </c>
      <c r="E10" s="62">
        <v>28420</v>
      </c>
      <c r="F10" s="62">
        <v>-24390</v>
      </c>
      <c r="G10" s="62">
        <v>22900</v>
      </c>
      <c r="H10" s="62">
        <v>25550</v>
      </c>
      <c r="I10" s="62">
        <v>41000</v>
      </c>
      <c r="J10" s="62">
        <v>29440</v>
      </c>
      <c r="K10" s="61">
        <v>4510</v>
      </c>
    </row>
    <row r="11" spans="1:12" x14ac:dyDescent="0.25">
      <c r="A11" s="60" t="s">
        <v>457</v>
      </c>
      <c r="B11" s="63">
        <v>7472.2</v>
      </c>
      <c r="C11" s="62">
        <v>-47640</v>
      </c>
      <c r="D11" s="62">
        <v>-9800</v>
      </c>
      <c r="E11" s="62">
        <v>-25160</v>
      </c>
      <c r="F11" s="62">
        <v>5780</v>
      </c>
      <c r="G11" s="62">
        <v>-29770</v>
      </c>
      <c r="H11" s="62">
        <v>20570</v>
      </c>
      <c r="I11" s="62">
        <v>-50730</v>
      </c>
      <c r="J11" s="62">
        <v>-56080</v>
      </c>
      <c r="K11" s="61">
        <v>-40220</v>
      </c>
    </row>
    <row r="12" spans="1:12" x14ac:dyDescent="0.25">
      <c r="A12" s="60" t="s">
        <v>456</v>
      </c>
      <c r="B12" s="63">
        <v>-21580.400000000001</v>
      </c>
      <c r="C12" s="62">
        <v>-29360</v>
      </c>
      <c r="D12" s="62">
        <v>6800</v>
      </c>
      <c r="E12" s="62">
        <v>-18330</v>
      </c>
      <c r="F12" s="62">
        <v>-28830</v>
      </c>
      <c r="G12" s="62">
        <v>-32950</v>
      </c>
      <c r="H12" s="62">
        <v>12600</v>
      </c>
      <c r="I12" s="62">
        <v>-42100</v>
      </c>
      <c r="J12" s="62">
        <v>-65010</v>
      </c>
      <c r="K12" s="61">
        <v>-25460</v>
      </c>
    </row>
    <row r="13" spans="1:12" x14ac:dyDescent="0.25">
      <c r="A13" s="60" t="s">
        <v>455</v>
      </c>
      <c r="B13" s="59">
        <v>-8.6</v>
      </c>
      <c r="C13" s="58" t="s">
        <v>70</v>
      </c>
      <c r="D13" s="58" t="s">
        <v>70</v>
      </c>
      <c r="E13" s="58" t="s">
        <v>70</v>
      </c>
      <c r="F13" s="58" t="s">
        <v>70</v>
      </c>
      <c r="G13" s="58">
        <v>50</v>
      </c>
      <c r="H13" s="58" t="s">
        <v>70</v>
      </c>
      <c r="I13" s="58">
        <v>-120</v>
      </c>
      <c r="J13" s="58">
        <v>0</v>
      </c>
      <c r="K13" s="57">
        <v>0</v>
      </c>
    </row>
    <row r="14" spans="1:12" x14ac:dyDescent="0.25">
      <c r="A14" s="60" t="s">
        <v>454</v>
      </c>
      <c r="B14" s="59" t="s">
        <v>70</v>
      </c>
      <c r="C14" s="58" t="s">
        <v>70</v>
      </c>
      <c r="D14" s="62">
        <v>-2010</v>
      </c>
      <c r="E14" s="62">
        <v>-3460</v>
      </c>
      <c r="F14" s="62">
        <v>14960</v>
      </c>
      <c r="G14" s="62">
        <v>4460</v>
      </c>
      <c r="H14" s="58">
        <v>-930</v>
      </c>
      <c r="I14" s="62">
        <v>1860</v>
      </c>
      <c r="J14" s="62">
        <v>20360</v>
      </c>
      <c r="K14" s="61">
        <v>-9860</v>
      </c>
    </row>
    <row r="15" spans="1:12" x14ac:dyDescent="0.25">
      <c r="A15" s="60" t="s">
        <v>453</v>
      </c>
      <c r="B15" s="63">
        <v>29061.200000000001</v>
      </c>
      <c r="C15" s="62">
        <v>-18280</v>
      </c>
      <c r="D15" s="62">
        <v>-14590</v>
      </c>
      <c r="E15" s="62">
        <v>-3370</v>
      </c>
      <c r="F15" s="62">
        <v>19650</v>
      </c>
      <c r="G15" s="62">
        <v>-1330</v>
      </c>
      <c r="H15" s="62">
        <v>8900</v>
      </c>
      <c r="I15" s="62">
        <v>-10370</v>
      </c>
      <c r="J15" s="62">
        <v>-11430</v>
      </c>
      <c r="K15" s="61">
        <v>-4900</v>
      </c>
    </row>
    <row r="16" spans="1:12" x14ac:dyDescent="0.25">
      <c r="A16" s="60" t="s">
        <v>426</v>
      </c>
      <c r="B16" s="59">
        <v>0</v>
      </c>
      <c r="C16" s="58">
        <v>0</v>
      </c>
      <c r="D16" s="58">
        <v>0</v>
      </c>
      <c r="E16" s="58">
        <v>0</v>
      </c>
      <c r="F16" s="58">
        <v>0</v>
      </c>
      <c r="G16" s="58">
        <v>0</v>
      </c>
      <c r="H16" s="58">
        <v>0</v>
      </c>
      <c r="I16" s="58">
        <v>0</v>
      </c>
      <c r="J16" s="58">
        <v>0</v>
      </c>
      <c r="K16" s="57">
        <v>0</v>
      </c>
    </row>
    <row r="17" spans="1:11" x14ac:dyDescent="0.25">
      <c r="A17" s="66" t="s">
        <v>452</v>
      </c>
      <c r="B17" s="69">
        <v>212676.9</v>
      </c>
      <c r="C17" s="68">
        <v>209160</v>
      </c>
      <c r="D17" s="68">
        <v>276070</v>
      </c>
      <c r="E17" s="68">
        <v>281660</v>
      </c>
      <c r="F17" s="68">
        <v>316670</v>
      </c>
      <c r="G17" s="68">
        <v>351820</v>
      </c>
      <c r="H17" s="68">
        <v>411070</v>
      </c>
      <c r="I17" s="68">
        <v>419580</v>
      </c>
      <c r="J17" s="68">
        <v>445050</v>
      </c>
      <c r="K17" s="67">
        <v>463190</v>
      </c>
    </row>
    <row r="18" spans="1:11" x14ac:dyDescent="0.25">
      <c r="A18" s="66" t="s">
        <v>411</v>
      </c>
      <c r="B18" s="65" t="s">
        <v>411</v>
      </c>
      <c r="C18" s="65" t="s">
        <v>411</v>
      </c>
      <c r="D18" s="65" t="s">
        <v>411</v>
      </c>
      <c r="E18" s="65" t="s">
        <v>411</v>
      </c>
      <c r="F18" s="65" t="s">
        <v>411</v>
      </c>
      <c r="G18" s="65" t="s">
        <v>411</v>
      </c>
      <c r="H18" s="65" t="s">
        <v>411</v>
      </c>
      <c r="I18" s="65" t="s">
        <v>411</v>
      </c>
      <c r="J18" s="65" t="s">
        <v>411</v>
      </c>
      <c r="K18" s="64" t="s">
        <v>411</v>
      </c>
    </row>
    <row r="19" spans="1:11" x14ac:dyDescent="0.25">
      <c r="A19" s="66" t="s">
        <v>436</v>
      </c>
      <c r="B19" s="65" t="s">
        <v>411</v>
      </c>
      <c r="C19" s="65" t="s">
        <v>411</v>
      </c>
      <c r="D19" s="65" t="s">
        <v>411</v>
      </c>
      <c r="E19" s="65" t="s">
        <v>411</v>
      </c>
      <c r="F19" s="65" t="s">
        <v>411</v>
      </c>
      <c r="G19" s="65" t="s">
        <v>411</v>
      </c>
      <c r="H19" s="65" t="s">
        <v>411</v>
      </c>
      <c r="I19" s="65" t="s">
        <v>411</v>
      </c>
      <c r="J19" s="65" t="s">
        <v>411</v>
      </c>
      <c r="K19" s="64" t="s">
        <v>411</v>
      </c>
    </row>
    <row r="20" spans="1:11" x14ac:dyDescent="0.25">
      <c r="A20" s="60" t="s">
        <v>451</v>
      </c>
      <c r="B20" s="63">
        <v>-29425</v>
      </c>
      <c r="C20" s="62">
        <v>-19680</v>
      </c>
      <c r="D20" s="62">
        <v>-19530</v>
      </c>
      <c r="E20" s="62">
        <v>-18040</v>
      </c>
      <c r="F20" s="62">
        <v>-21320</v>
      </c>
      <c r="G20" s="62">
        <v>-30880</v>
      </c>
      <c r="H20" s="62">
        <v>-31390</v>
      </c>
      <c r="I20" s="62">
        <v>-29640</v>
      </c>
      <c r="J20" s="62">
        <v>-30630</v>
      </c>
      <c r="K20" s="61">
        <v>-25200</v>
      </c>
    </row>
    <row r="21" spans="1:11" x14ac:dyDescent="0.25">
      <c r="A21" s="60" t="s">
        <v>450</v>
      </c>
      <c r="B21" s="59">
        <v>67</v>
      </c>
      <c r="C21" s="58">
        <v>220</v>
      </c>
      <c r="D21" s="58">
        <v>370</v>
      </c>
      <c r="E21" s="58">
        <v>580</v>
      </c>
      <c r="F21" s="58">
        <v>990</v>
      </c>
      <c r="G21" s="62">
        <v>1610</v>
      </c>
      <c r="H21" s="58">
        <v>370</v>
      </c>
      <c r="I21" s="58">
        <v>310</v>
      </c>
      <c r="J21" s="58">
        <v>370</v>
      </c>
      <c r="K21" s="57">
        <v>270</v>
      </c>
    </row>
    <row r="22" spans="1:11" x14ac:dyDescent="0.25">
      <c r="A22" s="74" t="s">
        <v>449</v>
      </c>
      <c r="B22" s="73">
        <v>67</v>
      </c>
      <c r="C22" s="72">
        <v>220</v>
      </c>
      <c r="D22" s="72">
        <v>360</v>
      </c>
      <c r="E22" s="72">
        <v>580</v>
      </c>
      <c r="F22" s="72">
        <v>990</v>
      </c>
      <c r="G22" s="71">
        <v>1610</v>
      </c>
      <c r="H22" s="72">
        <v>370</v>
      </c>
      <c r="I22" s="72">
        <v>310</v>
      </c>
      <c r="J22" s="72">
        <v>370</v>
      </c>
      <c r="K22" s="76">
        <v>200</v>
      </c>
    </row>
    <row r="23" spans="1:11" x14ac:dyDescent="0.25">
      <c r="A23" s="74" t="s">
        <v>448</v>
      </c>
      <c r="B23" s="73">
        <v>0</v>
      </c>
      <c r="C23" s="72">
        <v>0</v>
      </c>
      <c r="D23" s="72">
        <v>10</v>
      </c>
      <c r="E23" s="72">
        <v>0</v>
      </c>
      <c r="F23" s="72">
        <v>0</v>
      </c>
      <c r="G23" s="72">
        <v>0</v>
      </c>
      <c r="H23" s="72">
        <v>0</v>
      </c>
      <c r="I23" s="72">
        <v>0</v>
      </c>
      <c r="J23" s="72">
        <v>0</v>
      </c>
      <c r="K23" s="76">
        <v>70</v>
      </c>
    </row>
    <row r="24" spans="1:11" x14ac:dyDescent="0.25">
      <c r="A24" s="60" t="s">
        <v>447</v>
      </c>
      <c r="B24" s="63">
        <v>-29492</v>
      </c>
      <c r="C24" s="62">
        <v>-19900</v>
      </c>
      <c r="D24" s="62">
        <v>-19900</v>
      </c>
      <c r="E24" s="62">
        <v>-18620</v>
      </c>
      <c r="F24" s="62">
        <v>-22310</v>
      </c>
      <c r="G24" s="62">
        <v>-32490</v>
      </c>
      <c r="H24" s="62">
        <v>-31760</v>
      </c>
      <c r="I24" s="62">
        <v>-29950</v>
      </c>
      <c r="J24" s="62">
        <v>-31000</v>
      </c>
      <c r="K24" s="61">
        <v>-25470</v>
      </c>
    </row>
    <row r="25" spans="1:11" x14ac:dyDescent="0.25">
      <c r="A25" s="74" t="s">
        <v>446</v>
      </c>
      <c r="B25" s="75">
        <v>-29492</v>
      </c>
      <c r="C25" s="71">
        <v>-19870</v>
      </c>
      <c r="D25" s="71">
        <v>-19890</v>
      </c>
      <c r="E25" s="71">
        <v>-18620</v>
      </c>
      <c r="F25" s="71">
        <v>-20530</v>
      </c>
      <c r="G25" s="71">
        <v>-30570</v>
      </c>
      <c r="H25" s="71">
        <v>-28200</v>
      </c>
      <c r="I25" s="71">
        <v>-24980</v>
      </c>
      <c r="J25" s="71">
        <v>-27450</v>
      </c>
      <c r="K25" s="70">
        <v>-21150</v>
      </c>
    </row>
    <row r="26" spans="1:11" x14ac:dyDescent="0.25">
      <c r="A26" s="74" t="s">
        <v>445</v>
      </c>
      <c r="B26" s="73">
        <v>0</v>
      </c>
      <c r="C26" s="72">
        <v>-30</v>
      </c>
      <c r="D26" s="72">
        <v>-10</v>
      </c>
      <c r="E26" s="72">
        <v>0</v>
      </c>
      <c r="F26" s="71">
        <v>-1780</v>
      </c>
      <c r="G26" s="71">
        <v>-1920</v>
      </c>
      <c r="H26" s="71">
        <v>-3560</v>
      </c>
      <c r="I26" s="71">
        <v>-4970</v>
      </c>
      <c r="J26" s="71">
        <v>-3550</v>
      </c>
      <c r="K26" s="70">
        <v>-4320</v>
      </c>
    </row>
    <row r="27" spans="1:11" x14ac:dyDescent="0.25">
      <c r="A27" s="60" t="s">
        <v>444</v>
      </c>
      <c r="B27" s="59" t="s">
        <v>70</v>
      </c>
      <c r="C27" s="58" t="s">
        <v>70</v>
      </c>
      <c r="D27" s="58" t="s">
        <v>70</v>
      </c>
      <c r="E27" s="58" t="s">
        <v>70</v>
      </c>
      <c r="F27" s="58">
        <v>0</v>
      </c>
      <c r="G27" s="58">
        <v>0</v>
      </c>
      <c r="H27" s="58">
        <v>0</v>
      </c>
      <c r="I27" s="58">
        <v>0</v>
      </c>
      <c r="J27" s="58">
        <v>0</v>
      </c>
      <c r="K27" s="57">
        <v>0</v>
      </c>
    </row>
    <row r="28" spans="1:11" x14ac:dyDescent="0.25">
      <c r="A28" s="60" t="s">
        <v>443</v>
      </c>
      <c r="B28" s="59" t="s">
        <v>70</v>
      </c>
      <c r="C28" s="58" t="s">
        <v>70</v>
      </c>
      <c r="D28" s="58" t="s">
        <v>70</v>
      </c>
      <c r="E28" s="58" t="s">
        <v>70</v>
      </c>
      <c r="F28" s="58">
        <v>0</v>
      </c>
      <c r="G28" s="58">
        <v>0</v>
      </c>
      <c r="H28" s="58">
        <v>0</v>
      </c>
      <c r="I28" s="58">
        <v>0</v>
      </c>
      <c r="J28" s="58">
        <v>0</v>
      </c>
      <c r="K28" s="57">
        <v>0</v>
      </c>
    </row>
    <row r="29" spans="1:11" x14ac:dyDescent="0.25">
      <c r="A29" s="60" t="s">
        <v>442</v>
      </c>
      <c r="B29" s="59" t="s">
        <v>70</v>
      </c>
      <c r="C29" s="58" t="s">
        <v>70</v>
      </c>
      <c r="D29" s="58" t="s">
        <v>70</v>
      </c>
      <c r="E29" s="58" t="s">
        <v>70</v>
      </c>
      <c r="F29" s="58">
        <v>0</v>
      </c>
      <c r="G29" s="58">
        <v>0</v>
      </c>
      <c r="H29" s="58">
        <v>0</v>
      </c>
      <c r="I29" s="58">
        <v>0</v>
      </c>
      <c r="J29" s="58">
        <v>0</v>
      </c>
      <c r="K29" s="57">
        <v>0</v>
      </c>
    </row>
    <row r="30" spans="1:11" x14ac:dyDescent="0.25">
      <c r="A30" s="60" t="s">
        <v>441</v>
      </c>
      <c r="B30" s="63">
        <v>-2636.5</v>
      </c>
      <c r="C30" s="58">
        <v>0</v>
      </c>
      <c r="D30" s="58">
        <v>0</v>
      </c>
      <c r="E30" s="58">
        <v>0</v>
      </c>
      <c r="F30" s="58">
        <v>-500</v>
      </c>
      <c r="G30" s="58">
        <v>0</v>
      </c>
      <c r="H30" s="58">
        <v>0</v>
      </c>
      <c r="I30" s="58">
        <v>0</v>
      </c>
      <c r="J30" s="58">
        <v>0</v>
      </c>
      <c r="K30" s="57">
        <v>0</v>
      </c>
    </row>
    <row r="31" spans="1:11" x14ac:dyDescent="0.25">
      <c r="A31" s="60" t="s">
        <v>440</v>
      </c>
      <c r="B31" s="59">
        <v>0</v>
      </c>
      <c r="C31" s="58">
        <v>0</v>
      </c>
      <c r="D31" s="58">
        <v>0</v>
      </c>
      <c r="E31" s="58">
        <v>0</v>
      </c>
      <c r="F31" s="58">
        <v>0</v>
      </c>
      <c r="G31" s="58">
        <v>0</v>
      </c>
      <c r="H31" s="58">
        <v>0</v>
      </c>
      <c r="I31" s="58">
        <v>0</v>
      </c>
      <c r="J31" s="58">
        <v>0</v>
      </c>
      <c r="K31" s="57">
        <v>0</v>
      </c>
    </row>
    <row r="32" spans="1:11" x14ac:dyDescent="0.25">
      <c r="A32" s="60" t="s">
        <v>439</v>
      </c>
      <c r="B32" s="63">
        <v>-2636.5</v>
      </c>
      <c r="C32" s="58">
        <v>0</v>
      </c>
      <c r="D32" s="58">
        <v>0</v>
      </c>
      <c r="E32" s="58">
        <v>0</v>
      </c>
      <c r="F32" s="58">
        <v>-500</v>
      </c>
      <c r="G32" s="58">
        <v>0</v>
      </c>
      <c r="H32" s="58">
        <v>0</v>
      </c>
      <c r="I32" s="58">
        <v>0</v>
      </c>
      <c r="J32" s="58">
        <v>0</v>
      </c>
      <c r="K32" s="57">
        <v>0</v>
      </c>
    </row>
    <row r="33" spans="1:11" x14ac:dyDescent="0.25">
      <c r="A33" s="60" t="s">
        <v>438</v>
      </c>
      <c r="B33" s="59">
        <v>0</v>
      </c>
      <c r="C33" s="58">
        <v>0</v>
      </c>
      <c r="D33" s="58">
        <v>0</v>
      </c>
      <c r="E33" s="58">
        <v>0</v>
      </c>
      <c r="F33" s="58">
        <v>0</v>
      </c>
      <c r="G33" s="58">
        <v>0</v>
      </c>
      <c r="H33" s="58">
        <v>0</v>
      </c>
      <c r="I33" s="58">
        <v>0</v>
      </c>
      <c r="J33" s="58">
        <v>0</v>
      </c>
      <c r="K33" s="57">
        <v>0</v>
      </c>
    </row>
    <row r="34" spans="1:11" x14ac:dyDescent="0.25">
      <c r="A34" s="60" t="s">
        <v>437</v>
      </c>
      <c r="B34" s="63">
        <v>-4990.6000000000004</v>
      </c>
      <c r="C34" s="62">
        <v>-50090</v>
      </c>
      <c r="D34" s="62">
        <v>-171830</v>
      </c>
      <c r="E34" s="62">
        <v>15510</v>
      </c>
      <c r="F34" s="62">
        <v>5180</v>
      </c>
      <c r="G34" s="62">
        <v>79160</v>
      </c>
      <c r="H34" s="62">
        <v>-79290</v>
      </c>
      <c r="I34" s="62">
        <v>-6400</v>
      </c>
      <c r="J34" s="62">
        <v>-2170</v>
      </c>
      <c r="K34" s="61">
        <v>201060</v>
      </c>
    </row>
    <row r="35" spans="1:11" x14ac:dyDescent="0.25">
      <c r="A35" s="60" t="s">
        <v>426</v>
      </c>
      <c r="B35" s="59">
        <v>0</v>
      </c>
      <c r="C35" s="58">
        <v>0</v>
      </c>
      <c r="D35" s="58">
        <v>0</v>
      </c>
      <c r="E35" s="58">
        <v>0</v>
      </c>
      <c r="F35" s="58">
        <v>0</v>
      </c>
      <c r="G35" s="58">
        <v>0</v>
      </c>
      <c r="H35" s="58">
        <v>0</v>
      </c>
      <c r="I35" s="58">
        <v>0</v>
      </c>
      <c r="J35" s="58">
        <v>0</v>
      </c>
      <c r="K35" s="57">
        <v>0</v>
      </c>
    </row>
    <row r="36" spans="1:11" x14ac:dyDescent="0.25">
      <c r="A36" s="66" t="s">
        <v>436</v>
      </c>
      <c r="B36" s="69">
        <v>-37052.1</v>
      </c>
      <c r="C36" s="68">
        <v>-69770</v>
      </c>
      <c r="D36" s="68">
        <v>-191360</v>
      </c>
      <c r="E36" s="68">
        <v>-2530</v>
      </c>
      <c r="F36" s="68">
        <v>-16640</v>
      </c>
      <c r="G36" s="68">
        <v>48280</v>
      </c>
      <c r="H36" s="68">
        <v>-110680</v>
      </c>
      <c r="I36" s="68">
        <v>-36040</v>
      </c>
      <c r="J36" s="68">
        <v>-32800</v>
      </c>
      <c r="K36" s="67">
        <v>175860</v>
      </c>
    </row>
    <row r="37" spans="1:11" x14ac:dyDescent="0.25">
      <c r="A37" s="66" t="s">
        <v>411</v>
      </c>
      <c r="B37" s="65" t="s">
        <v>411</v>
      </c>
      <c r="C37" s="65" t="s">
        <v>411</v>
      </c>
      <c r="D37" s="65" t="s">
        <v>411</v>
      </c>
      <c r="E37" s="65" t="s">
        <v>411</v>
      </c>
      <c r="F37" s="65" t="s">
        <v>411</v>
      </c>
      <c r="G37" s="65" t="s">
        <v>411</v>
      </c>
      <c r="H37" s="65" t="s">
        <v>411</v>
      </c>
      <c r="I37" s="65" t="s">
        <v>411</v>
      </c>
      <c r="J37" s="65" t="s">
        <v>411</v>
      </c>
      <c r="K37" s="64" t="s">
        <v>411</v>
      </c>
    </row>
    <row r="38" spans="1:11" x14ac:dyDescent="0.25">
      <c r="A38" s="66" t="s">
        <v>425</v>
      </c>
      <c r="B38" s="65" t="s">
        <v>411</v>
      </c>
      <c r="C38" s="65" t="s">
        <v>411</v>
      </c>
      <c r="D38" s="65" t="s">
        <v>411</v>
      </c>
      <c r="E38" s="65" t="s">
        <v>411</v>
      </c>
      <c r="F38" s="65" t="s">
        <v>411</v>
      </c>
      <c r="G38" s="65" t="s">
        <v>411</v>
      </c>
      <c r="H38" s="65" t="s">
        <v>411</v>
      </c>
      <c r="I38" s="65" t="s">
        <v>411</v>
      </c>
      <c r="J38" s="65" t="s">
        <v>411</v>
      </c>
      <c r="K38" s="64" t="s">
        <v>411</v>
      </c>
    </row>
    <row r="39" spans="1:11" x14ac:dyDescent="0.25">
      <c r="A39" s="60" t="s">
        <v>435</v>
      </c>
      <c r="B39" s="63">
        <v>-170204.6</v>
      </c>
      <c r="C39" s="62">
        <v>-94320</v>
      </c>
      <c r="D39" s="62">
        <v>-109730</v>
      </c>
      <c r="E39" s="62">
        <v>-107600</v>
      </c>
      <c r="F39" s="62">
        <v>-114720</v>
      </c>
      <c r="G39" s="62">
        <v>-376340</v>
      </c>
      <c r="H39" s="62">
        <v>-108500</v>
      </c>
      <c r="I39" s="62">
        <v>-133170</v>
      </c>
      <c r="J39" s="62">
        <v>-413470</v>
      </c>
      <c r="K39" s="61">
        <v>-428110</v>
      </c>
    </row>
    <row r="40" spans="1:11" x14ac:dyDescent="0.25">
      <c r="A40" s="60" t="s">
        <v>434</v>
      </c>
      <c r="B40" s="59">
        <v>429.4</v>
      </c>
      <c r="C40" s="62">
        <v>-1330</v>
      </c>
      <c r="D40" s="58">
        <v>210</v>
      </c>
      <c r="E40" s="58">
        <v>-430</v>
      </c>
      <c r="F40" s="62">
        <v>-1940</v>
      </c>
      <c r="G40" s="62">
        <v>-10620</v>
      </c>
      <c r="H40" s="62">
        <v>-13360</v>
      </c>
      <c r="I40" s="62">
        <v>-14170</v>
      </c>
      <c r="J40" s="62">
        <v>-15150</v>
      </c>
      <c r="K40" s="61">
        <v>-15850</v>
      </c>
    </row>
    <row r="41" spans="1:11" x14ac:dyDescent="0.25">
      <c r="A41" s="60" t="s">
        <v>433</v>
      </c>
      <c r="B41" s="59" t="s">
        <v>70</v>
      </c>
      <c r="C41" s="58">
        <v>-730</v>
      </c>
      <c r="D41" s="58">
        <v>870</v>
      </c>
      <c r="E41" s="58">
        <v>-190</v>
      </c>
      <c r="F41" s="62">
        <v>-1810</v>
      </c>
      <c r="G41" s="58">
        <v>0</v>
      </c>
      <c r="H41" s="58">
        <v>0</v>
      </c>
      <c r="I41" s="58" t="s">
        <v>70</v>
      </c>
      <c r="J41" s="58">
        <v>0</v>
      </c>
      <c r="K41" s="57">
        <v>0</v>
      </c>
    </row>
    <row r="42" spans="1:11" x14ac:dyDescent="0.25">
      <c r="A42" s="60" t="s">
        <v>432</v>
      </c>
      <c r="B42" s="59" t="s">
        <v>70</v>
      </c>
      <c r="C42" s="58" t="s">
        <v>70</v>
      </c>
      <c r="D42" s="58">
        <v>0</v>
      </c>
      <c r="E42" s="58">
        <v>0</v>
      </c>
      <c r="F42" s="58" t="s">
        <v>70</v>
      </c>
      <c r="G42" s="58">
        <v>0</v>
      </c>
      <c r="H42" s="58">
        <v>0</v>
      </c>
      <c r="I42" s="58" t="s">
        <v>70</v>
      </c>
      <c r="J42" s="58">
        <v>0</v>
      </c>
      <c r="K42" s="57">
        <v>0</v>
      </c>
    </row>
    <row r="43" spans="1:11" x14ac:dyDescent="0.25">
      <c r="A43" s="60" t="s">
        <v>431</v>
      </c>
      <c r="B43" s="59" t="s">
        <v>70</v>
      </c>
      <c r="C43" s="58">
        <v>-600</v>
      </c>
      <c r="D43" s="58">
        <v>-660</v>
      </c>
      <c r="E43" s="58">
        <v>-240</v>
      </c>
      <c r="F43" s="58">
        <v>-130</v>
      </c>
      <c r="G43" s="62">
        <v>-10620</v>
      </c>
      <c r="H43" s="62">
        <v>-13360</v>
      </c>
      <c r="I43" s="62">
        <v>-14170</v>
      </c>
      <c r="J43" s="62">
        <v>-15150</v>
      </c>
      <c r="K43" s="61">
        <v>-15850</v>
      </c>
    </row>
    <row r="44" spans="1:11" x14ac:dyDescent="0.25">
      <c r="A44" s="60" t="s">
        <v>430</v>
      </c>
      <c r="B44" s="59">
        <v>0</v>
      </c>
      <c r="C44" s="58">
        <v>0</v>
      </c>
      <c r="D44" s="58">
        <v>0</v>
      </c>
      <c r="E44" s="62">
        <v>-160420</v>
      </c>
      <c r="F44" s="62">
        <v>-160450</v>
      </c>
      <c r="G44" s="58">
        <v>0</v>
      </c>
      <c r="H44" s="62">
        <v>-197570</v>
      </c>
      <c r="I44" s="62">
        <v>-180670</v>
      </c>
      <c r="J44" s="58">
        <v>180</v>
      </c>
      <c r="K44" s="61">
        <v>-167950</v>
      </c>
    </row>
    <row r="45" spans="1:11" x14ac:dyDescent="0.25">
      <c r="A45" s="60" t="s">
        <v>429</v>
      </c>
      <c r="B45" s="59">
        <v>0</v>
      </c>
      <c r="C45" s="58">
        <v>0</v>
      </c>
      <c r="D45" s="58">
        <v>0</v>
      </c>
      <c r="E45" s="58">
        <v>0</v>
      </c>
      <c r="F45" s="58">
        <v>0</v>
      </c>
      <c r="G45" s="58">
        <v>0</v>
      </c>
      <c r="H45" s="58">
        <v>0</v>
      </c>
      <c r="I45" s="62">
        <v>1620</v>
      </c>
      <c r="J45" s="58">
        <v>180</v>
      </c>
      <c r="K45" s="61">
        <v>42100</v>
      </c>
    </row>
    <row r="46" spans="1:11" x14ac:dyDescent="0.25">
      <c r="A46" s="60" t="s">
        <v>428</v>
      </c>
      <c r="B46" s="59">
        <v>0</v>
      </c>
      <c r="C46" s="58">
        <v>0</v>
      </c>
      <c r="D46" s="58">
        <v>0</v>
      </c>
      <c r="E46" s="62">
        <v>-160420</v>
      </c>
      <c r="F46" s="62">
        <v>-160450</v>
      </c>
      <c r="G46" s="58">
        <v>0</v>
      </c>
      <c r="H46" s="62">
        <v>-197570</v>
      </c>
      <c r="I46" s="62">
        <v>-182290</v>
      </c>
      <c r="J46" s="58">
        <v>0</v>
      </c>
      <c r="K46" s="61">
        <v>-210050</v>
      </c>
    </row>
    <row r="47" spans="1:11" x14ac:dyDescent="0.25">
      <c r="A47" s="60" t="s">
        <v>427</v>
      </c>
      <c r="B47" s="59">
        <v>-851.1</v>
      </c>
      <c r="C47" s="58">
        <v>-810</v>
      </c>
      <c r="D47" s="58">
        <v>-540</v>
      </c>
      <c r="E47" s="58">
        <v>0</v>
      </c>
      <c r="F47" s="58">
        <v>0</v>
      </c>
      <c r="G47" s="62">
        <v>-2950</v>
      </c>
      <c r="H47" s="58">
        <v>-570</v>
      </c>
      <c r="I47" s="58">
        <v>-820</v>
      </c>
      <c r="J47" s="62">
        <v>-42550</v>
      </c>
      <c r="K47" s="61">
        <v>-42910</v>
      </c>
    </row>
    <row r="48" spans="1:11" x14ac:dyDescent="0.25">
      <c r="A48" s="60" t="s">
        <v>426</v>
      </c>
      <c r="B48" s="59">
        <v>0</v>
      </c>
      <c r="C48" s="58">
        <v>0</v>
      </c>
      <c r="D48" s="58">
        <v>0</v>
      </c>
      <c r="E48" s="58">
        <v>0</v>
      </c>
      <c r="F48" s="58">
        <v>0</v>
      </c>
      <c r="G48" s="58">
        <v>0</v>
      </c>
      <c r="H48" s="58">
        <v>0</v>
      </c>
      <c r="I48" s="58">
        <v>0</v>
      </c>
      <c r="J48" s="58">
        <v>0</v>
      </c>
      <c r="K48" s="57">
        <v>0</v>
      </c>
    </row>
    <row r="49" spans="1:11" x14ac:dyDescent="0.25">
      <c r="A49" s="66" t="s">
        <v>425</v>
      </c>
      <c r="B49" s="69">
        <v>-170626.3</v>
      </c>
      <c r="C49" s="68">
        <v>-96460</v>
      </c>
      <c r="D49" s="68">
        <v>-110060</v>
      </c>
      <c r="E49" s="68">
        <v>-268450</v>
      </c>
      <c r="F49" s="68">
        <v>-277110</v>
      </c>
      <c r="G49" s="68">
        <v>-389910</v>
      </c>
      <c r="H49" s="68">
        <v>-320000</v>
      </c>
      <c r="I49" s="68">
        <v>-328830</v>
      </c>
      <c r="J49" s="68">
        <v>-470990</v>
      </c>
      <c r="K49" s="67">
        <v>-654820</v>
      </c>
    </row>
    <row r="50" spans="1:11" x14ac:dyDescent="0.25">
      <c r="A50" s="66" t="s">
        <v>411</v>
      </c>
      <c r="B50" s="65" t="s">
        <v>411</v>
      </c>
      <c r="C50" s="65" t="s">
        <v>411</v>
      </c>
      <c r="D50" s="65" t="s">
        <v>411</v>
      </c>
      <c r="E50" s="65" t="s">
        <v>411</v>
      </c>
      <c r="F50" s="65" t="s">
        <v>411</v>
      </c>
      <c r="G50" s="65" t="s">
        <v>411</v>
      </c>
      <c r="H50" s="65" t="s">
        <v>411</v>
      </c>
      <c r="I50" s="65" t="s">
        <v>411</v>
      </c>
      <c r="J50" s="65" t="s">
        <v>411</v>
      </c>
      <c r="K50" s="64" t="s">
        <v>411</v>
      </c>
    </row>
    <row r="51" spans="1:11" x14ac:dyDescent="0.25">
      <c r="A51" s="60" t="s">
        <v>424</v>
      </c>
      <c r="B51" s="63">
        <v>-1058.2</v>
      </c>
      <c r="C51" s="62">
        <v>1400</v>
      </c>
      <c r="D51" s="62">
        <v>-1630</v>
      </c>
      <c r="E51" s="62">
        <v>2180</v>
      </c>
      <c r="F51" s="58">
        <v>490</v>
      </c>
      <c r="G51" s="62">
        <v>4030</v>
      </c>
      <c r="H51" s="62">
        <v>1730</v>
      </c>
      <c r="I51" s="62">
        <v>1590</v>
      </c>
      <c r="J51" s="62">
        <v>5090</v>
      </c>
      <c r="K51" s="61">
        <v>1840</v>
      </c>
    </row>
    <row r="52" spans="1:11" x14ac:dyDescent="0.25">
      <c r="A52" s="66" t="s">
        <v>411</v>
      </c>
      <c r="B52" s="65" t="s">
        <v>411</v>
      </c>
      <c r="C52" s="65" t="s">
        <v>411</v>
      </c>
      <c r="D52" s="65" t="s">
        <v>411</v>
      </c>
      <c r="E52" s="65" t="s">
        <v>411</v>
      </c>
      <c r="F52" s="65" t="s">
        <v>411</v>
      </c>
      <c r="G52" s="65" t="s">
        <v>411</v>
      </c>
      <c r="H52" s="65" t="s">
        <v>411</v>
      </c>
      <c r="I52" s="65" t="s">
        <v>411</v>
      </c>
      <c r="J52" s="65" t="s">
        <v>411</v>
      </c>
      <c r="K52" s="64" t="s">
        <v>411</v>
      </c>
    </row>
    <row r="53" spans="1:11" x14ac:dyDescent="0.25">
      <c r="A53" s="66" t="s">
        <v>423</v>
      </c>
      <c r="B53" s="69">
        <v>3940.3</v>
      </c>
      <c r="C53" s="68">
        <v>44330</v>
      </c>
      <c r="D53" s="68">
        <v>-26980</v>
      </c>
      <c r="E53" s="68">
        <v>12860</v>
      </c>
      <c r="F53" s="68">
        <v>23410</v>
      </c>
      <c r="G53" s="68">
        <v>14220</v>
      </c>
      <c r="H53" s="68">
        <v>-17880</v>
      </c>
      <c r="I53" s="68">
        <v>56300</v>
      </c>
      <c r="J53" s="68">
        <v>-53650</v>
      </c>
      <c r="K53" s="67">
        <v>-13930</v>
      </c>
    </row>
    <row r="54" spans="1:11" x14ac:dyDescent="0.25">
      <c r="A54" s="66" t="s">
        <v>411</v>
      </c>
      <c r="B54" s="65" t="s">
        <v>411</v>
      </c>
      <c r="C54" s="65" t="s">
        <v>411</v>
      </c>
      <c r="D54" s="65" t="s">
        <v>411</v>
      </c>
      <c r="E54" s="65" t="s">
        <v>411</v>
      </c>
      <c r="F54" s="65" t="s">
        <v>411</v>
      </c>
      <c r="G54" s="65" t="s">
        <v>411</v>
      </c>
      <c r="H54" s="65" t="s">
        <v>411</v>
      </c>
      <c r="I54" s="65" t="s">
        <v>411</v>
      </c>
      <c r="J54" s="65" t="s">
        <v>411</v>
      </c>
      <c r="K54" s="64" t="s">
        <v>411</v>
      </c>
    </row>
    <row r="55" spans="1:11" x14ac:dyDescent="0.25">
      <c r="A55" s="66" t="s">
        <v>422</v>
      </c>
      <c r="B55" s="69">
        <v>74817.600000000006</v>
      </c>
      <c r="C55" s="68">
        <v>75780</v>
      </c>
      <c r="D55" s="68">
        <v>79460</v>
      </c>
      <c r="E55" s="68">
        <v>76090</v>
      </c>
      <c r="F55" s="68">
        <v>99580</v>
      </c>
      <c r="G55" s="68">
        <v>58460</v>
      </c>
      <c r="H55" s="68">
        <v>90920</v>
      </c>
      <c r="I55" s="68">
        <v>114860</v>
      </c>
      <c r="J55" s="68">
        <v>129660</v>
      </c>
      <c r="K55" s="67">
        <v>130040</v>
      </c>
    </row>
    <row r="56" spans="1:11" x14ac:dyDescent="0.25">
      <c r="A56" s="66" t="s">
        <v>421</v>
      </c>
      <c r="B56" s="69">
        <v>1049.8</v>
      </c>
      <c r="C56" s="65">
        <v>200</v>
      </c>
      <c r="D56" s="65">
        <v>200</v>
      </c>
      <c r="E56" s="65">
        <v>400</v>
      </c>
      <c r="F56" s="68">
        <v>1860</v>
      </c>
      <c r="G56" s="68">
        <v>9240</v>
      </c>
      <c r="H56" s="68">
        <v>6340</v>
      </c>
      <c r="I56" s="68">
        <v>6980</v>
      </c>
      <c r="J56" s="68">
        <v>7790</v>
      </c>
      <c r="K56" s="67">
        <v>7500</v>
      </c>
    </row>
    <row r="57" spans="1:11" x14ac:dyDescent="0.25">
      <c r="A57" s="66" t="s">
        <v>411</v>
      </c>
      <c r="B57" s="65" t="s">
        <v>411</v>
      </c>
      <c r="C57" s="65" t="s">
        <v>411</v>
      </c>
      <c r="D57" s="65" t="s">
        <v>411</v>
      </c>
      <c r="E57" s="65" t="s">
        <v>411</v>
      </c>
      <c r="F57" s="65" t="s">
        <v>411</v>
      </c>
      <c r="G57" s="65" t="s">
        <v>411</v>
      </c>
      <c r="H57" s="65" t="s">
        <v>411</v>
      </c>
      <c r="I57" s="65" t="s">
        <v>411</v>
      </c>
      <c r="J57" s="65" t="s">
        <v>411</v>
      </c>
      <c r="K57" s="64" t="s">
        <v>411</v>
      </c>
    </row>
    <row r="58" spans="1:11" x14ac:dyDescent="0.25">
      <c r="A58" s="66" t="s">
        <v>99</v>
      </c>
      <c r="B58" s="65" t="s">
        <v>411</v>
      </c>
      <c r="C58" s="65" t="s">
        <v>411</v>
      </c>
      <c r="D58" s="65" t="s">
        <v>411</v>
      </c>
      <c r="E58" s="65" t="s">
        <v>411</v>
      </c>
      <c r="F58" s="65" t="s">
        <v>411</v>
      </c>
      <c r="G58" s="65" t="s">
        <v>411</v>
      </c>
      <c r="H58" s="65" t="s">
        <v>411</v>
      </c>
      <c r="I58" s="65" t="s">
        <v>411</v>
      </c>
      <c r="J58" s="65" t="s">
        <v>411</v>
      </c>
      <c r="K58" s="64" t="s">
        <v>411</v>
      </c>
    </row>
    <row r="59" spans="1:11" x14ac:dyDescent="0.25">
      <c r="A59" s="60" t="s">
        <v>54</v>
      </c>
      <c r="B59" s="63">
        <v>239919.6</v>
      </c>
      <c r="C59" s="62">
        <v>306780</v>
      </c>
      <c r="D59" s="62">
        <v>323110</v>
      </c>
      <c r="E59" s="62">
        <v>325160</v>
      </c>
      <c r="F59" s="62">
        <v>395060</v>
      </c>
      <c r="G59" s="62">
        <v>421090</v>
      </c>
      <c r="H59" s="62">
        <v>453280</v>
      </c>
      <c r="I59" s="62">
        <v>530570</v>
      </c>
      <c r="J59" s="62">
        <v>592590</v>
      </c>
      <c r="K59" s="61">
        <v>619470</v>
      </c>
    </row>
    <row r="60" spans="1:11" x14ac:dyDescent="0.25">
      <c r="A60" s="60" t="s">
        <v>420</v>
      </c>
      <c r="B60" s="59">
        <v>25.35</v>
      </c>
      <c r="C60" s="58">
        <v>28.24</v>
      </c>
      <c r="D60" s="58">
        <v>27.39</v>
      </c>
      <c r="E60" s="58">
        <v>26.41</v>
      </c>
      <c r="F60" s="58">
        <v>26.97</v>
      </c>
      <c r="G60" s="58">
        <v>26.83</v>
      </c>
      <c r="H60" s="58">
        <v>27.61</v>
      </c>
      <c r="I60" s="58">
        <v>27.67</v>
      </c>
      <c r="J60" s="58">
        <v>26.28</v>
      </c>
      <c r="K60" s="57">
        <v>25.94</v>
      </c>
    </row>
    <row r="61" spans="1:11" x14ac:dyDescent="0.25">
      <c r="A61" s="60" t="s">
        <v>419</v>
      </c>
      <c r="B61" s="63">
        <v>19944</v>
      </c>
      <c r="C61" s="58" t="s">
        <v>70</v>
      </c>
      <c r="D61" s="58" t="s">
        <v>70</v>
      </c>
      <c r="E61" s="58" t="s">
        <v>70</v>
      </c>
      <c r="F61" s="58" t="s">
        <v>70</v>
      </c>
      <c r="G61" s="62">
        <v>37290</v>
      </c>
      <c r="H61" s="58" t="s">
        <v>70</v>
      </c>
      <c r="I61" s="62">
        <v>27000</v>
      </c>
      <c r="J61" s="58" t="s">
        <v>70</v>
      </c>
      <c r="K61" s="57" t="s">
        <v>411</v>
      </c>
    </row>
    <row r="62" spans="1:11" x14ac:dyDescent="0.25">
      <c r="A62" s="60" t="s">
        <v>418</v>
      </c>
      <c r="B62" s="63">
        <v>2636.5</v>
      </c>
      <c r="C62" s="58" t="s">
        <v>70</v>
      </c>
      <c r="D62" s="58" t="s">
        <v>70</v>
      </c>
      <c r="E62" s="58" t="s">
        <v>70</v>
      </c>
      <c r="F62" s="58">
        <v>500</v>
      </c>
      <c r="G62" s="58">
        <v>0</v>
      </c>
      <c r="H62" s="58">
        <v>0</v>
      </c>
      <c r="I62" s="58">
        <v>0</v>
      </c>
      <c r="J62" s="58">
        <v>0</v>
      </c>
      <c r="K62" s="57">
        <v>0</v>
      </c>
    </row>
    <row r="63" spans="1:11" x14ac:dyDescent="0.25">
      <c r="A63" s="60" t="s">
        <v>417</v>
      </c>
      <c r="B63" s="63">
        <v>183184.9</v>
      </c>
      <c r="C63" s="62">
        <v>189290</v>
      </c>
      <c r="D63" s="62">
        <v>256180</v>
      </c>
      <c r="E63" s="62">
        <v>263040</v>
      </c>
      <c r="F63" s="62">
        <v>296140</v>
      </c>
      <c r="G63" s="62">
        <v>321250</v>
      </c>
      <c r="H63" s="62">
        <v>382870</v>
      </c>
      <c r="I63" s="62">
        <v>394600</v>
      </c>
      <c r="J63" s="62">
        <v>417600</v>
      </c>
      <c r="K63" s="61">
        <v>442040</v>
      </c>
    </row>
    <row r="64" spans="1:11" x14ac:dyDescent="0.25">
      <c r="A64" s="60" t="s">
        <v>416</v>
      </c>
      <c r="B64" s="63">
        <v>183979.6</v>
      </c>
      <c r="C64" s="62">
        <v>189542.2</v>
      </c>
      <c r="D64" s="62">
        <v>256424.4</v>
      </c>
      <c r="E64" s="62">
        <v>263434.7</v>
      </c>
      <c r="F64" s="62">
        <v>297643.59999999998</v>
      </c>
      <c r="G64" s="62">
        <v>324567.8</v>
      </c>
      <c r="H64" s="62">
        <v>387609.9</v>
      </c>
      <c r="I64" s="62">
        <v>396571.3</v>
      </c>
      <c r="J64" s="62">
        <v>423390.9</v>
      </c>
      <c r="K64" s="61">
        <v>448171.8</v>
      </c>
    </row>
    <row r="65" spans="1:11" x14ac:dyDescent="0.25">
      <c r="A65" s="60" t="s">
        <v>415</v>
      </c>
      <c r="B65" s="63">
        <v>183681.3</v>
      </c>
      <c r="C65" s="62">
        <v>188180</v>
      </c>
      <c r="D65" s="62">
        <v>256750</v>
      </c>
      <c r="E65" s="62">
        <v>263190</v>
      </c>
      <c r="F65" s="62">
        <v>295190</v>
      </c>
      <c r="G65" s="62">
        <v>312240</v>
      </c>
      <c r="H65" s="62">
        <v>369880</v>
      </c>
      <c r="I65" s="62">
        <v>380740</v>
      </c>
      <c r="J65" s="62">
        <v>402820</v>
      </c>
      <c r="K65" s="61">
        <v>426390</v>
      </c>
    </row>
    <row r="66" spans="1:11" x14ac:dyDescent="0.25">
      <c r="A66" s="60" t="s">
        <v>414</v>
      </c>
      <c r="B66" s="59">
        <v>46.76</v>
      </c>
      <c r="C66" s="58">
        <v>48.14</v>
      </c>
      <c r="D66" s="58">
        <v>65.010000000000005</v>
      </c>
      <c r="E66" s="58">
        <v>68.34</v>
      </c>
      <c r="F66" s="58">
        <v>78.14</v>
      </c>
      <c r="G66" s="58">
        <v>85.61</v>
      </c>
      <c r="H66" s="58">
        <v>102.37</v>
      </c>
      <c r="I66" s="58">
        <v>106.68</v>
      </c>
      <c r="J66" s="58">
        <v>114.13</v>
      </c>
      <c r="K66" s="57">
        <v>120.87</v>
      </c>
    </row>
    <row r="67" spans="1:11" x14ac:dyDescent="0.25">
      <c r="A67" s="60" t="s">
        <v>413</v>
      </c>
      <c r="B67" s="59">
        <v>27.31</v>
      </c>
      <c r="C67" s="58">
        <v>26.18</v>
      </c>
      <c r="D67" s="58">
        <v>18.7</v>
      </c>
      <c r="E67" s="58">
        <v>20.85</v>
      </c>
      <c r="F67" s="58">
        <v>25.62</v>
      </c>
      <c r="G67" s="58">
        <v>21.33</v>
      </c>
      <c r="H67" s="58">
        <v>31.04</v>
      </c>
      <c r="I67" s="58">
        <v>35.06</v>
      </c>
      <c r="J67" s="58">
        <v>28.09</v>
      </c>
      <c r="K67" s="57">
        <v>33.96</v>
      </c>
    </row>
    <row r="68" spans="1:11" x14ac:dyDescent="0.25">
      <c r="A68" s="60" t="s">
        <v>412</v>
      </c>
      <c r="B68" s="59">
        <v>1.07</v>
      </c>
      <c r="C68" s="58">
        <v>0.86</v>
      </c>
      <c r="D68" s="58">
        <v>1.05</v>
      </c>
      <c r="E68" s="58">
        <v>1.0900000000000001</v>
      </c>
      <c r="F68" s="58">
        <v>1.01</v>
      </c>
      <c r="G68" s="58">
        <v>1.0900000000000001</v>
      </c>
      <c r="H68" s="58">
        <v>1.27</v>
      </c>
      <c r="I68" s="58">
        <v>1.0900000000000001</v>
      </c>
      <c r="J68" s="58">
        <v>1.06</v>
      </c>
      <c r="K68" s="57">
        <v>1.02</v>
      </c>
    </row>
    <row r="69" spans="1:11" x14ac:dyDescent="0.25">
      <c r="A69" s="55" t="s">
        <v>69</v>
      </c>
      <c r="B69" s="55" t="s">
        <v>68</v>
      </c>
      <c r="C69" s="56"/>
      <c r="D69" s="56"/>
      <c r="E69" s="56"/>
      <c r="F69" s="56"/>
      <c r="G69" s="55" t="s">
        <v>411</v>
      </c>
      <c r="H69" s="55" t="s">
        <v>411</v>
      </c>
      <c r="I69" s="55" t="s">
        <v>411</v>
      </c>
      <c r="J69" s="55" t="s">
        <v>411</v>
      </c>
      <c r="K69" s="55" t="s">
        <v>411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C495DC29F69DA41B831D7985DDEFF7A" ma:contentTypeVersion="13" ma:contentTypeDescription="Create a new document." ma:contentTypeScope="" ma:versionID="03d5fbdc86e424b9cf361c5bfaf7029f">
  <xsd:schema xmlns:xsd="http://www.w3.org/2001/XMLSchema" xmlns:xs="http://www.w3.org/2001/XMLSchema" xmlns:p="http://schemas.microsoft.com/office/2006/metadata/properties" xmlns:ns3="f6569699-ae44-4c85-9383-dd5a41d3d471" xmlns:ns4="da5da9df-85e1-4e4b-b319-af1e48434c21" targetNamespace="http://schemas.microsoft.com/office/2006/metadata/properties" ma:root="true" ma:fieldsID="c8f353cc51a1390d03143f0216d8ebc0" ns3:_="" ns4:_="">
    <xsd:import namespace="f6569699-ae44-4c85-9383-dd5a41d3d471"/>
    <xsd:import namespace="da5da9df-85e1-4e4b-b319-af1e48434c2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569699-ae44-4c85-9383-dd5a41d3d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5da9df-85e1-4e4b-b319-af1e48434c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983617-943F-4773-ADB3-71FAE5B165AF}">
  <ds:schemaRefs>
    <ds:schemaRef ds:uri="http://schemas.microsoft.com/sharepoint/v3/contenttype/forms"/>
  </ds:schemaRefs>
</ds:datastoreItem>
</file>

<file path=customXml/itemProps2.xml><?xml version="1.0" encoding="utf-8"?>
<ds:datastoreItem xmlns:ds="http://schemas.openxmlformats.org/officeDocument/2006/customXml" ds:itemID="{FD19CBCC-427D-44D0-816D-0DCF7FE3D1BD}">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569699-ae44-4c85-9383-dd5a41d3d471"/>
    <ds:schemaRef ds:uri="http://purl.org/dc/terms/"/>
    <ds:schemaRef ds:uri="da5da9df-85e1-4e4b-b319-af1e48434c21"/>
    <ds:schemaRef ds:uri="http://www.w3.org/XML/1998/namespace"/>
    <ds:schemaRef ds:uri="http://purl.org/dc/dcmitype/"/>
  </ds:schemaRefs>
</ds:datastoreItem>
</file>

<file path=customXml/itemProps3.xml><?xml version="1.0" encoding="utf-8"?>
<ds:datastoreItem xmlns:ds="http://schemas.openxmlformats.org/officeDocument/2006/customXml" ds:itemID="{FD23B7B6-B3AA-4042-962E-7D01A3067E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569699-ae44-4c85-9383-dd5a41d3d471"/>
    <ds:schemaRef ds:uri="da5da9df-85e1-4e4b-b319-af1e48434c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DDM</vt:lpstr>
      <vt:lpstr>FCF MODEL</vt:lpstr>
      <vt:lpstr>Price multiple &amp; Ratio Analysis</vt:lpstr>
      <vt:lpstr>Stock Value</vt:lpstr>
      <vt:lpstr>Income - Adjusted</vt:lpstr>
      <vt:lpstr>Bal Sheet - Standardized</vt:lpstr>
      <vt:lpstr>Cash flow - standardized</vt:lpstr>
    </vt:vector>
  </TitlesOfParts>
  <Company>Hebrew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Very Simple Financial Model</dc:title>
  <dc:creator>Prof Jon Tucker</dc:creator>
  <cp:lastModifiedBy>JAY VAGHELA</cp:lastModifiedBy>
  <cp:lastPrinted>1998-03-02T12:48:44Z</cp:lastPrinted>
  <dcterms:created xsi:type="dcterms:W3CDTF">1996-06-28T01:15:33Z</dcterms:created>
  <dcterms:modified xsi:type="dcterms:W3CDTF">2024-07-17T22:26:40Z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0x0101001C495DC29F69DA41B831D7985DDEFF7A</vt:lpwstr>
  </property>
</Properties>
</file>