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5A4C398B-22F9-4BA6-AF4E-440331010DEE}" xr6:coauthVersionLast="45" xr6:coauthVersionMax="45" xr10:uidLastSave="{00000000-0000-0000-0000-000000000000}"/>
  <bookViews>
    <workbookView xWindow="-108" yWindow="-108" windowWidth="23256" windowHeight="12576" tabRatio="761" firstSheet="3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3" l="1"/>
  <c r="G30" i="13"/>
  <c r="AH112" i="13" l="1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H15" i="13"/>
  <c r="G15" i="13"/>
  <c r="F15" i="13"/>
  <c r="F18" i="13" l="1"/>
  <c r="F17" i="13"/>
  <c r="G18" i="13"/>
  <c r="O68" i="13"/>
  <c r="N25" i="13"/>
  <c r="N40" i="13"/>
  <c r="N21" i="13"/>
  <c r="O40" i="13"/>
  <c r="O65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O26" i="13" l="1"/>
  <c r="G17" i="13"/>
  <c r="O66" i="13"/>
  <c r="O69" i="13" s="1"/>
  <c r="N23" i="13"/>
  <c r="N26" i="13" s="1"/>
  <c r="N29" i="13" s="1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H18" i="13" l="1"/>
  <c r="H19" i="13" s="1"/>
  <c r="H17" i="13" s="1"/>
  <c r="I18" i="13" s="1"/>
  <c r="I19" i="13" s="1"/>
  <c r="I17" i="13" s="1"/>
  <c r="J18" i="13" s="1"/>
  <c r="J19" i="13" s="1"/>
  <c r="J17" i="13" s="1"/>
  <c r="K18" i="13" s="1"/>
  <c r="K19" i="13" s="1"/>
  <c r="K17" i="13" s="1"/>
  <c r="L18" i="13" s="1"/>
  <c r="L19" i="13" s="1"/>
  <c r="L17" i="13" s="1"/>
  <c r="M18" i="13" s="1"/>
  <c r="M19" i="13" s="1"/>
  <c r="M17" i="13" s="1"/>
  <c r="O29" i="13"/>
  <c r="F63" i="13"/>
  <c r="F66" i="13" s="1"/>
  <c r="F69" i="13" s="1"/>
  <c r="G98" i="13"/>
  <c r="F104" i="13"/>
  <c r="F107" i="13" s="1"/>
  <c r="H58" i="13"/>
  <c r="H59" i="13" s="1"/>
  <c r="G60" i="13" s="1"/>
  <c r="G102" i="13"/>
  <c r="G106" i="13"/>
  <c r="G109" i="13"/>
  <c r="G103" i="13"/>
  <c r="G121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G20" i="13" l="1"/>
  <c r="G21" i="13" s="1"/>
  <c r="F20" i="13"/>
  <c r="N18" i="13"/>
  <c r="N19" i="13" s="1"/>
  <c r="N17" i="13" s="1"/>
  <c r="G104" i="13"/>
  <c r="G107" i="13" s="1"/>
  <c r="G61" i="13"/>
  <c r="G68" i="13"/>
  <c r="G65" i="13"/>
  <c r="G62" i="13"/>
  <c r="G80" i="13"/>
  <c r="H99" i="13"/>
  <c r="H100" i="13" s="1"/>
  <c r="H101" i="13" s="1"/>
  <c r="H102" i="13" s="1"/>
  <c r="F110" i="13"/>
  <c r="H57" i="13"/>
  <c r="H20" i="13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G22" i="13" l="1"/>
  <c r="G23" i="13" s="1"/>
  <c r="G40" i="13"/>
  <c r="F40" i="13"/>
  <c r="F22" i="13"/>
  <c r="F25" i="13"/>
  <c r="F21" i="13"/>
  <c r="F28" i="13"/>
  <c r="F133" i="13"/>
  <c r="F136" i="13" s="1"/>
  <c r="F137" i="13" s="1"/>
  <c r="G25" i="13"/>
  <c r="G133" i="13"/>
  <c r="G28" i="13"/>
  <c r="O18" i="13"/>
  <c r="O19" i="13" s="1"/>
  <c r="O17" i="13" s="1"/>
  <c r="G110" i="13"/>
  <c r="H109" i="13"/>
  <c r="H103" i="13"/>
  <c r="H106" i="13"/>
  <c r="H121" i="13"/>
  <c r="H28" i="13"/>
  <c r="H21" i="13"/>
  <c r="H25" i="13"/>
  <c r="H22" i="13"/>
  <c r="H40" i="13"/>
  <c r="I58" i="13"/>
  <c r="I59" i="13" s="1"/>
  <c r="H60" i="13" s="1"/>
  <c r="H133" i="13" s="1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F140" i="13" l="1"/>
  <c r="G26" i="13"/>
  <c r="G29" i="13" s="1"/>
  <c r="F23" i="13"/>
  <c r="F26" i="13" s="1"/>
  <c r="F29" i="13" s="1"/>
  <c r="F135" i="13"/>
  <c r="G136" i="13" s="1"/>
  <c r="G137" i="13" s="1"/>
  <c r="F139" i="13"/>
  <c r="I57" i="13"/>
  <c r="J58" i="13" s="1"/>
  <c r="J59" i="13" s="1"/>
  <c r="I60" i="13" s="1"/>
  <c r="H23" i="13"/>
  <c r="H26" i="13" s="1"/>
  <c r="I99" i="13"/>
  <c r="I100" i="13" s="1"/>
  <c r="I101" i="13" s="1"/>
  <c r="H68" i="13"/>
  <c r="H65" i="13"/>
  <c r="H62" i="13"/>
  <c r="H61" i="13"/>
  <c r="H80" i="13"/>
  <c r="G69" i="13"/>
  <c r="I20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G140" i="13" l="1"/>
  <c r="F138" i="13"/>
  <c r="G139" i="13"/>
  <c r="G31" i="13" s="1"/>
  <c r="F31" i="13"/>
  <c r="F71" i="13"/>
  <c r="F112" i="13"/>
  <c r="J20" i="13"/>
  <c r="J21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G71" i="13" l="1"/>
  <c r="G75" i="13" s="1"/>
  <c r="G135" i="13"/>
  <c r="H136" i="13" s="1"/>
  <c r="H137" i="13" s="1"/>
  <c r="G112" i="13"/>
  <c r="G118" i="13" s="1"/>
  <c r="F118" i="13"/>
  <c r="F116" i="13"/>
  <c r="F113" i="13"/>
  <c r="F114" i="13"/>
  <c r="F33" i="13"/>
  <c r="F32" i="13"/>
  <c r="F37" i="13"/>
  <c r="F35" i="13"/>
  <c r="F75" i="13"/>
  <c r="F77" i="13"/>
  <c r="F73" i="13"/>
  <c r="F72" i="13"/>
  <c r="G37" i="13"/>
  <c r="G32" i="13"/>
  <c r="G33" i="13"/>
  <c r="G35" i="13"/>
  <c r="K20" i="13"/>
  <c r="I104" i="13"/>
  <c r="I107" i="13" s="1"/>
  <c r="I63" i="13"/>
  <c r="I66" i="13" s="1"/>
  <c r="J25" i="13"/>
  <c r="J22" i="13"/>
  <c r="J28" i="13"/>
  <c r="J40" i="13"/>
  <c r="K58" i="13"/>
  <c r="K59" i="13" s="1"/>
  <c r="J60" i="13" s="1"/>
  <c r="I23" i="13"/>
  <c r="I26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G72" i="13" l="1"/>
  <c r="G73" i="13"/>
  <c r="H140" i="13"/>
  <c r="G77" i="13"/>
  <c r="H139" i="13"/>
  <c r="G114" i="13"/>
  <c r="G116" i="13"/>
  <c r="F34" i="13"/>
  <c r="F36" i="13" s="1"/>
  <c r="F41" i="13" s="1"/>
  <c r="F115" i="13"/>
  <c r="F117" i="13" s="1"/>
  <c r="G113" i="13"/>
  <c r="G115" i="13" s="1"/>
  <c r="F74" i="13"/>
  <c r="F76" i="13" s="1"/>
  <c r="F81" i="13" s="1"/>
  <c r="G34" i="13"/>
  <c r="G36" i="13" s="1"/>
  <c r="G38" i="13" s="1"/>
  <c r="H112" i="13"/>
  <c r="I110" i="13"/>
  <c r="G138" i="13"/>
  <c r="H135" i="13"/>
  <c r="I136" i="13" s="1"/>
  <c r="I137" i="13" s="1"/>
  <c r="K57" i="13"/>
  <c r="L58" i="13" s="1"/>
  <c r="L59" i="13" s="1"/>
  <c r="J23" i="13"/>
  <c r="J26" i="13" s="1"/>
  <c r="L20" i="13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G74" i="13" l="1"/>
  <c r="G76" i="13" s="1"/>
  <c r="G81" i="13" s="1"/>
  <c r="I140" i="13"/>
  <c r="H71" i="13"/>
  <c r="H75" i="13" s="1"/>
  <c r="H31" i="13"/>
  <c r="H35" i="13" s="1"/>
  <c r="G117" i="13"/>
  <c r="G122" i="13" s="1"/>
  <c r="F38" i="13"/>
  <c r="F42" i="13" s="1"/>
  <c r="F78" i="13"/>
  <c r="F122" i="13"/>
  <c r="F119" i="13"/>
  <c r="G41" i="13"/>
  <c r="G39" i="13"/>
  <c r="G42" i="13"/>
  <c r="H118" i="13"/>
  <c r="H113" i="13"/>
  <c r="H116" i="13"/>
  <c r="H114" i="13"/>
  <c r="I139" i="13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J63" i="13"/>
  <c r="J66" i="13" s="1"/>
  <c r="L28" i="13"/>
  <c r="L25" i="13"/>
  <c r="L22" i="13"/>
  <c r="L21" i="13"/>
  <c r="L40" i="13"/>
  <c r="K99" i="13"/>
  <c r="K100" i="13" s="1"/>
  <c r="K101" i="13" s="1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G78" i="13" l="1"/>
  <c r="G82" i="13" s="1"/>
  <c r="H33" i="13"/>
  <c r="H32" i="13"/>
  <c r="H77" i="13"/>
  <c r="H73" i="13"/>
  <c r="H72" i="13"/>
  <c r="H37" i="13"/>
  <c r="F39" i="13"/>
  <c r="G119" i="13"/>
  <c r="G120" i="13" s="1"/>
  <c r="K68" i="13"/>
  <c r="F120" i="13"/>
  <c r="F123" i="13"/>
  <c r="F82" i="13"/>
  <c r="F79" i="13"/>
  <c r="I71" i="13"/>
  <c r="I73" i="13" s="1"/>
  <c r="I31" i="13"/>
  <c r="K62" i="13"/>
  <c r="K63" i="13" s="1"/>
  <c r="K65" i="13"/>
  <c r="H115" i="13"/>
  <c r="H117" i="13" s="1"/>
  <c r="H122" i="13" s="1"/>
  <c r="I112" i="13"/>
  <c r="K80" i="13"/>
  <c r="J110" i="13"/>
  <c r="H138" i="13"/>
  <c r="I135" i="13"/>
  <c r="J136" i="13" s="1"/>
  <c r="J137" i="13" s="1"/>
  <c r="L23" i="13"/>
  <c r="L2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M20" i="13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G79" i="13" l="1"/>
  <c r="H34" i="13"/>
  <c r="H36" i="13" s="1"/>
  <c r="H38" i="13" s="1"/>
  <c r="H39" i="13" s="1"/>
  <c r="H74" i="13"/>
  <c r="H76" i="13" s="1"/>
  <c r="H81" i="13" s="1"/>
  <c r="G123" i="13"/>
  <c r="K66" i="13"/>
  <c r="K69" i="13" s="1"/>
  <c r="I33" i="13"/>
  <c r="I35" i="13"/>
  <c r="I37" i="13"/>
  <c r="I32" i="13"/>
  <c r="I72" i="13"/>
  <c r="I74" i="13" s="1"/>
  <c r="I75" i="13"/>
  <c r="H119" i="13"/>
  <c r="I116" i="13"/>
  <c r="I114" i="13"/>
  <c r="I118" i="13"/>
  <c r="I113" i="13"/>
  <c r="I77" i="13"/>
  <c r="L63" i="13"/>
  <c r="L66" i="13" s="1"/>
  <c r="L29" i="13"/>
  <c r="J139" i="13"/>
  <c r="M22" i="13"/>
  <c r="M25" i="13"/>
  <c r="M21" i="13"/>
  <c r="M28" i="13"/>
  <c r="M40" i="13"/>
  <c r="N58" i="13"/>
  <c r="N59" i="13" s="1"/>
  <c r="M60" i="13" s="1"/>
  <c r="K104" i="13"/>
  <c r="K107" i="13" s="1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H41" i="13" l="1"/>
  <c r="H42" i="13"/>
  <c r="H78" i="13"/>
  <c r="H82" i="13" s="1"/>
  <c r="J140" i="13"/>
  <c r="J71" i="13"/>
  <c r="J73" i="13" s="1"/>
  <c r="J31" i="13"/>
  <c r="J112" i="13"/>
  <c r="I76" i="13"/>
  <c r="I81" i="13" s="1"/>
  <c r="I34" i="13"/>
  <c r="I36" i="13" s="1"/>
  <c r="H123" i="13"/>
  <c r="H142" i="13"/>
  <c r="H120" i="13"/>
  <c r="I115" i="13"/>
  <c r="I117" i="13" s="1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H79" i="13" l="1"/>
  <c r="I78" i="13"/>
  <c r="I79" i="13" s="1"/>
  <c r="I38" i="13"/>
  <c r="I41" i="13"/>
  <c r="J37" i="13"/>
  <c r="J32" i="13"/>
  <c r="J33" i="13"/>
  <c r="J35" i="13"/>
  <c r="J77" i="13"/>
  <c r="J72" i="13"/>
  <c r="J74" i="13" s="1"/>
  <c r="J75" i="13"/>
  <c r="J114" i="13"/>
  <c r="J113" i="13"/>
  <c r="J116" i="13"/>
  <c r="J118" i="13"/>
  <c r="I119" i="13"/>
  <c r="I122" i="13"/>
  <c r="I82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J34" i="13" l="1"/>
  <c r="J36" i="13" s="1"/>
  <c r="J38" i="13" s="1"/>
  <c r="J76" i="13"/>
  <c r="J78" i="13" s="1"/>
  <c r="I39" i="13"/>
  <c r="I42" i="13"/>
  <c r="I120" i="13"/>
  <c r="I123" i="13"/>
  <c r="J115" i="13"/>
  <c r="J117" i="13" s="1"/>
  <c r="O57" i="13"/>
  <c r="K137" i="13"/>
  <c r="K139" i="13"/>
  <c r="N62" i="13"/>
  <c r="N65" i="13"/>
  <c r="N61" i="13"/>
  <c r="N68" i="13"/>
  <c r="N80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K140" i="13" l="1"/>
  <c r="K31" i="13"/>
  <c r="K71" i="13"/>
  <c r="K75" i="13" s="1"/>
  <c r="J81" i="13"/>
  <c r="J41" i="13"/>
  <c r="K112" i="13"/>
  <c r="J42" i="13"/>
  <c r="J39" i="13"/>
  <c r="J122" i="13"/>
  <c r="J119" i="13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37" i="13" l="1"/>
  <c r="K32" i="13"/>
  <c r="K33" i="13"/>
  <c r="K35" i="13"/>
  <c r="K73" i="13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74" i="13" l="1"/>
  <c r="K76" i="13" s="1"/>
  <c r="K78" i="13" s="1"/>
  <c r="K34" i="13"/>
  <c r="K36" i="13" s="1"/>
  <c r="K41" i="13" s="1"/>
  <c r="K115" i="13"/>
  <c r="K117" i="13" s="1"/>
  <c r="K122" i="13" s="1"/>
  <c r="L137" i="13"/>
  <c r="L139" i="13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L140" i="13" l="1"/>
  <c r="L31" i="13"/>
  <c r="L71" i="13"/>
  <c r="L75" i="13" s="1"/>
  <c r="K81" i="13"/>
  <c r="L112" i="13"/>
  <c r="K38" i="13"/>
  <c r="K119" i="13"/>
  <c r="K82" i="13"/>
  <c r="K79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2" i="13" l="1"/>
  <c r="L77" i="13"/>
  <c r="K42" i="13"/>
  <c r="K39" i="13"/>
  <c r="L35" i="13"/>
  <c r="L37" i="13"/>
  <c r="L32" i="13"/>
  <c r="L33" i="13"/>
  <c r="L73" i="13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74" i="13" l="1"/>
  <c r="L76" i="13" s="1"/>
  <c r="L78" i="13" s="1"/>
  <c r="L34" i="13"/>
  <c r="L36" i="13" s="1"/>
  <c r="L115" i="13"/>
  <c r="L117" i="13" s="1"/>
  <c r="L122" i="13" s="1"/>
  <c r="M137" i="13"/>
  <c r="M139" i="13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M140" i="13" l="1"/>
  <c r="L81" i="13"/>
  <c r="M71" i="13"/>
  <c r="M72" i="13" s="1"/>
  <c r="M31" i="13"/>
  <c r="L41" i="13"/>
  <c r="L38" i="13"/>
  <c r="L42" i="13" s="1"/>
  <c r="M112" i="13"/>
  <c r="L119" i="13"/>
  <c r="L82" i="13"/>
  <c r="L79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75" i="13" l="1"/>
  <c r="L39" i="13"/>
  <c r="M73" i="13"/>
  <c r="M74" i="13" s="1"/>
  <c r="M77" i="13"/>
  <c r="M33" i="13"/>
  <c r="M35" i="13"/>
  <c r="M37" i="13"/>
  <c r="M32" i="13"/>
  <c r="M116" i="13"/>
  <c r="M118" i="13"/>
  <c r="M113" i="13"/>
  <c r="M114" i="13"/>
  <c r="L123" i="13"/>
  <c r="L120" i="13"/>
  <c r="N136" i="13"/>
  <c r="O164" i="11"/>
  <c r="O124" i="11"/>
  <c r="O125" i="11" s="1"/>
  <c r="N126" i="11" s="1"/>
  <c r="O149" i="9"/>
  <c r="O150" i="9" s="1"/>
  <c r="N151" i="9" s="1"/>
  <c r="L71" i="7"/>
  <c r="M111" i="7"/>
  <c r="M76" i="13" l="1"/>
  <c r="M78" i="13" s="1"/>
  <c r="M34" i="13"/>
  <c r="M36" i="13" s="1"/>
  <c r="M115" i="13"/>
  <c r="M117" i="13" s="1"/>
  <c r="M122" i="13" s="1"/>
  <c r="N137" i="13"/>
  <c r="N139" i="13"/>
  <c r="O123" i="11"/>
  <c r="O148" i="9"/>
  <c r="M72" i="7"/>
  <c r="L74" i="7" s="1"/>
  <c r="N112" i="7"/>
  <c r="N113" i="7" s="1"/>
  <c r="M114" i="7" s="1"/>
  <c r="N140" i="13" l="1"/>
  <c r="M81" i="13"/>
  <c r="N71" i="13"/>
  <c r="N77" i="13" s="1"/>
  <c r="N31" i="13"/>
  <c r="M38" i="13"/>
  <c r="M41" i="13"/>
  <c r="M119" i="13"/>
  <c r="M120" i="13" s="1"/>
  <c r="N112" i="13"/>
  <c r="M82" i="13"/>
  <c r="M79" i="13"/>
  <c r="M138" i="13"/>
  <c r="N135" i="13"/>
  <c r="M71" i="7"/>
  <c r="N111" i="7"/>
  <c r="M123" i="13" l="1"/>
  <c r="N73" i="13"/>
  <c r="N72" i="13"/>
  <c r="N75" i="13"/>
  <c r="N37" i="13"/>
  <c r="N32" i="13"/>
  <c r="N33" i="13"/>
  <c r="N35" i="13"/>
  <c r="M39" i="13"/>
  <c r="M42" i="13"/>
  <c r="N114" i="13"/>
  <c r="N118" i="13"/>
  <c r="N116" i="13"/>
  <c r="N113" i="13"/>
  <c r="O136" i="13"/>
  <c r="N72" i="7"/>
  <c r="M74" i="7" s="1"/>
  <c r="N74" i="13" l="1"/>
  <c r="N76" i="13" s="1"/>
  <c r="N81" i="13" s="1"/>
  <c r="N34" i="13"/>
  <c r="N36" i="13" s="1"/>
  <c r="N115" i="13"/>
  <c r="N117" i="13" s="1"/>
  <c r="N122" i="13" s="1"/>
  <c r="O137" i="13"/>
  <c r="O139" i="13"/>
  <c r="N71" i="7"/>
  <c r="O140" i="13" l="1"/>
  <c r="N78" i="13"/>
  <c r="N79" i="13" s="1"/>
  <c r="O31" i="13"/>
  <c r="O71" i="13"/>
  <c r="O73" i="13" s="1"/>
  <c r="N41" i="13"/>
  <c r="N38" i="13"/>
  <c r="N39" i="13" s="1"/>
  <c r="O112" i="13"/>
  <c r="N119" i="13"/>
  <c r="N138" i="13"/>
  <c r="O135" i="13"/>
  <c r="N82" i="13" l="1"/>
  <c r="N42" i="13"/>
  <c r="O72" i="13"/>
  <c r="O74" i="13" s="1"/>
  <c r="O77" i="13"/>
  <c r="O75" i="13"/>
  <c r="O37" i="13"/>
  <c r="O32" i="13"/>
  <c r="O33" i="13"/>
  <c r="O35" i="13"/>
  <c r="N120" i="13"/>
  <c r="N123" i="13"/>
  <c r="O118" i="13"/>
  <c r="O113" i="13"/>
  <c r="O114" i="13"/>
  <c r="O116" i="13"/>
  <c r="O76" i="13" l="1"/>
  <c r="O81" i="13" s="1"/>
  <c r="O34" i="13"/>
  <c r="O36" i="13" s="1"/>
  <c r="O41" i="13" s="1"/>
  <c r="O115" i="13"/>
  <c r="O117" i="13" s="1"/>
  <c r="O122" i="13" s="1"/>
  <c r="O78" i="13" l="1"/>
  <c r="O82" i="13" s="1"/>
  <c r="O38" i="13"/>
  <c r="O42" i="13" s="1"/>
  <c r="O119" i="13"/>
  <c r="O79" i="13" l="1"/>
  <c r="O39" i="13"/>
  <c r="O123" i="13"/>
  <c r="O120" i="13"/>
</calcChain>
</file>

<file path=xl/sharedStrings.xml><?xml version="1.0" encoding="utf-8"?>
<sst xmlns="http://schemas.openxmlformats.org/spreadsheetml/2006/main" count="1541" uniqueCount="239">
  <si>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</si>
  <si>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</si>
  <si>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</si>
  <si>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</si>
  <si>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</si>
  <si>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</si>
  <si>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</si>
  <si>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</si>
  <si>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</si>
  <si>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</si>
  <si>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</si>
  <si>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</si>
  <si>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</si>
  <si>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</si>
  <si>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</si>
  <si>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</si>
  <si>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</si>
  <si>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</si>
  <si>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</si>
  <si>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</si>
  <si>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</si>
  <si>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</si>
  <si>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</si>
  <si>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</si>
  <si>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</si>
  <si>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</si>
  <si>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</si>
  <si>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</si>
  <si>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</si>
  <si>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</si>
  <si>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</si>
  <si>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</si>
  <si>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</si>
  <si>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</si>
  <si>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</si>
  <si>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</si>
  <si>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</si>
  <si>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</si>
  <si>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</si>
  <si>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</si>
  <si>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</si>
  <si>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</si>
  <si>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</si>
  <si>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</si>
  <si>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</si>
  <si>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</si>
  <si>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</si>
  <si>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</si>
  <si>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</si>
  <si>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</si>
  <si>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</si>
  <si>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</si>
  <si>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</si>
  <si>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</si>
  <si>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</si>
  <si>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</si>
  <si>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</si>
  <si>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</si>
  <si>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</si>
  <si>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</si>
  <si>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</si>
  <si>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</si>
  <si>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</si>
  <si>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</si>
  <si>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</si>
  <si>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</si>
  <si>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</si>
  <si>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</si>
  <si>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</si>
  <si>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</si>
  <si>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</si>
  <si>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</si>
  <si>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</si>
  <si>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</si>
  <si>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</si>
  <si>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</si>
  <si>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</si>
  <si>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</si>
  <si>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</si>
  <si>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</si>
  <si>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</si>
  <si>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</si>
  <si>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</si>
  <si>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</si>
  <si>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</si>
  <si>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</si>
  <si>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</si>
  <si>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</si>
  <si>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</si>
  <si>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</si>
  <si>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</si>
  <si>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</si>
  <si>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</si>
  <si>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</si>
  <si>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</si>
  <si>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</si>
  <si>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</si>
  <si>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</si>
  <si>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</si>
  <si>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</si>
  <si>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</si>
  <si>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</si>
  <si>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</si>
  <si>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</si>
  <si>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</si>
  <si>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</si>
  <si>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</si>
  <si>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</si>
  <si>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</si>
  <si>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</si>
  <si>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</si>
  <si>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</si>
  <si>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</si>
  <si>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</si>
  <si>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</si>
  <si>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</si>
  <si>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</si>
  <si>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</si>
  <si>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</si>
  <si>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</si>
  <si>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</si>
  <si>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</si>
  <si>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</si>
  <si>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</si>
  <si>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</si>
  <si>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</si>
  <si>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</si>
  <si>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</si>
  <si>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</si>
  <si>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</si>
  <si>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</si>
  <si>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</si>
  <si>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</si>
  <si>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</si>
  <si>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</si>
  <si>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</si>
  <si>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</si>
  <si>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</si>
  <si>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</si>
  <si>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</si>
  <si>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</si>
  <si>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</si>
  <si>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</si>
  <si>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</si>
  <si>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</si>
  <si>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</si>
  <si>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</si>
  <si>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</si>
  <si>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</si>
  <si>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</si>
  <si>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</si>
  <si>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</si>
  <si>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</si>
  <si>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</si>
  <si>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</si>
  <si>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</si>
  <si>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</si>
  <si>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</si>
  <si>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</si>
  <si>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</si>
  <si>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</si>
  <si>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</si>
  <si>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</si>
  <si>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</si>
  <si>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</si>
  <si>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</si>
  <si>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</si>
  <si>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</si>
  <si>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</si>
  <si>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</si>
  <si>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</si>
  <si>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</si>
  <si>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</si>
  <si>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</si>
  <si>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</si>
  <si>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</si>
  <si>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</si>
  <si>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</si>
  <si>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</si>
  <si>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</si>
  <si>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</si>
  <si>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</si>
  <si>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</si>
  <si>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</si>
  <si>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</si>
  <si>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</si>
  <si>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</si>
  <si>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</si>
  <si>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</si>
  <si>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</si>
  <si>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</si>
  <si>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</si>
  <si>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</si>
  <si>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</si>
  <si>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</si>
  <si>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</si>
  <si>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</si>
  <si>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</si>
  <si>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</si>
  <si>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</si>
  <si>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</si>
  <si>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</si>
  <si>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</si>
  <si>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</si>
  <si>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</si>
  <si>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</si>
  <si>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</si>
  <si>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</si>
  <si>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</si>
  <si>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</si>
  <si>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</si>
  <si>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</si>
  <si>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</si>
  <si>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</si>
  <si>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</si>
  <si>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</si>
  <si>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</si>
  <si>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</si>
  <si>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</si>
  <si>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</si>
  <si>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</si>
  <si>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</si>
  <si>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</si>
  <si>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</si>
  <si>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</si>
  <si>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</si>
  <si>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</si>
  <si>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</si>
  <si>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</si>
  <si>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</si>
  <si>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</si>
  <si>
    <t>Supplier Forecasted DEMAND</t>
  </si>
  <si>
    <t>Cons</t>
  </si>
  <si>
    <t>reduction can only be made to 1 supplier</t>
  </si>
  <si>
    <t>Pros</t>
  </si>
  <si>
    <t>multiple violations can be solved</t>
  </si>
  <si>
    <t>Amount to Move</t>
  </si>
  <si>
    <t>Supply Lot Size</t>
  </si>
  <si>
    <t>Delivery 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</si>
</sst>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9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  <xf numFmtId="0" fontId="24" fillId="23" borderId="66" xfId="5" applyBorder="1" applyAlignment="1">
      <alignment horizontal="center"/>
    </xf>
    <xf numFmtId="0" fontId="24" fillId="23" borderId="70" xfId="5" applyBorder="1" applyAlignment="1">
      <alignment horizontal="center"/>
    </xf>
    <xf numFmtId="0" fontId="10" fillId="0" borderId="0" xfId="0" applyFont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416" t="s">
        <v>18</v>
      </c>
      <c r="D3" s="417"/>
      <c r="E3" s="417"/>
      <c r="F3" s="417"/>
      <c r="G3" s="417"/>
      <c r="H3" s="417"/>
      <c r="I3" s="417"/>
      <c r="J3" s="417"/>
      <c r="K3" s="417"/>
      <c r="L3" s="417"/>
      <c r="M3" s="418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416" t="s">
        <v>18</v>
      </c>
      <c r="D4" s="417"/>
      <c r="E4" s="417"/>
      <c r="F4" s="417"/>
      <c r="G4" s="417"/>
      <c r="H4" s="417"/>
      <c r="I4" s="417"/>
      <c r="J4" s="417"/>
      <c r="K4" s="417"/>
      <c r="L4" s="417"/>
      <c r="M4" s="418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416" t="s">
        <v>18</v>
      </c>
      <c r="D23" s="417"/>
      <c r="E23" s="417"/>
      <c r="F23" s="417"/>
      <c r="G23" s="417"/>
      <c r="H23" s="417"/>
      <c r="I23" s="417"/>
      <c r="J23" s="417"/>
      <c r="K23" s="417"/>
      <c r="L23" s="417"/>
      <c r="M23" s="418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417" t="s">
        <v>18</v>
      </c>
      <c r="E51" s="417"/>
      <c r="F51" s="417"/>
      <c r="G51" s="417"/>
      <c r="H51" s="417"/>
      <c r="I51" s="417"/>
      <c r="J51" s="417"/>
      <c r="K51" s="417"/>
      <c r="L51" s="418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D7" zoomScale="85" zoomScaleNormal="85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2"/>
      <c r="I136" s="381"/>
    </row>
    <row r="137" spans="1:16" x14ac:dyDescent="0.3">
      <c r="H137" s="382"/>
      <c r="I137" s="381"/>
    </row>
    <row r="138" spans="1:16" x14ac:dyDescent="0.3">
      <c r="H138" s="382"/>
      <c r="I138" s="381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3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 t="shared" ref="F171:O171" si="114">SUM(F163,F147,F130)</f>
        <v>20</v>
      </c>
      <c r="G171" s="136">
        <f t="shared" si="114"/>
        <v>80</v>
      </c>
      <c r="H171" s="136">
        <f t="shared" si="114"/>
        <v>240</v>
      </c>
      <c r="I171" s="136">
        <f t="shared" si="114"/>
        <v>170</v>
      </c>
      <c r="J171" s="136">
        <f t="shared" si="114"/>
        <v>110</v>
      </c>
      <c r="K171" s="136">
        <f t="shared" si="114"/>
        <v>60</v>
      </c>
      <c r="L171" s="136">
        <f t="shared" si="114"/>
        <v>90</v>
      </c>
      <c r="M171" s="136">
        <f t="shared" si="114"/>
        <v>70</v>
      </c>
      <c r="N171" s="136">
        <f t="shared" si="114"/>
        <v>50</v>
      </c>
      <c r="O171" s="137">
        <f t="shared" si="114"/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5">E173+F172+F175-F171</f>
        <v>30</v>
      </c>
      <c r="G173" s="97">
        <f t="shared" si="115"/>
        <v>50</v>
      </c>
      <c r="H173" s="97">
        <f t="shared" si="115"/>
        <v>60</v>
      </c>
      <c r="I173" s="97">
        <f t="shared" si="115"/>
        <v>40</v>
      </c>
      <c r="J173" s="97">
        <f t="shared" si="115"/>
        <v>30</v>
      </c>
      <c r="K173" s="97">
        <f t="shared" si="115"/>
        <v>70</v>
      </c>
      <c r="L173" s="97">
        <f t="shared" si="115"/>
        <v>30</v>
      </c>
      <c r="M173" s="97">
        <f t="shared" si="115"/>
        <v>60</v>
      </c>
      <c r="N173" s="97">
        <f t="shared" si="115"/>
        <v>60</v>
      </c>
      <c r="O173" s="100">
        <f t="shared" si="115"/>
        <v>40</v>
      </c>
    </row>
    <row r="174" spans="1:34" x14ac:dyDescent="0.3">
      <c r="D174" s="131" t="s">
        <v>30</v>
      </c>
      <c r="E174" s="116"/>
      <c r="F174" s="97">
        <f t="shared" ref="F174:O174" si="116">IF(E173-F171&lt;=$E$127, F171-E173+$E$127,0)</f>
        <v>0</v>
      </c>
      <c r="G174" s="97">
        <f t="shared" si="116"/>
        <v>80</v>
      </c>
      <c r="H174" s="97">
        <f t="shared" si="116"/>
        <v>220</v>
      </c>
      <c r="I174" s="97">
        <f t="shared" si="116"/>
        <v>140</v>
      </c>
      <c r="J174" s="97">
        <f t="shared" si="116"/>
        <v>100</v>
      </c>
      <c r="K174" s="97">
        <f t="shared" si="116"/>
        <v>60</v>
      </c>
      <c r="L174" s="97">
        <f t="shared" si="116"/>
        <v>50</v>
      </c>
      <c r="M174" s="97">
        <f t="shared" si="116"/>
        <v>70</v>
      </c>
      <c r="N174" s="97">
        <f t="shared" si="116"/>
        <v>20</v>
      </c>
      <c r="O174" s="100">
        <f t="shared" si="116"/>
        <v>0</v>
      </c>
    </row>
    <row r="175" spans="1:34" x14ac:dyDescent="0.3">
      <c r="D175" s="132" t="s">
        <v>113</v>
      </c>
      <c r="E175" s="116"/>
      <c r="F175" s="97">
        <f t="shared" ref="F175:O175" si="117" xml:space="preserve"> CEILING(F174/$E$126,1)*$E$126</f>
        <v>0</v>
      </c>
      <c r="G175" s="97">
        <f t="shared" si="117"/>
        <v>100</v>
      </c>
      <c r="H175" s="97">
        <f t="shared" si="117"/>
        <v>250</v>
      </c>
      <c r="I175" s="97">
        <f t="shared" si="117"/>
        <v>150</v>
      </c>
      <c r="J175" s="97">
        <f t="shared" si="117"/>
        <v>100</v>
      </c>
      <c r="K175" s="97">
        <f t="shared" si="117"/>
        <v>100</v>
      </c>
      <c r="L175" s="97">
        <f t="shared" si="117"/>
        <v>50</v>
      </c>
      <c r="M175" s="97">
        <f t="shared" si="117"/>
        <v>100</v>
      </c>
      <c r="N175" s="97">
        <f t="shared" si="117"/>
        <v>50</v>
      </c>
      <c r="O175" s="100">
        <f t="shared" si="117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8">I175</f>
        <v>150</v>
      </c>
      <c r="I176" s="54">
        <f t="shared" si="118"/>
        <v>100</v>
      </c>
      <c r="J176" s="54">
        <f t="shared" si="118"/>
        <v>100</v>
      </c>
      <c r="K176" s="54">
        <f t="shared" si="118"/>
        <v>50</v>
      </c>
      <c r="L176" s="54">
        <f t="shared" si="118"/>
        <v>100</v>
      </c>
      <c r="M176" s="54">
        <f t="shared" si="118"/>
        <v>50</v>
      </c>
      <c r="N176" s="54">
        <f t="shared" si="118"/>
        <v>0</v>
      </c>
      <c r="O176" s="55">
        <f t="shared" si="118"/>
        <v>0</v>
      </c>
    </row>
    <row r="177" spans="4:15" ht="15" thickBot="1" x14ac:dyDescent="0.35">
      <c r="D177" s="67" t="s">
        <v>77</v>
      </c>
      <c r="E177" s="68"/>
      <c r="F177" s="65">
        <f t="shared" ref="F177:O177" si="119">F171*$F$84</f>
        <v>4000</v>
      </c>
      <c r="G177" s="65">
        <f t="shared" si="119"/>
        <v>16000</v>
      </c>
      <c r="H177" s="65">
        <f t="shared" si="119"/>
        <v>48000</v>
      </c>
      <c r="I177" s="65">
        <f t="shared" si="119"/>
        <v>34000</v>
      </c>
      <c r="J177" s="65">
        <f t="shared" si="119"/>
        <v>22000</v>
      </c>
      <c r="K177" s="65">
        <f t="shared" si="119"/>
        <v>12000</v>
      </c>
      <c r="L177" s="65">
        <f t="shared" si="119"/>
        <v>18000</v>
      </c>
      <c r="M177" s="65">
        <f t="shared" si="119"/>
        <v>14000</v>
      </c>
      <c r="N177" s="65">
        <f t="shared" si="119"/>
        <v>10000</v>
      </c>
      <c r="O177" s="66">
        <f t="shared" si="119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49"/>
  <sheetViews>
    <sheetView tabSelected="1" topLeftCell="D118" zoomScale="130" zoomScaleNormal="130" workbookViewId="0">
      <selection activeCell="H124" sqref="H124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238</v>
      </c>
      <c r="E7" s="120">
        <v>2</v>
      </c>
      <c r="F7" t="s">
        <v>93</v>
      </c>
    </row>
    <row r="8" spans="1:16" x14ac:dyDescent="0.3">
      <c r="D8" s="118" t="s">
        <v>237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5" t="s">
        <v>226</v>
      </c>
    </row>
    <row r="11" spans="1:16" x14ac:dyDescent="0.3">
      <c r="D11" s="275" t="s">
        <v>162</v>
      </c>
      <c r="E11" s="276"/>
      <c r="F11" s="392"/>
      <c r="G11" s="392"/>
      <c r="H11" s="392"/>
      <c r="I11" s="392">
        <v>30</v>
      </c>
      <c r="J11" s="406">
        <v>40</v>
      </c>
      <c r="K11" s="392">
        <v>15</v>
      </c>
      <c r="L11" s="392">
        <v>150</v>
      </c>
      <c r="M11" s="392"/>
      <c r="N11" s="392"/>
      <c r="O11" s="393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4">
        <v>40</v>
      </c>
      <c r="G12" s="394">
        <v>30</v>
      </c>
      <c r="H12" s="394"/>
      <c r="I12" s="394"/>
      <c r="J12" s="394"/>
      <c r="K12" s="394"/>
      <c r="L12" s="394"/>
      <c r="M12" s="394"/>
      <c r="N12" s="394"/>
      <c r="O12" s="395"/>
    </row>
    <row r="13" spans="1:16" x14ac:dyDescent="0.3">
      <c r="D13" s="279" t="s">
        <v>165</v>
      </c>
      <c r="E13" s="280"/>
      <c r="F13" s="394"/>
      <c r="G13" s="394"/>
      <c r="H13" s="394">
        <v>20</v>
      </c>
      <c r="I13" s="394">
        <v>50</v>
      </c>
      <c r="J13" s="394">
        <v>60</v>
      </c>
      <c r="K13" s="394"/>
      <c r="L13" s="394">
        <v>40</v>
      </c>
      <c r="M13" s="394"/>
      <c r="N13" s="394">
        <v>40</v>
      </c>
      <c r="O13" s="395"/>
    </row>
    <row r="14" spans="1:16" x14ac:dyDescent="0.3">
      <c r="C14" s="251" t="s">
        <v>167</v>
      </c>
      <c r="D14" s="283" t="s">
        <v>205</v>
      </c>
      <c r="E14" s="284"/>
      <c r="F14" s="394">
        <v>50</v>
      </c>
      <c r="G14" s="394">
        <v>40</v>
      </c>
      <c r="H14" s="394"/>
      <c r="I14" s="394"/>
      <c r="J14" s="394"/>
      <c r="K14" s="394"/>
      <c r="L14" s="394"/>
      <c r="M14" s="394"/>
      <c r="N14" s="394"/>
      <c r="O14" s="395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190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398">
        <v>80</v>
      </c>
      <c r="G16" s="398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399">
        <v>50</v>
      </c>
      <c r="F17" s="267">
        <f>E17+F16+F19-F15</f>
        <v>40</v>
      </c>
      <c r="G17" s="267">
        <f t="shared" ref="G17:O17" si="1">F17+G16+G19-G15</f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45</v>
      </c>
      <c r="M17" s="267">
        <f t="shared" si="1"/>
        <v>45</v>
      </c>
      <c r="N17" s="267">
        <f t="shared" si="1"/>
        <v>45</v>
      </c>
      <c r="O17" s="268">
        <f t="shared" si="1"/>
        <v>35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185</v>
      </c>
      <c r="M18" s="267">
        <f t="shared" si="3"/>
        <v>0</v>
      </c>
      <c r="N18" s="267">
        <f t="shared" si="3"/>
        <v>25</v>
      </c>
      <c r="O18" s="268">
        <f t="shared" si="3"/>
        <v>0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200</v>
      </c>
      <c r="M19" s="267">
        <f t="shared" si="4"/>
        <v>0</v>
      </c>
      <c r="N19" s="267">
        <f t="shared" si="4"/>
        <v>40</v>
      </c>
      <c r="O19" s="268">
        <f t="shared" si="4"/>
        <v>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200</v>
      </c>
      <c r="K20" s="344">
        <f t="shared" si="5"/>
        <v>0</v>
      </c>
      <c r="L20" s="344">
        <f t="shared" si="5"/>
        <v>40</v>
      </c>
      <c r="M20" s="344">
        <f t="shared" si="5"/>
        <v>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10</v>
      </c>
      <c r="K22" s="313">
        <f t="shared" si="7"/>
        <v>0</v>
      </c>
      <c r="L22" s="313">
        <f t="shared" si="7"/>
        <v>2</v>
      </c>
      <c r="M22" s="313">
        <f t="shared" si="7"/>
        <v>0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6000</v>
      </c>
      <c r="K23" s="373">
        <f t="shared" si="8"/>
        <v>0</v>
      </c>
      <c r="L23" s="373">
        <f t="shared" si="8"/>
        <v>1200</v>
      </c>
      <c r="M23" s="373">
        <f t="shared" si="8"/>
        <v>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396">
        <v>210</v>
      </c>
      <c r="G24" s="396">
        <v>211</v>
      </c>
      <c r="H24" s="396">
        <v>213</v>
      </c>
      <c r="I24" s="396">
        <v>215</v>
      </c>
      <c r="J24" s="396">
        <v>215</v>
      </c>
      <c r="K24" s="396">
        <v>216</v>
      </c>
      <c r="L24" s="396">
        <v>214</v>
      </c>
      <c r="M24" s="396">
        <v>212</v>
      </c>
      <c r="N24" s="396">
        <v>210</v>
      </c>
      <c r="O24" s="397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>G24*G20</f>
        <v>16880</v>
      </c>
      <c r="H25" s="334">
        <f t="shared" si="9"/>
        <v>21300</v>
      </c>
      <c r="I25" s="334">
        <f t="shared" si="9"/>
        <v>4300</v>
      </c>
      <c r="J25" s="334">
        <f t="shared" si="9"/>
        <v>43000</v>
      </c>
      <c r="K25" s="334">
        <f t="shared" si="9"/>
        <v>0</v>
      </c>
      <c r="L25" s="334">
        <f t="shared" si="9"/>
        <v>8560</v>
      </c>
      <c r="M25" s="334">
        <f t="shared" si="9"/>
        <v>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49000</v>
      </c>
      <c r="K26" s="336">
        <f t="shared" si="10"/>
        <v>0</v>
      </c>
      <c r="L26" s="336">
        <f t="shared" si="10"/>
        <v>9760</v>
      </c>
      <c r="M26" s="336">
        <f t="shared" si="10"/>
        <v>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396">
        <v>410</v>
      </c>
      <c r="G27" s="396">
        <v>413</v>
      </c>
      <c r="H27" s="396">
        <v>410</v>
      </c>
      <c r="I27" s="396">
        <v>415</v>
      </c>
      <c r="J27" s="396">
        <v>418</v>
      </c>
      <c r="K27" s="396">
        <v>430</v>
      </c>
      <c r="L27" s="396">
        <v>423</v>
      </c>
      <c r="M27" s="396">
        <v>419</v>
      </c>
      <c r="N27" s="396">
        <v>417</v>
      </c>
      <c r="O27" s="397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83600</v>
      </c>
      <c r="K28" s="338">
        <f t="shared" si="11"/>
        <v>0</v>
      </c>
      <c r="L28" s="338">
        <f t="shared" si="11"/>
        <v>16920</v>
      </c>
      <c r="M28" s="338">
        <f t="shared" si="11"/>
        <v>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34600</v>
      </c>
      <c r="K29" s="292">
        <f t="shared" si="12"/>
        <v>0</v>
      </c>
      <c r="L29" s="292">
        <f t="shared" si="12"/>
        <v>7160</v>
      </c>
      <c r="M29" s="292">
        <f t="shared" si="12"/>
        <v>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>SUM(I11:I12)</f>
        <v>30</v>
      </c>
      <c r="H30" s="258">
        <f t="shared" ref="H30:O30" si="13">SUM(J11:J12)</f>
        <v>40</v>
      </c>
      <c r="I30" s="258">
        <f t="shared" si="13"/>
        <v>15</v>
      </c>
      <c r="J30" s="258">
        <f t="shared" si="13"/>
        <v>150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MIN(F139,F30)</f>
        <v>0</v>
      </c>
      <c r="G31" s="258">
        <f t="shared" ref="G31:O31" si="14">MIN(G139,G30)</f>
        <v>0</v>
      </c>
      <c r="H31" s="258">
        <f t="shared" si="14"/>
        <v>20</v>
      </c>
      <c r="I31" s="258">
        <f t="shared" si="14"/>
        <v>0</v>
      </c>
      <c r="J31" s="258">
        <f t="shared" si="14"/>
        <v>60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1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3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1800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12900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14700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25080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10380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24220</v>
      </c>
      <c r="K39" s="224">
        <f t="shared" si="30"/>
        <v>0</v>
      </c>
      <c r="L39" s="224">
        <f t="shared" si="30"/>
        <v>7160</v>
      </c>
      <c r="M39" s="224">
        <f t="shared" si="30"/>
        <v>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0.75</v>
      </c>
      <c r="K40" s="330" t="e">
        <f t="shared" si="31"/>
        <v>#DIV/0!</v>
      </c>
      <c r="L40" s="330">
        <f t="shared" si="31"/>
        <v>0</v>
      </c>
      <c r="M40" s="330" t="e">
        <f t="shared" si="31"/>
        <v>#DIV/0!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0.3</v>
      </c>
      <c r="K41" s="330" t="e">
        <f t="shared" si="32"/>
        <v>#DIV/0!</v>
      </c>
      <c r="L41" s="330">
        <f t="shared" si="32"/>
        <v>0</v>
      </c>
      <c r="M41" s="330" t="e">
        <f t="shared" si="32"/>
        <v>#DIV/0!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0.3</v>
      </c>
      <c r="K42" s="332" t="e">
        <f t="shared" si="33"/>
        <v>#DIV/0!</v>
      </c>
      <c r="L42" s="332">
        <f t="shared" si="33"/>
        <v>0</v>
      </c>
      <c r="M42" s="332" t="e">
        <f t="shared" si="33"/>
        <v>#DIV/0!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238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237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2"/>
      <c r="G51" s="392"/>
      <c r="H51" s="392">
        <v>0</v>
      </c>
      <c r="I51" s="406">
        <v>20</v>
      </c>
      <c r="J51" s="392">
        <v>20</v>
      </c>
      <c r="K51" s="392">
        <v>15</v>
      </c>
      <c r="L51" s="392"/>
      <c r="M51" s="392">
        <v>10</v>
      </c>
      <c r="N51" s="392"/>
      <c r="O51" s="393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4"/>
      <c r="G52" s="394">
        <v>10</v>
      </c>
      <c r="H52" s="394"/>
      <c r="I52" s="394"/>
      <c r="J52" s="394"/>
      <c r="K52" s="394"/>
      <c r="L52" s="394"/>
      <c r="M52" s="394"/>
      <c r="N52" s="394"/>
      <c r="O52" s="395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4"/>
      <c r="G53" s="394"/>
      <c r="H53" s="394"/>
      <c r="I53" s="394">
        <v>60</v>
      </c>
      <c r="J53" s="394">
        <v>80</v>
      </c>
      <c r="K53" s="394"/>
      <c r="L53" s="394">
        <v>40</v>
      </c>
      <c r="M53" s="394"/>
      <c r="N53" s="394">
        <v>50</v>
      </c>
      <c r="O53" s="395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4"/>
      <c r="G54" s="394">
        <v>40</v>
      </c>
      <c r="H54" s="394"/>
      <c r="I54" s="394"/>
      <c r="J54" s="394"/>
      <c r="K54" s="394"/>
      <c r="L54" s="394"/>
      <c r="M54" s="394"/>
      <c r="N54" s="394"/>
      <c r="O54" s="395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398">
        <v>20</v>
      </c>
      <c r="G56" s="398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399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0" t="s">
        <v>170</v>
      </c>
      <c r="E64" s="233"/>
      <c r="F64" s="403">
        <v>210</v>
      </c>
      <c r="G64" s="403">
        <v>211</v>
      </c>
      <c r="H64" s="403">
        <v>213</v>
      </c>
      <c r="I64" s="403">
        <v>215</v>
      </c>
      <c r="J64" s="403">
        <v>215</v>
      </c>
      <c r="K64" s="403">
        <v>216</v>
      </c>
      <c r="L64" s="403">
        <v>214</v>
      </c>
      <c r="M64" s="403">
        <v>212</v>
      </c>
      <c r="N64" s="403">
        <v>210</v>
      </c>
      <c r="O64" s="404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1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2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396">
        <v>411</v>
      </c>
      <c r="G67" s="396">
        <v>414</v>
      </c>
      <c r="H67" s="396">
        <v>412</v>
      </c>
      <c r="I67" s="396">
        <v>413</v>
      </c>
      <c r="J67" s="396">
        <v>418</v>
      </c>
      <c r="K67" s="396">
        <v>428</v>
      </c>
      <c r="L67" s="396">
        <v>426</v>
      </c>
      <c r="M67" s="396">
        <v>419</v>
      </c>
      <c r="N67" s="396">
        <v>415</v>
      </c>
      <c r="O67" s="397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07" t="s">
        <v>193</v>
      </c>
      <c r="E70" s="408"/>
      <c r="F70" s="409">
        <f>SUM(G51:G52)</f>
        <v>10</v>
      </c>
      <c r="G70" s="409">
        <f t="shared" ref="G70:O70" si="46">SUM(H51:H52)</f>
        <v>0</v>
      </c>
      <c r="H70" s="409">
        <f t="shared" si="46"/>
        <v>20</v>
      </c>
      <c r="I70" s="409">
        <f t="shared" si="46"/>
        <v>20</v>
      </c>
      <c r="J70" s="409">
        <f t="shared" si="46"/>
        <v>15</v>
      </c>
      <c r="K70" s="409">
        <f t="shared" si="46"/>
        <v>0</v>
      </c>
      <c r="L70" s="409">
        <f t="shared" si="46"/>
        <v>10</v>
      </c>
      <c r="M70" s="409">
        <f t="shared" si="46"/>
        <v>0</v>
      </c>
      <c r="N70" s="409">
        <f t="shared" si="46"/>
        <v>10</v>
      </c>
      <c r="O70" s="410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MIN(F139,F70)</f>
        <v>0</v>
      </c>
      <c r="G71" s="258">
        <f t="shared" ref="G71:O71" si="47">MIN(G139,G70)</f>
        <v>0</v>
      </c>
      <c r="H71" s="258">
        <f t="shared" si="47"/>
        <v>20</v>
      </c>
      <c r="I71" s="258">
        <f t="shared" si="47"/>
        <v>0</v>
      </c>
      <c r="J71" s="258">
        <f t="shared" si="47"/>
        <v>15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1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500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3225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3725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6270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2545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1015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 t="shared" ref="F80:O80" si="56">F70/F60</f>
        <v>0.5</v>
      </c>
      <c r="G80" s="330" t="e">
        <f t="shared" si="56"/>
        <v>#DIV/0!</v>
      </c>
      <c r="H80" s="330">
        <f t="shared" si="56"/>
        <v>0.25</v>
      </c>
      <c r="I80" s="330">
        <f t="shared" si="56"/>
        <v>0.2</v>
      </c>
      <c r="J80" s="330">
        <f t="shared" si="56"/>
        <v>0.75</v>
      </c>
      <c r="K80" s="330">
        <f t="shared" si="56"/>
        <v>0</v>
      </c>
      <c r="L80" s="330">
        <f t="shared" si="56"/>
        <v>0.5</v>
      </c>
      <c r="M80" s="330">
        <f t="shared" si="56"/>
        <v>0</v>
      </c>
      <c r="N80" s="330">
        <f t="shared" si="56"/>
        <v>0.5</v>
      </c>
      <c r="O80" s="330" t="e">
        <f t="shared" si="56"/>
        <v>#DIV/0!</v>
      </c>
      <c r="AA80" s="367"/>
    </row>
    <row r="81" spans="3:35" s="138" customFormat="1" x14ac:dyDescent="0.3">
      <c r="D81" s="328" t="s">
        <v>213</v>
      </c>
      <c r="E81" s="329"/>
      <c r="F81" s="330">
        <f t="shared" ref="F81:O81" si="57">F76/F66</f>
        <v>0</v>
      </c>
      <c r="G81" s="330" t="e">
        <f t="shared" si="57"/>
        <v>#DIV/0!</v>
      </c>
      <c r="H81" s="330">
        <f t="shared" si="57"/>
        <v>0.25</v>
      </c>
      <c r="I81" s="330">
        <f t="shared" si="57"/>
        <v>0</v>
      </c>
      <c r="J81" s="330">
        <f t="shared" si="57"/>
        <v>0.77604166666666663</v>
      </c>
      <c r="K81" s="330">
        <f t="shared" si="57"/>
        <v>0</v>
      </c>
      <c r="L81" s="330">
        <f t="shared" si="57"/>
        <v>0</v>
      </c>
      <c r="M81" s="330">
        <f t="shared" si="57"/>
        <v>0</v>
      </c>
      <c r="N81" s="330">
        <f t="shared" si="57"/>
        <v>0</v>
      </c>
      <c r="O81" s="330" t="e">
        <f t="shared" si="57"/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 t="shared" ref="F82:O82" si="58">F78/F69</f>
        <v>0</v>
      </c>
      <c r="G82" s="332" t="e">
        <f t="shared" si="58"/>
        <v>#DIV/0!</v>
      </c>
      <c r="H82" s="332">
        <f t="shared" si="58"/>
        <v>0.25</v>
      </c>
      <c r="I82" s="332">
        <f t="shared" si="58"/>
        <v>0</v>
      </c>
      <c r="J82" s="332">
        <f t="shared" si="58"/>
        <v>0.7148876404494382</v>
      </c>
      <c r="K82" s="332">
        <f t="shared" si="58"/>
        <v>0</v>
      </c>
      <c r="L82" s="332">
        <f t="shared" si="58"/>
        <v>0</v>
      </c>
      <c r="M82" s="332">
        <f t="shared" si="58"/>
        <v>0</v>
      </c>
      <c r="N82" s="332">
        <f t="shared" si="58"/>
        <v>0</v>
      </c>
      <c r="O82" s="332" t="e">
        <f t="shared" si="58"/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238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237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413"/>
      <c r="G92" s="413">
        <v>0</v>
      </c>
      <c r="H92" s="413">
        <v>15</v>
      </c>
      <c r="I92" s="413">
        <v>20</v>
      </c>
      <c r="J92" s="413">
        <v>10</v>
      </c>
      <c r="K92" s="413"/>
      <c r="L92" s="413"/>
      <c r="M92" s="413">
        <v>15</v>
      </c>
      <c r="N92" s="413"/>
      <c r="O92" s="414">
        <v>0</v>
      </c>
      <c r="S92" s="138"/>
      <c r="T92" s="138"/>
    </row>
    <row r="93" spans="3:35" x14ac:dyDescent="0.3">
      <c r="D93" s="277" t="s">
        <v>204</v>
      </c>
      <c r="E93" s="278"/>
      <c r="F93" s="413">
        <v>10</v>
      </c>
      <c r="G93" s="413"/>
      <c r="H93" s="413"/>
      <c r="I93" s="413"/>
      <c r="J93" s="413"/>
      <c r="K93" s="413"/>
      <c r="L93" s="413"/>
      <c r="M93" s="413"/>
      <c r="N93" s="413"/>
      <c r="O93" s="414"/>
      <c r="S93" s="138"/>
      <c r="T93" s="138"/>
    </row>
    <row r="94" spans="3:35" x14ac:dyDescent="0.3">
      <c r="D94" s="279" t="s">
        <v>165</v>
      </c>
      <c r="E94" s="280"/>
      <c r="F94" s="413"/>
      <c r="G94" s="413"/>
      <c r="H94" s="413">
        <v>40</v>
      </c>
      <c r="I94" s="413">
        <v>30</v>
      </c>
      <c r="J94" s="413">
        <v>40</v>
      </c>
      <c r="K94" s="413">
        <v>20</v>
      </c>
      <c r="L94" s="413">
        <v>30</v>
      </c>
      <c r="M94" s="413"/>
      <c r="N94" s="413">
        <v>30</v>
      </c>
      <c r="O94" s="414">
        <v>20</v>
      </c>
      <c r="S94" s="138"/>
      <c r="T94" s="138"/>
    </row>
    <row r="95" spans="3:35" x14ac:dyDescent="0.3">
      <c r="D95" s="283" t="s">
        <v>205</v>
      </c>
      <c r="E95" s="284"/>
      <c r="F95" s="413"/>
      <c r="G95" s="413">
        <v>20</v>
      </c>
      <c r="H95" s="413"/>
      <c r="I95" s="413"/>
      <c r="J95" s="413"/>
      <c r="K95" s="413"/>
      <c r="L95" s="413"/>
      <c r="M95" s="413"/>
      <c r="N95" s="413"/>
      <c r="O95" s="414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9">SUM(G92:G95)</f>
        <v>20</v>
      </c>
      <c r="H96" s="289">
        <f t="shared" si="59"/>
        <v>55</v>
      </c>
      <c r="I96" s="289">
        <f t="shared" si="59"/>
        <v>50</v>
      </c>
      <c r="J96" s="289">
        <f t="shared" si="59"/>
        <v>50</v>
      </c>
      <c r="K96" s="289">
        <f t="shared" si="59"/>
        <v>20</v>
      </c>
      <c r="L96" s="289">
        <f t="shared" si="59"/>
        <v>30</v>
      </c>
      <c r="M96" s="289">
        <f t="shared" si="59"/>
        <v>15</v>
      </c>
      <c r="N96" s="289">
        <f t="shared" si="59"/>
        <v>30</v>
      </c>
      <c r="O96" s="290">
        <f t="shared" si="59"/>
        <v>20</v>
      </c>
    </row>
    <row r="97" spans="3:35" x14ac:dyDescent="0.3">
      <c r="D97" s="175" t="s">
        <v>203</v>
      </c>
      <c r="E97" s="263"/>
      <c r="F97" s="3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399">
        <v>20</v>
      </c>
      <c r="F98" s="267">
        <f>E98+F97+F100-F96</f>
        <v>30</v>
      </c>
      <c r="G98" s="97">
        <f t="shared" ref="G98:O98" si="60">F98+G97+G100-G96</f>
        <v>10</v>
      </c>
      <c r="H98" s="97">
        <f t="shared" si="60"/>
        <v>15</v>
      </c>
      <c r="I98" s="97">
        <f t="shared" si="60"/>
        <v>15</v>
      </c>
      <c r="J98" s="97">
        <f t="shared" si="60"/>
        <v>15</v>
      </c>
      <c r="K98" s="97">
        <f t="shared" si="60"/>
        <v>15</v>
      </c>
      <c r="L98" s="97">
        <f t="shared" si="60"/>
        <v>15</v>
      </c>
      <c r="M98" s="97">
        <f t="shared" si="60"/>
        <v>10</v>
      </c>
      <c r="N98" s="97">
        <f t="shared" si="60"/>
        <v>10</v>
      </c>
      <c r="O98" s="100">
        <f t="shared" si="60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61">IF(F98-G96&lt;=$E$90, G96-F98+$E$90,0)</f>
        <v>0</v>
      </c>
      <c r="H99" s="97">
        <f t="shared" si="61"/>
        <v>55</v>
      </c>
      <c r="I99" s="97">
        <f t="shared" si="61"/>
        <v>45</v>
      </c>
      <c r="J99" s="97">
        <f t="shared" si="61"/>
        <v>45</v>
      </c>
      <c r="K99" s="97">
        <f t="shared" si="61"/>
        <v>15</v>
      </c>
      <c r="L99" s="97">
        <f t="shared" si="61"/>
        <v>25</v>
      </c>
      <c r="M99" s="97">
        <f t="shared" si="61"/>
        <v>10</v>
      </c>
      <c r="N99" s="97">
        <f t="shared" si="61"/>
        <v>30</v>
      </c>
      <c r="O99" s="100">
        <f t="shared" si="61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62" xml:space="preserve"> CEILING(G99/$E$89,1)*$E$89</f>
        <v>0</v>
      </c>
      <c r="H100" s="97">
        <f t="shared" si="62"/>
        <v>60</v>
      </c>
      <c r="I100" s="97">
        <f t="shared" si="62"/>
        <v>50</v>
      </c>
      <c r="J100" s="97">
        <f t="shared" si="62"/>
        <v>50</v>
      </c>
      <c r="K100" s="97">
        <f t="shared" si="62"/>
        <v>20</v>
      </c>
      <c r="L100" s="97">
        <f t="shared" si="62"/>
        <v>30</v>
      </c>
      <c r="M100" s="97">
        <f t="shared" si="62"/>
        <v>10</v>
      </c>
      <c r="N100" s="97">
        <f t="shared" si="62"/>
        <v>30</v>
      </c>
      <c r="O100" s="100">
        <f t="shared" si="62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3">F100</f>
        <v>0</v>
      </c>
      <c r="G101" s="271">
        <f t="shared" si="63"/>
        <v>0</v>
      </c>
      <c r="H101" s="271">
        <f t="shared" si="63"/>
        <v>60</v>
      </c>
      <c r="I101" s="271">
        <f t="shared" si="63"/>
        <v>50</v>
      </c>
      <c r="J101" s="271">
        <f t="shared" si="63"/>
        <v>50</v>
      </c>
      <c r="K101" s="271">
        <f t="shared" si="63"/>
        <v>20</v>
      </c>
      <c r="L101" s="271">
        <f t="shared" si="63"/>
        <v>30</v>
      </c>
      <c r="M101" s="271">
        <f t="shared" si="63"/>
        <v>10</v>
      </c>
      <c r="N101" s="271">
        <f t="shared" si="63"/>
        <v>30</v>
      </c>
      <c r="O101" s="272">
        <f t="shared" si="63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4">QUOTIENT(MOD(G101+$E$87-1,$E$86),$E$87)</f>
        <v>0</v>
      </c>
      <c r="H102" s="370">
        <f>QUOTIENT(MOD(H101+$E$87-1,$E$86),$E$87)</f>
        <v>0</v>
      </c>
      <c r="I102" s="370">
        <f t="shared" si="64"/>
        <v>1</v>
      </c>
      <c r="J102" s="370">
        <f t="shared" si="64"/>
        <v>1</v>
      </c>
      <c r="K102" s="370">
        <f t="shared" si="64"/>
        <v>0</v>
      </c>
      <c r="L102" s="370">
        <f t="shared" si="64"/>
        <v>1</v>
      </c>
      <c r="M102" s="370">
        <f t="shared" si="64"/>
        <v>1</v>
      </c>
      <c r="N102" s="370">
        <f t="shared" si="64"/>
        <v>1</v>
      </c>
      <c r="O102" s="371">
        <f t="shared" si="64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5">QUOTIENT(G101+$E$87-1,$E$86)</f>
        <v>0</v>
      </c>
      <c r="H103" s="313">
        <f t="shared" si="65"/>
        <v>3</v>
      </c>
      <c r="I103" s="313">
        <f t="shared" si="65"/>
        <v>2</v>
      </c>
      <c r="J103" s="313">
        <f t="shared" si="65"/>
        <v>2</v>
      </c>
      <c r="K103" s="313">
        <f t="shared" si="65"/>
        <v>1</v>
      </c>
      <c r="L103" s="313">
        <f t="shared" si="65"/>
        <v>1</v>
      </c>
      <c r="M103" s="313">
        <f t="shared" si="65"/>
        <v>0</v>
      </c>
      <c r="N103" s="313">
        <f t="shared" si="65"/>
        <v>1</v>
      </c>
      <c r="O103" s="314">
        <f t="shared" si="65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6">G103*$F$86+G102*$F$87</f>
        <v>0</v>
      </c>
      <c r="H104" s="373">
        <f t="shared" si="66"/>
        <v>600</v>
      </c>
      <c r="I104" s="373">
        <f t="shared" si="66"/>
        <v>520</v>
      </c>
      <c r="J104" s="373">
        <f t="shared" si="66"/>
        <v>520</v>
      </c>
      <c r="K104" s="373">
        <f t="shared" si="66"/>
        <v>200</v>
      </c>
      <c r="L104" s="373">
        <f t="shared" si="66"/>
        <v>320</v>
      </c>
      <c r="M104" s="373">
        <f t="shared" si="66"/>
        <v>120</v>
      </c>
      <c r="N104" s="373">
        <f t="shared" si="66"/>
        <v>320</v>
      </c>
      <c r="O104" s="374">
        <f t="shared" si="66"/>
        <v>200</v>
      </c>
    </row>
    <row r="105" spans="3:35" x14ac:dyDescent="0.3">
      <c r="D105" s="179" t="s">
        <v>170</v>
      </c>
      <c r="E105" s="233"/>
      <c r="F105" s="396">
        <v>210</v>
      </c>
      <c r="G105" s="396">
        <v>211</v>
      </c>
      <c r="H105" s="396">
        <v>213</v>
      </c>
      <c r="I105" s="396">
        <v>215</v>
      </c>
      <c r="J105" s="396">
        <v>215</v>
      </c>
      <c r="K105" s="396">
        <v>216</v>
      </c>
      <c r="L105" s="396">
        <v>214</v>
      </c>
      <c r="M105" s="396">
        <v>212</v>
      </c>
      <c r="N105" s="396">
        <v>210</v>
      </c>
      <c r="O105" s="397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7">G105*G101</f>
        <v>0</v>
      </c>
      <c r="H106" s="333">
        <f t="shared" si="67"/>
        <v>12780</v>
      </c>
      <c r="I106" s="333">
        <f t="shared" si="67"/>
        <v>10750</v>
      </c>
      <c r="J106" s="333">
        <f t="shared" si="67"/>
        <v>10750</v>
      </c>
      <c r="K106" s="333">
        <f t="shared" si="67"/>
        <v>4320</v>
      </c>
      <c r="L106" s="333">
        <f t="shared" si="67"/>
        <v>6420</v>
      </c>
      <c r="M106" s="333">
        <f t="shared" si="67"/>
        <v>2120</v>
      </c>
      <c r="N106" s="333">
        <f t="shared" si="67"/>
        <v>6300</v>
      </c>
      <c r="O106" s="377">
        <f t="shared" si="67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8">F104+F106</f>
        <v>0</v>
      </c>
      <c r="G107" s="336">
        <f t="shared" si="68"/>
        <v>0</v>
      </c>
      <c r="H107" s="336">
        <f t="shared" si="68"/>
        <v>13380</v>
      </c>
      <c r="I107" s="336">
        <f t="shared" si="68"/>
        <v>11270</v>
      </c>
      <c r="J107" s="336">
        <f t="shared" si="68"/>
        <v>11270</v>
      </c>
      <c r="K107" s="336">
        <f t="shared" si="68"/>
        <v>4520</v>
      </c>
      <c r="L107" s="336">
        <f t="shared" si="68"/>
        <v>6740</v>
      </c>
      <c r="M107" s="336">
        <f t="shared" si="68"/>
        <v>2240</v>
      </c>
      <c r="N107" s="336">
        <f t="shared" si="68"/>
        <v>6620</v>
      </c>
      <c r="O107" s="337">
        <f t="shared" si="68"/>
        <v>4380</v>
      </c>
      <c r="P107" s="251" t="s">
        <v>178</v>
      </c>
    </row>
    <row r="108" spans="3:35" x14ac:dyDescent="0.3">
      <c r="D108" s="179" t="s">
        <v>173</v>
      </c>
      <c r="E108" s="273"/>
      <c r="F108" s="396">
        <v>410</v>
      </c>
      <c r="G108" s="396">
        <v>413</v>
      </c>
      <c r="H108" s="396">
        <v>410</v>
      </c>
      <c r="I108" s="396">
        <v>415</v>
      </c>
      <c r="J108" s="396">
        <v>418</v>
      </c>
      <c r="K108" s="396">
        <v>430</v>
      </c>
      <c r="L108" s="396">
        <v>423</v>
      </c>
      <c r="M108" s="396">
        <v>419</v>
      </c>
      <c r="N108" s="396">
        <v>417</v>
      </c>
      <c r="O108" s="397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9">G108*G101</f>
        <v>0</v>
      </c>
      <c r="H109" s="338">
        <f t="shared" si="69"/>
        <v>24600</v>
      </c>
      <c r="I109" s="338">
        <f t="shared" si="69"/>
        <v>20750</v>
      </c>
      <c r="J109" s="338">
        <f t="shared" si="69"/>
        <v>20900</v>
      </c>
      <c r="K109" s="338">
        <f t="shared" si="69"/>
        <v>8600</v>
      </c>
      <c r="L109" s="338">
        <f t="shared" si="69"/>
        <v>12690</v>
      </c>
      <c r="M109" s="338">
        <f t="shared" si="69"/>
        <v>4190</v>
      </c>
      <c r="N109" s="338">
        <f t="shared" si="69"/>
        <v>12510</v>
      </c>
      <c r="O109" s="339">
        <f t="shared" si="69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70">G109-G107</f>
        <v>0</v>
      </c>
      <c r="H110" s="292">
        <f t="shared" si="70"/>
        <v>11220</v>
      </c>
      <c r="I110" s="292">
        <f t="shared" si="70"/>
        <v>9480</v>
      </c>
      <c r="J110" s="292">
        <f t="shared" si="70"/>
        <v>9630</v>
      </c>
      <c r="K110" s="292">
        <f t="shared" si="70"/>
        <v>4080</v>
      </c>
      <c r="L110" s="292">
        <f t="shared" si="70"/>
        <v>5950</v>
      </c>
      <c r="M110" s="292">
        <f t="shared" si="70"/>
        <v>1950</v>
      </c>
      <c r="N110" s="292">
        <f t="shared" si="70"/>
        <v>5890</v>
      </c>
      <c r="O110" s="293">
        <f t="shared" si="70"/>
        <v>4060</v>
      </c>
      <c r="P110" s="251" t="s">
        <v>180</v>
      </c>
    </row>
    <row r="111" spans="3:35" ht="13.8" customHeight="1" thickBot="1" x14ac:dyDescent="0.35">
      <c r="D111" s="407" t="s">
        <v>193</v>
      </c>
      <c r="E111" s="408"/>
      <c r="F111" s="409">
        <f>SUM(F92:F93)</f>
        <v>10</v>
      </c>
      <c r="G111" s="409">
        <f t="shared" ref="G111:O111" si="71">SUM(G92:G93)</f>
        <v>0</v>
      </c>
      <c r="H111" s="409">
        <f t="shared" si="71"/>
        <v>15</v>
      </c>
      <c r="I111" s="409">
        <f t="shared" si="71"/>
        <v>20</v>
      </c>
      <c r="J111" s="409">
        <f t="shared" si="71"/>
        <v>10</v>
      </c>
      <c r="K111" s="409">
        <f t="shared" si="71"/>
        <v>0</v>
      </c>
      <c r="L111" s="409">
        <f t="shared" si="71"/>
        <v>0</v>
      </c>
      <c r="M111" s="409">
        <f t="shared" si="71"/>
        <v>15</v>
      </c>
      <c r="N111" s="409">
        <f t="shared" si="71"/>
        <v>0</v>
      </c>
      <c r="O111" s="410">
        <f t="shared" si="71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72">MIN(F139,F111)</f>
        <v>0</v>
      </c>
      <c r="G112" s="258">
        <f t="shared" si="72"/>
        <v>0</v>
      </c>
      <c r="H112" s="258">
        <f>MIN(H139,H111)</f>
        <v>15</v>
      </c>
      <c r="I112" s="258">
        <f t="shared" ref="I112" si="73">MIN(I139,I111)</f>
        <v>0</v>
      </c>
      <c r="J112" s="258">
        <f t="shared" ref="J112:K112" si="74">MIN(J139,J111)</f>
        <v>10</v>
      </c>
      <c r="K112" s="258">
        <f t="shared" si="74"/>
        <v>0</v>
      </c>
      <c r="L112" s="258">
        <f t="shared" ref="L112" si="75">MIN(L139,L111)</f>
        <v>0</v>
      </c>
      <c r="M112" s="258">
        <f t="shared" ref="M112:N112" si="76">MIN(M139,M111)</f>
        <v>0</v>
      </c>
      <c r="N112" s="258">
        <f t="shared" si="76"/>
        <v>0</v>
      </c>
      <c r="O112" s="259">
        <f t="shared" ref="O112" si="77">MIN(O139,O111)</f>
        <v>0</v>
      </c>
      <c r="P112" s="251" t="s">
        <v>210</v>
      </c>
      <c r="W112" s="138">
        <v>38</v>
      </c>
      <c r="X112" s="138">
        <f t="shared" ref="X112" si="78">CEILING(W112,20)</f>
        <v>40</v>
      </c>
      <c r="Y112" s="138">
        <f t="shared" ref="Y112" si="79">FLOOR(W112,20)</f>
        <v>20</v>
      </c>
      <c r="Z112" s="138">
        <f t="shared" ref="Z112" si="80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81">QUOTIENT(MOD(W112,$AD$26),$AD$25)</f>
        <v>1</v>
      </c>
      <c r="AF112" s="358">
        <f t="shared" ref="AF112" si="82">QUOTIENT(MOD(W112+$AD$25-1,$AD$26),$AD$25)</f>
        <v>0</v>
      </c>
      <c r="AG112" s="357">
        <f t="shared" ref="AG112" si="83">QUOTIENT(W112,$AD$26)</f>
        <v>1</v>
      </c>
      <c r="AH112" s="359">
        <f t="shared" ref="AH112" si="84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5">QUOTIENT(MOD(G112+$E$87-1,$E$86),$E$87)</f>
        <v>0</v>
      </c>
      <c r="H113" s="369">
        <f t="shared" si="85"/>
        <v>0</v>
      </c>
      <c r="I113" s="369">
        <f t="shared" si="85"/>
        <v>0</v>
      </c>
      <c r="J113" s="369">
        <f t="shared" si="85"/>
        <v>1</v>
      </c>
      <c r="K113" s="369">
        <f t="shared" si="85"/>
        <v>0</v>
      </c>
      <c r="L113" s="369">
        <f t="shared" si="85"/>
        <v>0</v>
      </c>
      <c r="M113" s="369">
        <f t="shared" si="85"/>
        <v>0</v>
      </c>
      <c r="N113" s="369">
        <f t="shared" si="85"/>
        <v>0</v>
      </c>
      <c r="O113" s="378">
        <f t="shared" si="85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6">QUOTIENT(G112+$E$87-1,$E$86)</f>
        <v>0</v>
      </c>
      <c r="H114" s="313">
        <f t="shared" si="86"/>
        <v>1</v>
      </c>
      <c r="I114" s="313">
        <f t="shared" si="86"/>
        <v>0</v>
      </c>
      <c r="J114" s="313">
        <f t="shared" si="86"/>
        <v>0</v>
      </c>
      <c r="K114" s="313">
        <f t="shared" si="86"/>
        <v>0</v>
      </c>
      <c r="L114" s="313">
        <f t="shared" si="86"/>
        <v>0</v>
      </c>
      <c r="M114" s="313">
        <f t="shared" si="86"/>
        <v>0</v>
      </c>
      <c r="N114" s="313">
        <f t="shared" si="86"/>
        <v>0</v>
      </c>
      <c r="O114" s="314">
        <f t="shared" si="86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7">G114*$F$86+G113*$F$87</f>
        <v>0</v>
      </c>
      <c r="H115" s="316">
        <f t="shared" si="87"/>
        <v>200</v>
      </c>
      <c r="I115" s="316">
        <f t="shared" si="87"/>
        <v>0</v>
      </c>
      <c r="J115" s="316">
        <f t="shared" si="87"/>
        <v>120</v>
      </c>
      <c r="K115" s="316">
        <f t="shared" si="87"/>
        <v>0</v>
      </c>
      <c r="L115" s="316">
        <f t="shared" si="87"/>
        <v>0</v>
      </c>
      <c r="M115" s="316">
        <f t="shared" si="87"/>
        <v>0</v>
      </c>
      <c r="N115" s="316">
        <f t="shared" si="87"/>
        <v>0</v>
      </c>
      <c r="O115" s="317">
        <f t="shared" si="87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8">G112*G105</f>
        <v>0</v>
      </c>
      <c r="H116" s="194">
        <f t="shared" si="88"/>
        <v>3195</v>
      </c>
      <c r="I116" s="194">
        <f t="shared" si="88"/>
        <v>0</v>
      </c>
      <c r="J116" s="194">
        <f t="shared" si="88"/>
        <v>2150</v>
      </c>
      <c r="K116" s="194">
        <f t="shared" si="88"/>
        <v>0</v>
      </c>
      <c r="L116" s="194">
        <f t="shared" si="88"/>
        <v>0</v>
      </c>
      <c r="M116" s="194">
        <f t="shared" si="88"/>
        <v>0</v>
      </c>
      <c r="N116" s="194">
        <f t="shared" si="88"/>
        <v>0</v>
      </c>
      <c r="O116" s="195">
        <f t="shared" si="88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9">G116+G115</f>
        <v>0</v>
      </c>
      <c r="H117" s="292">
        <f t="shared" si="89"/>
        <v>3395</v>
      </c>
      <c r="I117" s="292">
        <f t="shared" si="89"/>
        <v>0</v>
      </c>
      <c r="J117" s="292">
        <f t="shared" si="89"/>
        <v>2270</v>
      </c>
      <c r="K117" s="292">
        <f t="shared" si="89"/>
        <v>0</v>
      </c>
      <c r="L117" s="292">
        <f t="shared" si="89"/>
        <v>0</v>
      </c>
      <c r="M117" s="292">
        <f t="shared" si="89"/>
        <v>0</v>
      </c>
      <c r="N117" s="292">
        <f t="shared" si="89"/>
        <v>0</v>
      </c>
      <c r="O117" s="293">
        <f t="shared" si="89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90">G112*G108</f>
        <v>0</v>
      </c>
      <c r="H118" s="194">
        <f t="shared" si="90"/>
        <v>6150</v>
      </c>
      <c r="I118" s="194">
        <f t="shared" si="90"/>
        <v>0</v>
      </c>
      <c r="J118" s="194">
        <f t="shared" si="90"/>
        <v>4180</v>
      </c>
      <c r="K118" s="194">
        <f t="shared" si="90"/>
        <v>0</v>
      </c>
      <c r="L118" s="194">
        <f t="shared" si="90"/>
        <v>0</v>
      </c>
      <c r="M118" s="194">
        <f t="shared" si="90"/>
        <v>0</v>
      </c>
      <c r="N118" s="194">
        <f t="shared" si="90"/>
        <v>0</v>
      </c>
      <c r="O118" s="195">
        <f t="shared" si="90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91">H118-H117</f>
        <v>2755</v>
      </c>
      <c r="I119" s="326">
        <f t="shared" si="91"/>
        <v>0</v>
      </c>
      <c r="J119" s="326">
        <f t="shared" si="91"/>
        <v>1910</v>
      </c>
      <c r="K119" s="326">
        <f t="shared" si="91"/>
        <v>0</v>
      </c>
      <c r="L119" s="326">
        <f t="shared" si="91"/>
        <v>0</v>
      </c>
      <c r="M119" s="326">
        <f t="shared" si="91"/>
        <v>0</v>
      </c>
      <c r="N119" s="326">
        <f t="shared" si="91"/>
        <v>0</v>
      </c>
      <c r="O119" s="327">
        <f t="shared" si="91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92">H110-H119</f>
        <v>8465</v>
      </c>
      <c r="I120" s="224">
        <f t="shared" si="92"/>
        <v>9480</v>
      </c>
      <c r="J120" s="224">
        <f t="shared" si="92"/>
        <v>7720</v>
      </c>
      <c r="K120" s="224">
        <f t="shared" si="92"/>
        <v>4080</v>
      </c>
      <c r="L120" s="224">
        <f t="shared" si="92"/>
        <v>5950</v>
      </c>
      <c r="M120" s="224">
        <f t="shared" si="92"/>
        <v>1950</v>
      </c>
      <c r="N120" s="224">
        <f t="shared" si="92"/>
        <v>5890</v>
      </c>
      <c r="O120" s="225">
        <f t="shared" si="92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3">G111/G101</f>
        <v>#DIV/0!</v>
      </c>
      <c r="H121" s="330">
        <f t="shared" si="93"/>
        <v>0.25</v>
      </c>
      <c r="I121" s="330">
        <f t="shared" si="93"/>
        <v>0.4</v>
      </c>
      <c r="J121" s="330">
        <f t="shared" si="93"/>
        <v>0.2</v>
      </c>
      <c r="K121" s="330">
        <f t="shared" si="93"/>
        <v>0</v>
      </c>
      <c r="L121" s="330">
        <f t="shared" si="93"/>
        <v>0</v>
      </c>
      <c r="M121" s="330">
        <f t="shared" si="93"/>
        <v>1.5</v>
      </c>
      <c r="N121" s="330">
        <f t="shared" si="93"/>
        <v>0</v>
      </c>
      <c r="O121" s="330">
        <f t="shared" si="93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4">G117/G107</f>
        <v>#DIV/0!</v>
      </c>
      <c r="H122" s="330">
        <f t="shared" si="94"/>
        <v>0.2537369207772795</v>
      </c>
      <c r="I122" s="330">
        <f t="shared" si="94"/>
        <v>0</v>
      </c>
      <c r="J122" s="330">
        <f t="shared" si="94"/>
        <v>0.20141969831410825</v>
      </c>
      <c r="K122" s="330">
        <f t="shared" si="94"/>
        <v>0</v>
      </c>
      <c r="L122" s="330">
        <f t="shared" si="94"/>
        <v>0</v>
      </c>
      <c r="M122" s="330">
        <f t="shared" si="94"/>
        <v>0</v>
      </c>
      <c r="N122" s="330">
        <f t="shared" si="94"/>
        <v>0</v>
      </c>
      <c r="O122" s="330">
        <f t="shared" si="94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5">G119/G110</f>
        <v>#DIV/0!</v>
      </c>
      <c r="H123" s="332">
        <f>H119/H110</f>
        <v>0.24554367201426025</v>
      </c>
      <c r="I123" s="332">
        <f t="shared" si="95"/>
        <v>0</v>
      </c>
      <c r="J123" s="332">
        <f t="shared" si="95"/>
        <v>0.19833852544132918</v>
      </c>
      <c r="K123" s="332">
        <f t="shared" si="95"/>
        <v>0</v>
      </c>
      <c r="L123" s="332">
        <f t="shared" si="95"/>
        <v>0</v>
      </c>
      <c r="M123" s="332">
        <f t="shared" si="95"/>
        <v>0</v>
      </c>
      <c r="N123" s="332">
        <f t="shared" si="95"/>
        <v>0</v>
      </c>
      <c r="O123" s="332">
        <f t="shared" si="95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3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3:16" x14ac:dyDescent="0.3">
      <c r="D130" s="118" t="s">
        <v>35</v>
      </c>
      <c r="E130" s="121">
        <v>30</v>
      </c>
      <c r="F130" t="s">
        <v>120</v>
      </c>
    </row>
    <row r="131" spans="3:16" ht="15" thickBot="1" x14ac:dyDescent="0.35">
      <c r="D131" s="118" t="s">
        <v>224</v>
      </c>
      <c r="E131" s="122">
        <v>200</v>
      </c>
    </row>
    <row r="132" spans="3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3:16" x14ac:dyDescent="0.3">
      <c r="D133" s="129" t="s">
        <v>231</v>
      </c>
      <c r="E133" s="115"/>
      <c r="F133" s="136">
        <f t="shared" ref="F133:O133" si="96">SUM(F101,F60,F20)</f>
        <v>20</v>
      </c>
      <c r="G133" s="136">
        <f t="shared" si="96"/>
        <v>80</v>
      </c>
      <c r="H133" s="136">
        <f>SUM(H101,H60,H20)</f>
        <v>240</v>
      </c>
      <c r="I133" s="136">
        <f t="shared" si="96"/>
        <v>170</v>
      </c>
      <c r="J133" s="136">
        <f t="shared" si="96"/>
        <v>270</v>
      </c>
      <c r="K133" s="136">
        <f t="shared" si="96"/>
        <v>60</v>
      </c>
      <c r="L133" s="136">
        <f t="shared" si="96"/>
        <v>90</v>
      </c>
      <c r="M133" s="136">
        <f t="shared" si="96"/>
        <v>50</v>
      </c>
      <c r="N133" s="136">
        <f t="shared" si="96"/>
        <v>50</v>
      </c>
      <c r="O133" s="137">
        <f t="shared" si="96"/>
        <v>20</v>
      </c>
    </row>
    <row r="134" spans="3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3:16" x14ac:dyDescent="0.3">
      <c r="D135" s="131" t="s">
        <v>85</v>
      </c>
      <c r="E135" s="266">
        <v>50</v>
      </c>
      <c r="F135" s="267">
        <f t="shared" ref="F135:O135" si="97">E135+F137-F133</f>
        <v>30</v>
      </c>
      <c r="G135" s="267">
        <f t="shared" si="97"/>
        <v>50</v>
      </c>
      <c r="H135" s="267">
        <f t="shared" si="97"/>
        <v>60</v>
      </c>
      <c r="I135" s="267">
        <f t="shared" si="97"/>
        <v>40</v>
      </c>
      <c r="J135" s="267">
        <f t="shared" si="97"/>
        <v>70</v>
      </c>
      <c r="K135" s="267">
        <f t="shared" si="97"/>
        <v>60</v>
      </c>
      <c r="L135" s="267">
        <f t="shared" si="97"/>
        <v>70</v>
      </c>
      <c r="M135" s="267">
        <f t="shared" si="97"/>
        <v>70</v>
      </c>
      <c r="N135" s="267">
        <f t="shared" si="97"/>
        <v>70</v>
      </c>
      <c r="O135" s="268">
        <f t="shared" si="97"/>
        <v>50</v>
      </c>
    </row>
    <row r="136" spans="3:16" x14ac:dyDescent="0.3">
      <c r="D136" s="131" t="s">
        <v>30</v>
      </c>
      <c r="E136" s="266"/>
      <c r="F136" s="267">
        <f t="shared" ref="F136:O136" si="98">IF(E135-F133&lt;=$E$130, F133-E135+$E$130,0)</f>
        <v>0</v>
      </c>
      <c r="G136" s="267">
        <f t="shared" si="98"/>
        <v>80</v>
      </c>
      <c r="H136" s="267">
        <f t="shared" si="98"/>
        <v>220</v>
      </c>
      <c r="I136" s="267">
        <f t="shared" si="98"/>
        <v>140</v>
      </c>
      <c r="J136" s="267">
        <f t="shared" si="98"/>
        <v>260</v>
      </c>
      <c r="K136" s="267">
        <f t="shared" si="98"/>
        <v>20</v>
      </c>
      <c r="L136" s="267">
        <f t="shared" si="98"/>
        <v>60</v>
      </c>
      <c r="M136" s="267">
        <f t="shared" si="98"/>
        <v>10</v>
      </c>
      <c r="N136" s="267">
        <f t="shared" si="98"/>
        <v>10</v>
      </c>
      <c r="O136" s="268">
        <f t="shared" si="98"/>
        <v>0</v>
      </c>
    </row>
    <row r="137" spans="3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9" xml:space="preserve"> CEILING(G136/$E$129,1)*$E$129</f>
        <v>100</v>
      </c>
      <c r="H137" s="388">
        <f t="shared" si="99"/>
        <v>250</v>
      </c>
      <c r="I137" s="267">
        <f t="shared" si="99"/>
        <v>150</v>
      </c>
      <c r="J137" s="267">
        <f t="shared" si="99"/>
        <v>300</v>
      </c>
      <c r="K137" s="267">
        <f t="shared" si="99"/>
        <v>50</v>
      </c>
      <c r="L137" s="267">
        <f t="shared" si="99"/>
        <v>100</v>
      </c>
      <c r="M137" s="267">
        <f t="shared" si="99"/>
        <v>50</v>
      </c>
      <c r="N137" s="267">
        <f t="shared" si="99"/>
        <v>50</v>
      </c>
      <c r="O137" s="268">
        <f t="shared" si="99"/>
        <v>0</v>
      </c>
    </row>
    <row r="138" spans="3:16" ht="15" thickBot="1" x14ac:dyDescent="0.35">
      <c r="D138" s="133" t="s">
        <v>225</v>
      </c>
      <c r="E138" s="389"/>
      <c r="F138" s="390">
        <f>G137</f>
        <v>100</v>
      </c>
      <c r="G138" s="390">
        <f>H137</f>
        <v>250</v>
      </c>
      <c r="H138" s="390">
        <f t="shared" ref="H138:O138" si="100">I137</f>
        <v>150</v>
      </c>
      <c r="I138" s="390">
        <f t="shared" si="100"/>
        <v>300</v>
      </c>
      <c r="J138" s="390">
        <f t="shared" si="100"/>
        <v>50</v>
      </c>
      <c r="K138" s="390">
        <f t="shared" si="100"/>
        <v>100</v>
      </c>
      <c r="L138" s="390">
        <f t="shared" si="100"/>
        <v>50</v>
      </c>
      <c r="M138" s="390">
        <f t="shared" si="100"/>
        <v>50</v>
      </c>
      <c r="N138" s="390">
        <f t="shared" si="100"/>
        <v>0</v>
      </c>
      <c r="O138" s="391">
        <f t="shared" si="100"/>
        <v>0</v>
      </c>
      <c r="P138" s="177"/>
    </row>
    <row r="139" spans="3:16" ht="15" thickBot="1" x14ac:dyDescent="0.35">
      <c r="D139" s="384" t="s">
        <v>223</v>
      </c>
      <c r="E139" s="385"/>
      <c r="F139" s="386">
        <f>IF(F136&gt;$E$131,F136-$E$131,0)</f>
        <v>0</v>
      </c>
      <c r="G139" s="386">
        <f t="shared" ref="G139:O140" si="101">IF(G136&gt;$E$131,G136-$E$131,0)</f>
        <v>0</v>
      </c>
      <c r="H139" s="386">
        <f>IF(H136&gt;$E$131,H136-$E$131,0)</f>
        <v>20</v>
      </c>
      <c r="I139" s="386">
        <f t="shared" si="101"/>
        <v>0</v>
      </c>
      <c r="J139" s="386">
        <f t="shared" si="101"/>
        <v>60</v>
      </c>
      <c r="K139" s="386">
        <f t="shared" si="101"/>
        <v>0</v>
      </c>
      <c r="L139" s="386">
        <f t="shared" si="101"/>
        <v>0</v>
      </c>
      <c r="M139" s="386">
        <f t="shared" si="101"/>
        <v>0</v>
      </c>
      <c r="N139" s="386">
        <f t="shared" si="101"/>
        <v>0</v>
      </c>
      <c r="O139" s="387">
        <f t="shared" si="101"/>
        <v>0</v>
      </c>
      <c r="P139" s="177"/>
    </row>
    <row r="140" spans="3:16" ht="15" thickBot="1" x14ac:dyDescent="0.35">
      <c r="D140" s="384" t="s">
        <v>236</v>
      </c>
      <c r="E140" s="385"/>
      <c r="F140" s="386">
        <f>IF(F137&gt;$E$131,F137-$E$131,0)</f>
        <v>0</v>
      </c>
      <c r="G140" s="386">
        <f t="shared" si="101"/>
        <v>0</v>
      </c>
      <c r="H140" s="386">
        <f>IF(H137&gt;$E$131,H137-$E$131,0)</f>
        <v>50</v>
      </c>
      <c r="I140" s="386">
        <f t="shared" si="101"/>
        <v>0</v>
      </c>
      <c r="J140" s="386">
        <f t="shared" si="101"/>
        <v>100</v>
      </c>
      <c r="K140" s="386">
        <f t="shared" si="101"/>
        <v>0</v>
      </c>
      <c r="L140" s="386">
        <f t="shared" si="101"/>
        <v>0</v>
      </c>
      <c r="M140" s="386">
        <f t="shared" si="101"/>
        <v>0</v>
      </c>
      <c r="N140" s="386">
        <f t="shared" si="101"/>
        <v>0</v>
      </c>
      <c r="O140" s="387">
        <f t="shared" si="101"/>
        <v>0</v>
      </c>
      <c r="P140" s="177"/>
    </row>
    <row r="141" spans="3:16" x14ac:dyDescent="0.3">
      <c r="H141" s="382"/>
      <c r="I141" s="381"/>
    </row>
    <row r="142" spans="3:16" x14ac:dyDescent="0.3">
      <c r="H142" s="412">
        <f>MIN(H119,H78,H38)</f>
        <v>2755</v>
      </c>
      <c r="I142" s="381"/>
    </row>
    <row r="143" spans="3:16" x14ac:dyDescent="0.3">
      <c r="H143" s="382"/>
      <c r="I143" s="381"/>
    </row>
    <row r="144" spans="3:16" x14ac:dyDescent="0.3">
      <c r="C144" s="157" t="s">
        <v>121</v>
      </c>
      <c r="H144" s="415" t="s">
        <v>234</v>
      </c>
    </row>
    <row r="145" spans="3:8" x14ac:dyDescent="0.3">
      <c r="C145" t="s">
        <v>137</v>
      </c>
      <c r="H145" s="85" t="s">
        <v>235</v>
      </c>
    </row>
    <row r="146" spans="3:8" x14ac:dyDescent="0.3">
      <c r="C146" t="s">
        <v>139</v>
      </c>
    </row>
    <row r="147" spans="3:8" x14ac:dyDescent="0.3">
      <c r="C147" t="s">
        <v>156</v>
      </c>
    </row>
    <row r="148" spans="3:8" x14ac:dyDescent="0.3">
      <c r="C148" s="383" t="s">
        <v>140</v>
      </c>
      <c r="D148" s="85" t="s">
        <v>141</v>
      </c>
      <c r="H148" s="415" t="s">
        <v>232</v>
      </c>
    </row>
    <row r="149" spans="3:8" x14ac:dyDescent="0.3">
      <c r="H149" s="85" t="s">
        <v>233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2020-08-28T07:27:06Z</dcterms:modified>
</cp:coreProperties>
</file>