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TNP flux and rate data\"/>
    </mc:Choice>
  </mc:AlternateContent>
  <bookViews>
    <workbookView xWindow="0" yWindow="0" windowWidth="24000" windowHeight="9600" firstSheet="6" activeTab="8"/>
  </bookViews>
  <sheets>
    <sheet name="BottleVolumes" sheetId="5" r:id="rId1"/>
    <sheet name="Station 0 Cast 1 Calculation" sheetId="29" r:id="rId2"/>
    <sheet name="Station 3 Cast 4 Calculation" sheetId="31" r:id="rId3"/>
    <sheet name="Station 4 Cast 5 Calculation" sheetId="34" r:id="rId4"/>
    <sheet name="Station 5 Cast 6 Calculation" sheetId="38" r:id="rId5"/>
    <sheet name="Station 6 Cast 7 Calculation" sheetId="41" r:id="rId6"/>
    <sheet name="Station 9 Cast 10 Calculation" sheetId="44" r:id="rId7"/>
    <sheet name="Station 24 Cast 28 Calculation" sheetId="46" r:id="rId8"/>
    <sheet name="Winkler vs CTD" sheetId="2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46" l="1"/>
  <c r="I18" i="46" s="1"/>
  <c r="J18" i="46" s="1"/>
  <c r="G17" i="46"/>
  <c r="G16" i="46"/>
  <c r="G15" i="46"/>
  <c r="G14" i="46"/>
  <c r="G13" i="46"/>
  <c r="G12" i="46"/>
  <c r="G11" i="46"/>
  <c r="G10" i="46"/>
  <c r="G9" i="46"/>
  <c r="N6" i="46"/>
  <c r="N5" i="46"/>
  <c r="I9" i="46" l="1"/>
  <c r="J9" i="46" s="1"/>
  <c r="I16" i="46"/>
  <c r="J16" i="46" s="1"/>
  <c r="N9" i="46" s="1"/>
  <c r="I14" i="46"/>
  <c r="J14" i="46" s="1"/>
  <c r="I13" i="46"/>
  <c r="J13" i="46" s="1"/>
  <c r="I17" i="46"/>
  <c r="J17" i="46" s="1"/>
  <c r="N10" i="46" s="1"/>
  <c r="I10" i="46"/>
  <c r="J10" i="46" s="1"/>
  <c r="I11" i="46"/>
  <c r="J11" i="46" s="1"/>
  <c r="I15" i="46"/>
  <c r="J15" i="46" s="1"/>
  <c r="I12" i="46"/>
  <c r="J12" i="46" s="1"/>
  <c r="G17" i="44"/>
  <c r="G16" i="44"/>
  <c r="G15" i="44"/>
  <c r="G14" i="44"/>
  <c r="G13" i="44"/>
  <c r="G12" i="44"/>
  <c r="G11" i="44"/>
  <c r="G10" i="44"/>
  <c r="G9" i="44"/>
  <c r="N6" i="44"/>
  <c r="N5" i="44"/>
  <c r="P9" i="46" l="1"/>
  <c r="O9" i="46"/>
  <c r="I14" i="44"/>
  <c r="J14" i="44" s="1"/>
  <c r="I9" i="44"/>
  <c r="J9" i="44" s="1"/>
  <c r="I15" i="44"/>
  <c r="J15" i="44" s="1"/>
  <c r="I16" i="44"/>
  <c r="J16" i="44" s="1"/>
  <c r="I13" i="44"/>
  <c r="J13" i="44" s="1"/>
  <c r="I17" i="44"/>
  <c r="J17" i="44" s="1"/>
  <c r="I10" i="44"/>
  <c r="J10" i="44" s="1"/>
  <c r="I11" i="44"/>
  <c r="J11" i="44" s="1"/>
  <c r="I12" i="44"/>
  <c r="J12" i="44" s="1"/>
  <c r="G17" i="41"/>
  <c r="G16" i="41"/>
  <c r="G15" i="41"/>
  <c r="G14" i="41"/>
  <c r="G13" i="41"/>
  <c r="G12" i="41"/>
  <c r="G11" i="41"/>
  <c r="G10" i="41"/>
  <c r="G9" i="41"/>
  <c r="N6" i="41"/>
  <c r="N5" i="41"/>
  <c r="N9" i="44" l="1"/>
  <c r="N10" i="44"/>
  <c r="I13" i="41"/>
  <c r="J13" i="41" s="1"/>
  <c r="I15" i="41"/>
  <c r="J15" i="41" s="1"/>
  <c r="I12" i="41"/>
  <c r="J12" i="41" s="1"/>
  <c r="I14" i="41"/>
  <c r="J14" i="41" s="1"/>
  <c r="I9" i="41"/>
  <c r="J9" i="41" s="1"/>
  <c r="I11" i="41"/>
  <c r="J11" i="41" s="1"/>
  <c r="I17" i="41"/>
  <c r="J17" i="41" s="1"/>
  <c r="I10" i="41"/>
  <c r="J10" i="41" s="1"/>
  <c r="I16" i="41"/>
  <c r="J16" i="41" s="1"/>
  <c r="G13" i="38"/>
  <c r="G12" i="38"/>
  <c r="G11" i="38"/>
  <c r="G10" i="38"/>
  <c r="G9" i="38"/>
  <c r="N6" i="38"/>
  <c r="N5" i="38"/>
  <c r="P9" i="44" l="1"/>
  <c r="O9" i="44"/>
  <c r="N10" i="41"/>
  <c r="N9" i="41"/>
  <c r="I11" i="38"/>
  <c r="J11" i="38" s="1"/>
  <c r="I12" i="38"/>
  <c r="J12" i="38" s="1"/>
  <c r="I9" i="38"/>
  <c r="J9" i="38" s="1"/>
  <c r="I10" i="38"/>
  <c r="J10" i="38" s="1"/>
  <c r="I13" i="38"/>
  <c r="J13" i="38" s="1"/>
  <c r="G18" i="34"/>
  <c r="G17" i="34"/>
  <c r="G16" i="34"/>
  <c r="G15" i="34"/>
  <c r="G14" i="34"/>
  <c r="G13" i="34"/>
  <c r="G12" i="34"/>
  <c r="G11" i="34"/>
  <c r="G10" i="34"/>
  <c r="G9" i="34"/>
  <c r="N6" i="34"/>
  <c r="N5" i="34"/>
  <c r="P9" i="41" l="1"/>
  <c r="O9" i="41"/>
  <c r="I12" i="34"/>
  <c r="J12" i="34" s="1"/>
  <c r="I14" i="34"/>
  <c r="J14" i="34" s="1"/>
  <c r="I18" i="34"/>
  <c r="J18" i="34" s="1"/>
  <c r="I9" i="34"/>
  <c r="J9" i="34" s="1"/>
  <c r="I11" i="34"/>
  <c r="J11" i="34" s="1"/>
  <c r="I17" i="34"/>
  <c r="J17" i="34" s="1"/>
  <c r="I13" i="34"/>
  <c r="J13" i="34" s="1"/>
  <c r="I15" i="34"/>
  <c r="J15" i="34" s="1"/>
  <c r="I10" i="34"/>
  <c r="J10" i="34" s="1"/>
  <c r="I16" i="34"/>
  <c r="J16" i="34" s="1"/>
  <c r="G19" i="31"/>
  <c r="G18" i="31"/>
  <c r="G17" i="31"/>
  <c r="G16" i="31"/>
  <c r="G15" i="31"/>
  <c r="G14" i="31"/>
  <c r="G13" i="31"/>
  <c r="G12" i="31"/>
  <c r="G11" i="31"/>
  <c r="G10" i="31"/>
  <c r="G9" i="31"/>
  <c r="N6" i="31"/>
  <c r="N5" i="31"/>
  <c r="I12" i="31" l="1"/>
  <c r="J12" i="31" s="1"/>
  <c r="I14" i="31"/>
  <c r="J14" i="31" s="1"/>
  <c r="I18" i="31"/>
  <c r="J18" i="31" s="1"/>
  <c r="I10" i="31"/>
  <c r="J10" i="31" s="1"/>
  <c r="I13" i="31"/>
  <c r="J13" i="31" s="1"/>
  <c r="I15" i="31"/>
  <c r="J15" i="31" s="1"/>
  <c r="I19" i="31"/>
  <c r="J19" i="31" s="1"/>
  <c r="I9" i="31"/>
  <c r="J9" i="31" s="1"/>
  <c r="I11" i="31"/>
  <c r="J11" i="31" s="1"/>
  <c r="I17" i="31"/>
  <c r="J17" i="31" s="1"/>
  <c r="I16" i="31"/>
  <c r="J16" i="31" s="1"/>
  <c r="G18" i="29"/>
  <c r="G17" i="29"/>
  <c r="G16" i="29"/>
  <c r="G15" i="29"/>
  <c r="G14" i="29"/>
  <c r="G13" i="29"/>
  <c r="G12" i="29"/>
  <c r="G11" i="29"/>
  <c r="G10" i="29"/>
  <c r="G9" i="29"/>
  <c r="N6" i="29"/>
  <c r="N5" i="29"/>
  <c r="N9" i="31" l="1"/>
  <c r="N10" i="31"/>
  <c r="I13" i="29"/>
  <c r="J13" i="29" s="1"/>
  <c r="I15" i="29"/>
  <c r="J15" i="29" s="1"/>
  <c r="I12" i="29"/>
  <c r="J12" i="29" s="1"/>
  <c r="I14" i="29"/>
  <c r="J14" i="29" s="1"/>
  <c r="I18" i="29"/>
  <c r="J18" i="29" s="1"/>
  <c r="I9" i="29"/>
  <c r="J9" i="29" s="1"/>
  <c r="I11" i="29"/>
  <c r="J11" i="29" s="1"/>
  <c r="I17" i="29"/>
  <c r="J17" i="29" s="1"/>
  <c r="I10" i="29"/>
  <c r="J10" i="29" s="1"/>
  <c r="I16" i="29"/>
  <c r="J16" i="29" s="1"/>
  <c r="O9" i="31" l="1"/>
  <c r="P9" i="31"/>
</calcChain>
</file>

<file path=xl/sharedStrings.xml><?xml version="1.0" encoding="utf-8"?>
<sst xmlns="http://schemas.openxmlformats.org/spreadsheetml/2006/main" count="316" uniqueCount="67">
  <si>
    <t>Analyst:</t>
  </si>
  <si>
    <t>Bottle #</t>
  </si>
  <si>
    <t>Bottle Volume</t>
  </si>
  <si>
    <t>Buret Titer</t>
  </si>
  <si>
    <t>Comments</t>
  </si>
  <si>
    <t>ml</t>
  </si>
  <si>
    <t>ml/liter</t>
  </si>
  <si>
    <t>Date/Time:</t>
  </si>
  <si>
    <t>Event #:</t>
  </si>
  <si>
    <t>Station #:</t>
  </si>
  <si>
    <t>Blank #1</t>
  </si>
  <si>
    <t>Blank #2</t>
  </si>
  <si>
    <t>Blank #3</t>
  </si>
  <si>
    <t>Std #1</t>
  </si>
  <si>
    <t>Std #2</t>
  </si>
  <si>
    <t>Std #3</t>
  </si>
  <si>
    <t>Blank</t>
  </si>
  <si>
    <t>Standard</t>
  </si>
  <si>
    <t>Standard Normality:</t>
  </si>
  <si>
    <t>Pipette Volume (ml)</t>
  </si>
  <si>
    <t xml:space="preserve">Temp </t>
  </si>
  <si>
    <t>(degrees C)</t>
  </si>
  <si>
    <t>Salinity</t>
  </si>
  <si>
    <t>(psu)</t>
  </si>
  <si>
    <t>(meters)</t>
  </si>
  <si>
    <t>Depth</t>
  </si>
  <si>
    <t>umol/kg</t>
  </si>
  <si>
    <t>Sigma T</t>
  </si>
  <si>
    <t>(kg/m3)</t>
  </si>
  <si>
    <t>Oxygen Concentration</t>
  </si>
  <si>
    <t>Replicates</t>
  </si>
  <si>
    <t>Avg</t>
  </si>
  <si>
    <t>% SD</t>
  </si>
  <si>
    <t>wruef</t>
  </si>
  <si>
    <t>Bottle</t>
  </si>
  <si>
    <t>Niskin</t>
  </si>
  <si>
    <t>Station</t>
  </si>
  <si>
    <t>Cast</t>
  </si>
  <si>
    <t>Event</t>
  </si>
  <si>
    <t>Winkler</t>
  </si>
  <si>
    <t>289a</t>
  </si>
  <si>
    <t>291a</t>
  </si>
  <si>
    <t>294a</t>
  </si>
  <si>
    <t>295a</t>
  </si>
  <si>
    <t>300b</t>
  </si>
  <si>
    <t>304a</t>
  </si>
  <si>
    <t>306a</t>
  </si>
  <si>
    <t>308a</t>
  </si>
  <si>
    <t>309a</t>
  </si>
  <si>
    <t>311a</t>
  </si>
  <si>
    <t>312a</t>
  </si>
  <si>
    <t>217a</t>
  </si>
  <si>
    <t>219a</t>
  </si>
  <si>
    <t>224a</t>
  </si>
  <si>
    <t>225a</t>
  </si>
  <si>
    <t>227b</t>
  </si>
  <si>
    <t>232a</t>
  </si>
  <si>
    <t>233a</t>
  </si>
  <si>
    <t>237a</t>
  </si>
  <si>
    <t>238a</t>
  </si>
  <si>
    <t>234a</t>
  </si>
  <si>
    <t>overshot endpoint?</t>
  </si>
  <si>
    <t>added acid before precip settled</t>
  </si>
  <si>
    <t>CTD Oxygen</t>
  </si>
  <si>
    <t>air vent leaked</t>
  </si>
  <si>
    <t>3/331/2018 18:43</t>
  </si>
  <si>
    <t>edgar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</si>
</sst>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"/>
    <numFmt numFmtId="166" formatCode="0.0000"/>
    <numFmt numFmtId="167" formatCode="m/d/yy\ h:mm;@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lightGray">
        <fgColor indexed="22"/>
        <bgColor indexed="22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right"/>
    </xf>
    <xf numFmtId="0" fontId="0" fillId="0" borderId="1" xfId="0" applyFill="1" applyBorder="1"/>
    <xf numFmtId="165" fontId="0" fillId="0" borderId="0" xfId="0" applyNumberFormat="1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0" fontId="0" fillId="0" borderId="2" xfId="0" applyFill="1" applyBorder="1"/>
    <xf numFmtId="164" fontId="0" fillId="0" borderId="3" xfId="0" applyNumberFormat="1" applyFill="1" applyBorder="1"/>
    <xf numFmtId="165" fontId="0" fillId="0" borderId="3" xfId="0" applyNumberFormat="1" applyFill="1" applyBorder="1" applyAlignment="1">
      <alignment horizontal="left"/>
    </xf>
    <xf numFmtId="164" fontId="0" fillId="0" borderId="3" xfId="0" applyNumberFormat="1" applyFill="1" applyBorder="1" applyAlignment="1">
      <alignment horizontal="left"/>
    </xf>
    <xf numFmtId="2" fontId="0" fillId="0" borderId="3" xfId="0" applyNumberFormat="1" applyFill="1" applyBorder="1" applyAlignment="1">
      <alignment horizontal="left"/>
    </xf>
    <xf numFmtId="165" fontId="0" fillId="0" borderId="3" xfId="0" applyNumberFormat="1" applyFill="1" applyBorder="1"/>
    <xf numFmtId="2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0" fillId="0" borderId="0" xfId="0" applyBorder="1"/>
    <xf numFmtId="165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0" fontId="0" fillId="3" borderId="0" xfId="0" applyFill="1"/>
    <xf numFmtId="164" fontId="0" fillId="3" borderId="0" xfId="0" applyNumberFormat="1" applyFill="1"/>
    <xf numFmtId="15" fontId="0" fillId="0" borderId="0" xfId="0" applyNumberFormat="1"/>
    <xf numFmtId="166" fontId="0" fillId="0" borderId="0" xfId="0" applyNumberFormat="1" applyProtection="1"/>
    <xf numFmtId="0" fontId="0" fillId="0" borderId="0" xfId="0" applyNumberFormat="1" applyFill="1" applyBorder="1"/>
    <xf numFmtId="0" fontId="0" fillId="0" borderId="0" xfId="0" applyNumberFormat="1" applyFill="1" applyBorder="1" applyAlignment="1"/>
    <xf numFmtId="164" fontId="0" fillId="0" borderId="0" xfId="0" applyNumberFormat="1" applyProtection="1"/>
    <xf numFmtId="0" fontId="0" fillId="0" borderId="3" xfId="0" applyFill="1" applyBorder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/>
    <xf numFmtId="166" fontId="2" fillId="0" borderId="0" xfId="0" applyNumberFormat="1" applyFont="1" applyFill="1" applyProtection="1"/>
    <xf numFmtId="164" fontId="0" fillId="0" borderId="0" xfId="0" applyNumberFormat="1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6" fontId="0" fillId="0" borderId="0" xfId="0" applyNumberFormat="1" applyFill="1" applyProtection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7" fontId="0" fillId="0" borderId="6" xfId="0" applyNumberFormat="1" applyFill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405303030303037E-2"/>
                  <c:y val="-2.5049203793165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'Winkler vs CTD'!$E$2:$E$38</c:f>
              <c:numCache>
                <c:formatCode>General</c:formatCode>
                <c:ptCount val="37"/>
                <c:pt idx="0">
                  <c:v>-0.78316704077746746</c:v>
                </c:pt>
                <c:pt idx="1">
                  <c:v>-0.60069862204413083</c:v>
                </c:pt>
                <c:pt idx="2">
                  <c:v>-0.3947359228413575</c:v>
                </c:pt>
                <c:pt idx="3">
                  <c:v>-7.6019061206935579E-2</c:v>
                </c:pt>
                <c:pt idx="4">
                  <c:v>0.2579321306110956</c:v>
                </c:pt>
                <c:pt idx="5">
                  <c:v>0.42813382118101279</c:v>
                </c:pt>
                <c:pt idx="6">
                  <c:v>0.56799997821653747</c:v>
                </c:pt>
                <c:pt idx="7">
                  <c:v>0.84760242758580051</c:v>
                </c:pt>
                <c:pt idx="8">
                  <c:v>0.84768101618037428</c:v>
                </c:pt>
                <c:pt idx="9">
                  <c:v>1.237883684220344</c:v>
                </c:pt>
                <c:pt idx="10">
                  <c:v>1.4236784811089973</c:v>
                </c:pt>
                <c:pt idx="11">
                  <c:v>1.6868057354342139</c:v>
                </c:pt>
                <c:pt idx="12">
                  <c:v>5.3369382989362446</c:v>
                </c:pt>
                <c:pt idx="13">
                  <c:v>12.398314789080295</c:v>
                </c:pt>
                <c:pt idx="14">
                  <c:v>14.336536891141476</c:v>
                </c:pt>
                <c:pt idx="15">
                  <c:v>14.520557759507152</c:v>
                </c:pt>
                <c:pt idx="16">
                  <c:v>14.674531386780686</c:v>
                </c:pt>
                <c:pt idx="17">
                  <c:v>19.749133673430148</c:v>
                </c:pt>
                <c:pt idx="18">
                  <c:v>21.392363321174646</c:v>
                </c:pt>
                <c:pt idx="19">
                  <c:v>31.731451007100709</c:v>
                </c:pt>
                <c:pt idx="20">
                  <c:v>35.944935150338601</c:v>
                </c:pt>
                <c:pt idx="21">
                  <c:v>39.832814142908063</c:v>
                </c:pt>
                <c:pt idx="22">
                  <c:v>42.813413308202314</c:v>
                </c:pt>
                <c:pt idx="23">
                  <c:v>52.443298658388869</c:v>
                </c:pt>
                <c:pt idx="24">
                  <c:v>57.694527518089274</c:v>
                </c:pt>
                <c:pt idx="25">
                  <c:v>58.47123380048798</c:v>
                </c:pt>
                <c:pt idx="26">
                  <c:v>65.803291131941023</c:v>
                </c:pt>
                <c:pt idx="27">
                  <c:v>98.476270556446366</c:v>
                </c:pt>
                <c:pt idx="28">
                  <c:v>113.27504715099818</c:v>
                </c:pt>
                <c:pt idx="29">
                  <c:v>116.7762370069741</c:v>
                </c:pt>
                <c:pt idx="30">
                  <c:v>128.84446965729734</c:v>
                </c:pt>
                <c:pt idx="31">
                  <c:v>129.1968774082099</c:v>
                </c:pt>
                <c:pt idx="32">
                  <c:v>130.33178148495011</c:v>
                </c:pt>
                <c:pt idx="33">
                  <c:v>148.87658741368224</c:v>
                </c:pt>
                <c:pt idx="34">
                  <c:v>150.42675021865026</c:v>
                </c:pt>
                <c:pt idx="35">
                  <c:v>163.80745551263263</c:v>
                </c:pt>
                <c:pt idx="36">
                  <c:v>165.09043488803255</c:v>
                </c:pt>
              </c:numCache>
            </c:numRef>
          </c:xVal>
          <c:yVal>
            <c:numRef>
              <c:f>'Winkler vs CTD'!$F$2:$F$48</c:f>
              <c:numCache>
                <c:formatCode>General</c:formatCode>
                <c:ptCount val="47"/>
                <c:pt idx="0">
                  <c:v>0.81599999999999995</c:v>
                </c:pt>
                <c:pt idx="1">
                  <c:v>0.71799999999999997</c:v>
                </c:pt>
                <c:pt idx="2">
                  <c:v>0.81699999999999995</c:v>
                </c:pt>
                <c:pt idx="3">
                  <c:v>0.96399999999999997</c:v>
                </c:pt>
                <c:pt idx="4">
                  <c:v>1.276</c:v>
                </c:pt>
                <c:pt idx="5">
                  <c:v>0.97199999999999998</c:v>
                </c:pt>
                <c:pt idx="6">
                  <c:v>0.755</c:v>
                </c:pt>
                <c:pt idx="7">
                  <c:v>0.99299999999999999</c:v>
                </c:pt>
                <c:pt idx="8">
                  <c:v>1.0629999999999999</c:v>
                </c:pt>
                <c:pt idx="9">
                  <c:v>1.389</c:v>
                </c:pt>
                <c:pt idx="10">
                  <c:v>0.998</c:v>
                </c:pt>
                <c:pt idx="11">
                  <c:v>2.1219999999999999</c:v>
                </c:pt>
                <c:pt idx="12">
                  <c:v>6.242</c:v>
                </c:pt>
                <c:pt idx="13">
                  <c:v>11.5</c:v>
                </c:pt>
                <c:pt idx="14">
                  <c:v>13.922000000000001</c:v>
                </c:pt>
                <c:pt idx="15">
                  <c:v>15.084</c:v>
                </c:pt>
                <c:pt idx="16">
                  <c:v>13.81</c:v>
                </c:pt>
                <c:pt idx="17">
                  <c:v>19.376999999999999</c:v>
                </c:pt>
                <c:pt idx="18">
                  <c:v>20.388000000000002</c:v>
                </c:pt>
                <c:pt idx="19">
                  <c:v>30.29</c:v>
                </c:pt>
                <c:pt idx="20">
                  <c:v>34.951999999999998</c:v>
                </c:pt>
                <c:pt idx="21">
                  <c:v>39.258000000000003</c:v>
                </c:pt>
                <c:pt idx="22">
                  <c:v>40.558999999999997</c:v>
                </c:pt>
                <c:pt idx="23">
                  <c:v>49.881999999999998</c:v>
                </c:pt>
                <c:pt idx="24">
                  <c:v>55.055999999999997</c:v>
                </c:pt>
                <c:pt idx="25">
                  <c:v>55.774999999999999</c:v>
                </c:pt>
                <c:pt idx="26">
                  <c:v>63.338000000000001</c:v>
                </c:pt>
                <c:pt idx="27">
                  <c:v>94.778999999999996</c:v>
                </c:pt>
                <c:pt idx="28">
                  <c:v>107.474</c:v>
                </c:pt>
                <c:pt idx="29">
                  <c:v>111.01300000000001</c:v>
                </c:pt>
                <c:pt idx="30">
                  <c:v>123.99299999999999</c:v>
                </c:pt>
                <c:pt idx="31">
                  <c:v>123.99299999999999</c:v>
                </c:pt>
                <c:pt idx="32">
                  <c:v>123.99299999999999</c:v>
                </c:pt>
                <c:pt idx="33">
                  <c:v>133.87200000000001</c:v>
                </c:pt>
                <c:pt idx="34">
                  <c:v>140.435</c:v>
                </c:pt>
                <c:pt idx="35">
                  <c:v>154.703</c:v>
                </c:pt>
                <c:pt idx="36">
                  <c:v>159.80000000000001</c:v>
                </c:pt>
                <c:pt idx="37">
                  <c:v>161.87799999999999</c:v>
                </c:pt>
                <c:pt idx="38">
                  <c:v>169.648</c:v>
                </c:pt>
                <c:pt idx="39">
                  <c:v>205.274</c:v>
                </c:pt>
                <c:pt idx="40">
                  <c:v>206.65</c:v>
                </c:pt>
                <c:pt idx="41">
                  <c:v>191.96600000000001</c:v>
                </c:pt>
                <c:pt idx="42">
                  <c:v>203.386</c:v>
                </c:pt>
                <c:pt idx="43">
                  <c:v>201.607</c:v>
                </c:pt>
                <c:pt idx="44">
                  <c:v>201.607</c:v>
                </c:pt>
                <c:pt idx="45">
                  <c:v>205.54499999999999</c:v>
                </c:pt>
                <c:pt idx="46">
                  <c:v>205.71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A-4651-A40E-8B587074A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23528"/>
        <c:axId val="499724840"/>
      </c:scatterChart>
      <c:valAx>
        <c:axId val="499723528"/>
        <c:scaling>
          <c:orientation val="minMax"/>
          <c:max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Winkler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24840"/>
        <c:crosses val="autoZero"/>
        <c:crossBetween val="midCat"/>
      </c:valAx>
      <c:valAx>
        <c:axId val="499724840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2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3727034120735"/>
          <c:y val="5.0925925925925923E-2"/>
          <c:w val="0.83129396325459315"/>
          <c:h val="0.743503207932341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799868766404198E-2"/>
                  <c:y val="-1.38888888888888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'Winkler vs CTD'!$E$2:$E$24</c:f>
              <c:numCache>
                <c:formatCode>General</c:formatCode>
                <c:ptCount val="23"/>
                <c:pt idx="0">
                  <c:v>-0.78316704077746746</c:v>
                </c:pt>
                <c:pt idx="1">
                  <c:v>-0.60069862204413083</c:v>
                </c:pt>
                <c:pt idx="2">
                  <c:v>-0.3947359228413575</c:v>
                </c:pt>
                <c:pt idx="3">
                  <c:v>-7.6019061206935579E-2</c:v>
                </c:pt>
                <c:pt idx="4">
                  <c:v>0.2579321306110956</c:v>
                </c:pt>
                <c:pt idx="5">
                  <c:v>0.42813382118101279</c:v>
                </c:pt>
                <c:pt idx="6">
                  <c:v>0.56799997821653747</c:v>
                </c:pt>
                <c:pt idx="7">
                  <c:v>0.84760242758580051</c:v>
                </c:pt>
                <c:pt idx="8">
                  <c:v>0.84768101618037428</c:v>
                </c:pt>
                <c:pt idx="9">
                  <c:v>1.237883684220344</c:v>
                </c:pt>
                <c:pt idx="10">
                  <c:v>1.4236784811089973</c:v>
                </c:pt>
                <c:pt idx="11">
                  <c:v>1.6868057354342139</c:v>
                </c:pt>
                <c:pt idx="12">
                  <c:v>5.3369382989362446</c:v>
                </c:pt>
                <c:pt idx="13">
                  <c:v>12.398314789080295</c:v>
                </c:pt>
                <c:pt idx="14">
                  <c:v>14.336536891141476</c:v>
                </c:pt>
                <c:pt idx="15">
                  <c:v>14.520557759507152</c:v>
                </c:pt>
                <c:pt idx="16">
                  <c:v>14.674531386780686</c:v>
                </c:pt>
                <c:pt idx="17">
                  <c:v>19.749133673430148</c:v>
                </c:pt>
                <c:pt idx="18">
                  <c:v>21.392363321174646</c:v>
                </c:pt>
                <c:pt idx="19">
                  <c:v>31.731451007100709</c:v>
                </c:pt>
                <c:pt idx="20">
                  <c:v>35.944935150338601</c:v>
                </c:pt>
                <c:pt idx="21">
                  <c:v>39.832814142908063</c:v>
                </c:pt>
                <c:pt idx="22">
                  <c:v>42.813413308202314</c:v>
                </c:pt>
              </c:numCache>
            </c:numRef>
          </c:xVal>
          <c:yVal>
            <c:numRef>
              <c:f>'Winkler vs CTD'!$F$2:$F$24</c:f>
              <c:numCache>
                <c:formatCode>General</c:formatCode>
                <c:ptCount val="23"/>
                <c:pt idx="0">
                  <c:v>0.81599999999999995</c:v>
                </c:pt>
                <c:pt idx="1">
                  <c:v>0.71799999999999997</c:v>
                </c:pt>
                <c:pt idx="2">
                  <c:v>0.81699999999999995</c:v>
                </c:pt>
                <c:pt idx="3">
                  <c:v>0.96399999999999997</c:v>
                </c:pt>
                <c:pt idx="4">
                  <c:v>1.276</c:v>
                </c:pt>
                <c:pt idx="5">
                  <c:v>0.97199999999999998</c:v>
                </c:pt>
                <c:pt idx="6">
                  <c:v>0.755</c:v>
                </c:pt>
                <c:pt idx="7">
                  <c:v>0.99299999999999999</c:v>
                </c:pt>
                <c:pt idx="8">
                  <c:v>1.0629999999999999</c:v>
                </c:pt>
                <c:pt idx="9">
                  <c:v>1.389</c:v>
                </c:pt>
                <c:pt idx="10">
                  <c:v>0.998</c:v>
                </c:pt>
                <c:pt idx="11">
                  <c:v>2.1219999999999999</c:v>
                </c:pt>
                <c:pt idx="12">
                  <c:v>6.242</c:v>
                </c:pt>
                <c:pt idx="13">
                  <c:v>11.5</c:v>
                </c:pt>
                <c:pt idx="14">
                  <c:v>13.922000000000001</c:v>
                </c:pt>
                <c:pt idx="15">
                  <c:v>15.084</c:v>
                </c:pt>
                <c:pt idx="16">
                  <c:v>13.81</c:v>
                </c:pt>
                <c:pt idx="17">
                  <c:v>19.376999999999999</c:v>
                </c:pt>
                <c:pt idx="18">
                  <c:v>20.388000000000002</c:v>
                </c:pt>
                <c:pt idx="19">
                  <c:v>30.29</c:v>
                </c:pt>
                <c:pt idx="20">
                  <c:v>34.951999999999998</c:v>
                </c:pt>
                <c:pt idx="21">
                  <c:v>39.258000000000003</c:v>
                </c:pt>
                <c:pt idx="22">
                  <c:v>40.558999999999997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A-4139-BB35-BEF5BFFA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82224"/>
        <c:axId val="417580912"/>
      </c:scatterChart>
      <c:valAx>
        <c:axId val="41758222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Winkler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80912"/>
        <c:crosses val="autoZero"/>
        <c:crossBetween val="midCat"/>
      </c:valAx>
      <c:valAx>
        <c:axId val="417580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8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632460</xdr:colOff>
      <xdr:row>0</xdr:row>
      <xdr:rowOff>154304</xdr:rowOff>
    </xdr:from>
    <xdr:to>
      <xdr:col>17</xdr:col>
      <xdr:colOff>297180</xdr:colOff>
      <xdr:row>20</xdr:row>
      <xdr:rowOff>45719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3</xdr:row>
      <xdr:rowOff>70485</xdr:rowOff>
    </xdr:from>
    <xdr:to>
      <xdr:col>6</xdr:col>
      <xdr:colOff>575310</xdr:colOff>
      <xdr:row>18</xdr:row>
      <xdr:rowOff>70485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/>
  </sheetViews>
  <sheetFormatPr defaultRowHeight="15" x14ac:dyDescent="0.25"/>
  <sheetData>
    <row r="1" spans="1:10" x14ac:dyDescent="0.25">
      <c r="A1" t="s">
        <v>1</v>
      </c>
      <c r="B1" t="s">
        <v>2</v>
      </c>
      <c r="G1" s="27"/>
      <c r="J1" s="27"/>
    </row>
    <row r="2" spans="1:10" x14ac:dyDescent="0.25">
      <c r="A2" t="s">
        <v>51</v>
      </c>
      <c r="B2">
        <v>149.02000000000001</v>
      </c>
      <c r="G2" s="27"/>
      <c r="J2" s="27"/>
    </row>
    <row r="3" spans="1:10" x14ac:dyDescent="0.25">
      <c r="A3">
        <v>218</v>
      </c>
      <c r="B3">
        <v>133.30000000000001</v>
      </c>
      <c r="G3" s="27"/>
      <c r="J3" s="27"/>
    </row>
    <row r="4" spans="1:10" x14ac:dyDescent="0.25">
      <c r="A4" t="s">
        <v>52</v>
      </c>
      <c r="B4">
        <v>140.4</v>
      </c>
      <c r="G4" s="27"/>
      <c r="J4" s="27"/>
    </row>
    <row r="5" spans="1:10" x14ac:dyDescent="0.25">
      <c r="A5">
        <v>220</v>
      </c>
      <c r="B5">
        <v>132.84</v>
      </c>
      <c r="G5" s="27"/>
      <c r="J5" s="27"/>
    </row>
    <row r="6" spans="1:10" x14ac:dyDescent="0.25">
      <c r="A6">
        <v>221</v>
      </c>
      <c r="B6">
        <v>135.28</v>
      </c>
      <c r="G6" s="27"/>
      <c r="J6" s="27"/>
    </row>
    <row r="7" spans="1:10" x14ac:dyDescent="0.25">
      <c r="A7">
        <v>222</v>
      </c>
      <c r="B7">
        <v>134.29</v>
      </c>
      <c r="G7" s="27"/>
      <c r="J7" s="27"/>
    </row>
    <row r="8" spans="1:10" x14ac:dyDescent="0.25">
      <c r="A8">
        <v>223</v>
      </c>
      <c r="B8">
        <v>127.9</v>
      </c>
      <c r="G8" s="27"/>
      <c r="J8" s="27"/>
    </row>
    <row r="9" spans="1:10" x14ac:dyDescent="0.25">
      <c r="A9" t="s">
        <v>53</v>
      </c>
      <c r="B9">
        <v>139.63999999999999</v>
      </c>
      <c r="G9" s="27"/>
      <c r="J9" s="27"/>
    </row>
    <row r="10" spans="1:10" x14ac:dyDescent="0.25">
      <c r="A10" t="s">
        <v>54</v>
      </c>
      <c r="B10">
        <v>142.80000000000001</v>
      </c>
      <c r="G10" s="27"/>
      <c r="J10" s="27"/>
    </row>
    <row r="11" spans="1:10" x14ac:dyDescent="0.25">
      <c r="A11">
        <v>226</v>
      </c>
      <c r="B11">
        <v>132.34</v>
      </c>
      <c r="G11" s="27"/>
      <c r="J11" s="27"/>
    </row>
    <row r="12" spans="1:10" x14ac:dyDescent="0.25">
      <c r="A12" t="s">
        <v>55</v>
      </c>
      <c r="B12">
        <v>128.62</v>
      </c>
      <c r="G12" s="27"/>
      <c r="J12" s="27"/>
    </row>
    <row r="13" spans="1:10" x14ac:dyDescent="0.25">
      <c r="A13">
        <v>228</v>
      </c>
      <c r="B13">
        <v>130.07</v>
      </c>
      <c r="G13" s="27"/>
      <c r="J13" s="27"/>
    </row>
    <row r="14" spans="1:10" x14ac:dyDescent="0.25">
      <c r="A14">
        <v>229</v>
      </c>
      <c r="B14">
        <v>130.30000000000001</v>
      </c>
      <c r="G14" s="27"/>
      <c r="J14" s="27"/>
    </row>
    <row r="15" spans="1:10" x14ac:dyDescent="0.25">
      <c r="A15">
        <v>230</v>
      </c>
      <c r="B15">
        <v>131.49</v>
      </c>
      <c r="G15" s="27"/>
      <c r="J15" s="27"/>
    </row>
    <row r="16" spans="1:10" x14ac:dyDescent="0.25">
      <c r="A16">
        <v>231</v>
      </c>
      <c r="B16">
        <v>130.57</v>
      </c>
      <c r="G16" s="27"/>
      <c r="J16" s="27"/>
    </row>
    <row r="17" spans="1:10" x14ac:dyDescent="0.25">
      <c r="A17" t="s">
        <v>56</v>
      </c>
      <c r="B17">
        <v>144.36000000000001</v>
      </c>
      <c r="G17" s="27"/>
      <c r="J17" s="27"/>
    </row>
    <row r="18" spans="1:10" x14ac:dyDescent="0.25">
      <c r="A18" t="s">
        <v>57</v>
      </c>
      <c r="B18">
        <v>138.06</v>
      </c>
      <c r="G18" s="27"/>
      <c r="J18" s="27"/>
    </row>
    <row r="19" spans="1:10" x14ac:dyDescent="0.25">
      <c r="A19" t="s">
        <v>60</v>
      </c>
      <c r="B19">
        <v>143.34</v>
      </c>
      <c r="G19" s="27"/>
      <c r="J19" s="27"/>
    </row>
    <row r="20" spans="1:10" x14ac:dyDescent="0.25">
      <c r="A20">
        <v>235</v>
      </c>
      <c r="B20">
        <v>136.66999999999999</v>
      </c>
      <c r="G20" s="27"/>
      <c r="J20" s="27"/>
    </row>
    <row r="21" spans="1:10" x14ac:dyDescent="0.25">
      <c r="A21">
        <v>236</v>
      </c>
      <c r="B21">
        <v>133.4</v>
      </c>
      <c r="G21" s="27"/>
      <c r="J21" s="27"/>
    </row>
    <row r="22" spans="1:10" x14ac:dyDescent="0.25">
      <c r="A22" t="s">
        <v>58</v>
      </c>
      <c r="B22">
        <v>142.56</v>
      </c>
      <c r="G22" s="27"/>
      <c r="J22" s="27"/>
    </row>
    <row r="23" spans="1:10" x14ac:dyDescent="0.25">
      <c r="A23" t="s">
        <v>59</v>
      </c>
      <c r="B23">
        <v>140.96</v>
      </c>
      <c r="G23" s="27"/>
      <c r="J23" s="27"/>
    </row>
    <row r="24" spans="1:10" x14ac:dyDescent="0.25">
      <c r="A24">
        <v>239</v>
      </c>
      <c r="B24">
        <v>131.38</v>
      </c>
      <c r="G24" s="27"/>
      <c r="J24" s="27"/>
    </row>
    <row r="25" spans="1:10" x14ac:dyDescent="0.25">
      <c r="A25">
        <v>240</v>
      </c>
      <c r="B25">
        <v>132.88</v>
      </c>
    </row>
    <row r="26" spans="1:10" x14ac:dyDescent="0.25">
      <c r="A26" t="s">
        <v>40</v>
      </c>
      <c r="B26">
        <v>142.59</v>
      </c>
    </row>
    <row r="27" spans="1:10" x14ac:dyDescent="0.25">
      <c r="A27">
        <v>290</v>
      </c>
      <c r="B27">
        <v>129.97999999999999</v>
      </c>
    </row>
    <row r="28" spans="1:10" x14ac:dyDescent="0.25">
      <c r="A28" t="s">
        <v>41</v>
      </c>
      <c r="B28">
        <v>138.30000000000001</v>
      </c>
    </row>
    <row r="29" spans="1:10" x14ac:dyDescent="0.25">
      <c r="A29">
        <v>292</v>
      </c>
      <c r="B29">
        <v>125.09</v>
      </c>
    </row>
    <row r="30" spans="1:10" x14ac:dyDescent="0.25">
      <c r="A30">
        <v>293</v>
      </c>
      <c r="B30">
        <v>136.38999999999999</v>
      </c>
    </row>
    <row r="31" spans="1:10" x14ac:dyDescent="0.25">
      <c r="A31" t="s">
        <v>42</v>
      </c>
      <c r="B31">
        <v>145.24</v>
      </c>
    </row>
    <row r="32" spans="1:10" x14ac:dyDescent="0.25">
      <c r="A32" t="s">
        <v>43</v>
      </c>
      <c r="B32">
        <v>138.34</v>
      </c>
    </row>
    <row r="33" spans="1:2" x14ac:dyDescent="0.25">
      <c r="A33">
        <v>296</v>
      </c>
      <c r="B33">
        <v>133.24</v>
      </c>
    </row>
    <row r="34" spans="1:2" x14ac:dyDescent="0.25">
      <c r="A34">
        <v>297</v>
      </c>
      <c r="B34">
        <v>132</v>
      </c>
    </row>
    <row r="35" spans="1:2" x14ac:dyDescent="0.25">
      <c r="A35">
        <v>298</v>
      </c>
      <c r="B35">
        <v>131.59</v>
      </c>
    </row>
    <row r="36" spans="1:2" x14ac:dyDescent="0.25">
      <c r="A36">
        <v>299</v>
      </c>
      <c r="B36">
        <v>130.12</v>
      </c>
    </row>
    <row r="37" spans="1:2" x14ac:dyDescent="0.25">
      <c r="A37" t="s">
        <v>44</v>
      </c>
      <c r="B37">
        <v>144.01</v>
      </c>
    </row>
    <row r="38" spans="1:2" x14ac:dyDescent="0.25">
      <c r="A38">
        <v>301</v>
      </c>
      <c r="B38">
        <v>129.13</v>
      </c>
    </row>
    <row r="39" spans="1:2" x14ac:dyDescent="0.25">
      <c r="A39">
        <v>302</v>
      </c>
      <c r="B39">
        <v>132.19999999999999</v>
      </c>
    </row>
    <row r="40" spans="1:2" x14ac:dyDescent="0.25">
      <c r="A40">
        <v>303</v>
      </c>
      <c r="B40">
        <v>124.27</v>
      </c>
    </row>
    <row r="41" spans="1:2" x14ac:dyDescent="0.25">
      <c r="A41" t="s">
        <v>45</v>
      </c>
      <c r="B41">
        <v>143.13999999999999</v>
      </c>
    </row>
    <row r="42" spans="1:2" x14ac:dyDescent="0.25">
      <c r="A42">
        <v>305</v>
      </c>
      <c r="B42">
        <v>130.76</v>
      </c>
    </row>
    <row r="43" spans="1:2" x14ac:dyDescent="0.25">
      <c r="A43" t="s">
        <v>46</v>
      </c>
      <c r="B43">
        <v>145.66</v>
      </c>
    </row>
    <row r="44" spans="1:2" x14ac:dyDescent="0.25">
      <c r="A44">
        <v>307</v>
      </c>
      <c r="B44">
        <v>131.88</v>
      </c>
    </row>
    <row r="45" spans="1:2" x14ac:dyDescent="0.25">
      <c r="A45" t="s">
        <v>47</v>
      </c>
      <c r="B45">
        <v>138.86000000000001</v>
      </c>
    </row>
    <row r="46" spans="1:2" x14ac:dyDescent="0.25">
      <c r="A46" t="s">
        <v>48</v>
      </c>
      <c r="B46">
        <v>139.44</v>
      </c>
    </row>
    <row r="47" spans="1:2" x14ac:dyDescent="0.25">
      <c r="A47">
        <v>310</v>
      </c>
      <c r="B47">
        <v>128.76</v>
      </c>
    </row>
    <row r="48" spans="1:2" x14ac:dyDescent="0.25">
      <c r="A48" t="s">
        <v>49</v>
      </c>
      <c r="B48">
        <v>142.94</v>
      </c>
    </row>
    <row r="49" spans="1:2" x14ac:dyDescent="0.25">
      <c r="A49" t="s">
        <v>50</v>
      </c>
      <c r="B49">
        <v>143.66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/>
  </sheetViews>
  <sheetFormatPr defaultRowHeight="15" x14ac:dyDescent="0.25"/>
  <cols>
    <col min="1" max="2" width="11.42578125" customWidth="1"/>
    <col min="3" max="3" width="12.5703125" customWidth="1"/>
    <col min="4" max="5" width="14" customWidth="1"/>
    <col min="6" max="6" width="13.28515625" customWidth="1"/>
    <col min="7" max="7" width="15" customWidth="1"/>
    <col min="8" max="8" width="11.28515625" customWidth="1"/>
    <col min="9" max="9" width="13.5703125" customWidth="1"/>
    <col min="10" max="10" width="10.7109375" customWidth="1"/>
    <col min="11" max="11" width="16.140625" bestFit="1" customWidth="1"/>
    <col min="12" max="12" width="14.28515625" customWidth="1"/>
    <col min="15" max="15" width="12" bestFit="1" customWidth="1"/>
  </cols>
  <sheetData>
    <row r="1" spans="1:16" x14ac:dyDescent="0.25">
      <c r="A1" s="21" t="s">
        <v>9</v>
      </c>
      <c r="B1" s="21"/>
      <c r="C1" s="53">
        <v>0</v>
      </c>
      <c r="D1" s="53"/>
      <c r="E1" s="36"/>
      <c r="F1" s="22"/>
      <c r="G1" s="23" t="s">
        <v>0</v>
      </c>
      <c r="H1" s="54"/>
      <c r="I1" s="53"/>
      <c r="M1" t="s">
        <v>10</v>
      </c>
      <c r="N1" s="40">
        <v>-1.0000000000000009E-3</v>
      </c>
      <c r="O1" t="s">
        <v>13</v>
      </c>
      <c r="P1" s="25">
        <v>0.248</v>
      </c>
    </row>
    <row r="2" spans="1:16" x14ac:dyDescent="0.25">
      <c r="A2" s="24" t="s">
        <v>8</v>
      </c>
      <c r="B2" s="24"/>
      <c r="C2" s="55">
        <v>1</v>
      </c>
      <c r="D2" s="56"/>
      <c r="E2" s="36"/>
      <c r="F2" s="10"/>
      <c r="G2" s="11"/>
      <c r="H2" s="11"/>
      <c r="I2" s="9"/>
      <c r="M2" t="s">
        <v>11</v>
      </c>
      <c r="N2" s="40">
        <v>-1.0000000000000009E-3</v>
      </c>
      <c r="O2" t="s">
        <v>14</v>
      </c>
      <c r="P2" s="25">
        <v>0.249</v>
      </c>
    </row>
    <row r="3" spans="1:16" x14ac:dyDescent="0.25">
      <c r="A3" s="8" t="s">
        <v>7</v>
      </c>
      <c r="B3" s="24"/>
      <c r="C3" s="57">
        <v>43187.92291666667</v>
      </c>
      <c r="D3" s="58"/>
      <c r="E3" s="36"/>
      <c r="F3" s="10"/>
      <c r="G3" s="11"/>
      <c r="H3" s="11"/>
      <c r="I3" s="9"/>
      <c r="M3" t="s">
        <v>12</v>
      </c>
      <c r="N3" s="40"/>
      <c r="O3" t="s">
        <v>15</v>
      </c>
      <c r="P3" s="25"/>
    </row>
    <row r="4" spans="1:16" ht="15.75" thickBot="1" x14ac:dyDescent="0.3">
      <c r="A4" s="12" t="s">
        <v>19</v>
      </c>
      <c r="B4" s="32"/>
      <c r="C4" s="13"/>
      <c r="D4" s="13">
        <v>5</v>
      </c>
      <c r="E4" s="13"/>
      <c r="F4" s="16"/>
      <c r="G4" s="14" t="s">
        <v>18</v>
      </c>
      <c r="H4" s="15"/>
      <c r="I4" s="15">
        <v>0.01</v>
      </c>
      <c r="J4" s="17"/>
    </row>
    <row r="5" spans="1:16" ht="15.75" thickTop="1" x14ac:dyDescent="0.25">
      <c r="G5" s="1"/>
      <c r="H5" s="1"/>
      <c r="I5" s="2"/>
      <c r="J5" s="3"/>
      <c r="M5" t="s">
        <v>16</v>
      </c>
      <c r="N5" s="29">
        <f>AVERAGE(N1:N3)</f>
        <v>-1.0000000000000009E-3</v>
      </c>
    </row>
    <row r="6" spans="1:16" x14ac:dyDescent="0.25">
      <c r="G6" s="1"/>
      <c r="H6" s="1"/>
      <c r="I6" s="2"/>
      <c r="M6" t="s">
        <v>17</v>
      </c>
      <c r="N6" s="30">
        <f>AVERAGE(P1:P3)</f>
        <v>0.2485</v>
      </c>
    </row>
    <row r="7" spans="1:16" x14ac:dyDescent="0.25">
      <c r="A7" s="4" t="s">
        <v>25</v>
      </c>
      <c r="B7" s="4" t="s">
        <v>35</v>
      </c>
      <c r="C7" s="4" t="s">
        <v>20</v>
      </c>
      <c r="D7" s="4" t="s">
        <v>22</v>
      </c>
      <c r="E7" s="4" t="s">
        <v>27</v>
      </c>
      <c r="F7" s="4" t="s">
        <v>1</v>
      </c>
      <c r="G7" s="4" t="s">
        <v>2</v>
      </c>
      <c r="H7" s="5" t="s">
        <v>3</v>
      </c>
      <c r="I7" s="59" t="s">
        <v>29</v>
      </c>
      <c r="J7" s="60"/>
      <c r="K7" s="6" t="s">
        <v>4</v>
      </c>
      <c r="L7" s="6" t="s">
        <v>63</v>
      </c>
    </row>
    <row r="8" spans="1:16" ht="15.75" thickBot="1" x14ac:dyDescent="0.3">
      <c r="A8" s="19" t="s">
        <v>24</v>
      </c>
      <c r="B8" s="19" t="s">
        <v>34</v>
      </c>
      <c r="C8" s="19" t="s">
        <v>21</v>
      </c>
      <c r="D8" s="19" t="s">
        <v>23</v>
      </c>
      <c r="E8" s="19" t="s">
        <v>28</v>
      </c>
      <c r="F8" s="19"/>
      <c r="G8" s="19" t="s">
        <v>5</v>
      </c>
      <c r="H8" s="20" t="s">
        <v>5</v>
      </c>
      <c r="I8" s="18" t="s">
        <v>6</v>
      </c>
      <c r="J8" s="7" t="s">
        <v>26</v>
      </c>
      <c r="K8" s="7"/>
      <c r="L8" s="7" t="s">
        <v>26</v>
      </c>
    </row>
    <row r="9" spans="1:16" ht="15.75" thickTop="1" x14ac:dyDescent="0.25">
      <c r="A9">
        <v>1.534</v>
      </c>
      <c r="B9" s="33">
        <v>24</v>
      </c>
      <c r="C9">
        <v>17.059200000000001</v>
      </c>
      <c r="D9">
        <v>33.686700000000002</v>
      </c>
      <c r="E9">
        <v>24.4925</v>
      </c>
      <c r="F9" s="36">
        <v>290</v>
      </c>
      <c r="G9">
        <f>VLOOKUP(F9,BottleVolumes!$A$2:'BottleVolumes'!$B$50,2)</f>
        <v>129.97999999999999</v>
      </c>
      <c r="H9" s="21">
        <v>0.68100000000000005</v>
      </c>
      <c r="I9" s="28">
        <f t="shared" ref="I9:I18" si="0">(((H9-$N$5)*$D$4*$I$4*5598)/(($N$6-$N$5)*(G9-2)))-0.018</f>
        <v>5.9602574995278896</v>
      </c>
      <c r="J9">
        <f>(I9/0.0223916)/(E9/1000+1)</f>
        <v>259.8191227505784</v>
      </c>
      <c r="K9" t="s">
        <v>61</v>
      </c>
      <c r="L9">
        <v>240.22</v>
      </c>
      <c r="P9" s="31"/>
    </row>
    <row r="10" spans="1:16" x14ac:dyDescent="0.25">
      <c r="A10">
        <v>40.555</v>
      </c>
      <c r="B10" s="33">
        <v>19</v>
      </c>
      <c r="C10">
        <v>14.875999999999999</v>
      </c>
      <c r="D10">
        <v>33.543700000000001</v>
      </c>
      <c r="E10">
        <v>24.877500000000001</v>
      </c>
      <c r="F10" s="36" t="s">
        <v>41</v>
      </c>
      <c r="G10">
        <f>VLOOKUP(F10,BottleVolumes!$A$2:'BottleVolumes'!$B$50,2)</f>
        <v>138.30000000000001</v>
      </c>
      <c r="H10" s="21">
        <v>0.69399999999999995</v>
      </c>
      <c r="I10" s="28">
        <f t="shared" si="0"/>
        <v>5.7023328153004469</v>
      </c>
      <c r="J10">
        <f t="shared" ref="J10:J17" si="1">(I10/0.0223916)/(E10/1000+1)</f>
        <v>248.48230957121172</v>
      </c>
      <c r="L10">
        <v>239.011</v>
      </c>
    </row>
    <row r="11" spans="1:16" x14ac:dyDescent="0.25">
      <c r="A11">
        <v>101.08199999999999</v>
      </c>
      <c r="B11" s="33">
        <v>17</v>
      </c>
      <c r="C11">
        <v>11.2476</v>
      </c>
      <c r="D11">
        <v>33.949100000000001</v>
      </c>
      <c r="E11">
        <v>25.9147</v>
      </c>
      <c r="F11" s="36">
        <v>292</v>
      </c>
      <c r="G11">
        <f>VLOOKUP(F11,BottleVolumes!$A$2:'BottleVolumes'!$B$50,2)</f>
        <v>125.09</v>
      </c>
      <c r="H11" s="21">
        <v>0.29499999999999998</v>
      </c>
      <c r="I11" s="28">
        <f t="shared" si="0"/>
        <v>2.6797474324715727</v>
      </c>
      <c r="J11">
        <f t="shared" si="1"/>
        <v>116.65342204322292</v>
      </c>
      <c r="L11">
        <v>101.23</v>
      </c>
    </row>
    <row r="12" spans="1:16" x14ac:dyDescent="0.25">
      <c r="A12">
        <v>199.89500000000001</v>
      </c>
      <c r="B12" s="33">
        <v>15</v>
      </c>
      <c r="C12">
        <v>9.4469999999999992</v>
      </c>
      <c r="D12">
        <v>34.261699999999998</v>
      </c>
      <c r="E12">
        <v>26.471299999999999</v>
      </c>
      <c r="F12" s="36">
        <v>293</v>
      </c>
      <c r="G12">
        <f>VLOOKUP(F12,BottleVolumes!$A$2:'BottleVolumes'!$B$50,2)</f>
        <v>136.38999999999999</v>
      </c>
      <c r="H12" s="21">
        <v>0.17499999999999999</v>
      </c>
      <c r="I12" s="28">
        <f t="shared" si="0"/>
        <v>1.4511903339382088</v>
      </c>
      <c r="J12">
        <f t="shared" si="1"/>
        <v>63.138235194674799</v>
      </c>
      <c r="L12">
        <v>57.722000000000001</v>
      </c>
    </row>
    <row r="13" spans="1:16" x14ac:dyDescent="0.25">
      <c r="A13">
        <v>299.899</v>
      </c>
      <c r="B13" s="33">
        <v>13</v>
      </c>
      <c r="C13">
        <v>8.3549000000000007</v>
      </c>
      <c r="D13">
        <v>34.341099999999997</v>
      </c>
      <c r="E13">
        <v>26.707599999999999</v>
      </c>
      <c r="F13" s="36" t="s">
        <v>42</v>
      </c>
      <c r="G13">
        <f>VLOOKUP(F13,BottleVolumes!$A$2:'BottleVolumes'!$B$50,2)</f>
        <v>145.24</v>
      </c>
      <c r="H13" s="21">
        <v>7.2999999999999995E-2</v>
      </c>
      <c r="I13" s="28">
        <f t="shared" si="0"/>
        <v>0.56156180442426329</v>
      </c>
      <c r="J13">
        <f t="shared" si="1"/>
        <v>24.426748262922452</v>
      </c>
      <c r="L13">
        <v>23.634</v>
      </c>
      <c r="P13" s="31"/>
    </row>
    <row r="14" spans="1:16" x14ac:dyDescent="0.25">
      <c r="A14">
        <v>399.62799999999999</v>
      </c>
      <c r="B14" s="33">
        <v>12</v>
      </c>
      <c r="C14">
        <v>7.5932000000000004</v>
      </c>
      <c r="D14">
        <v>34.396700000000003</v>
      </c>
      <c r="E14">
        <v>26.865400000000001</v>
      </c>
      <c r="F14" s="36" t="s">
        <v>43</v>
      </c>
      <c r="G14">
        <f>VLOOKUP(F14,BottleVolumes!$A$2:'BottleVolumes'!$B$50,2)</f>
        <v>138.34</v>
      </c>
      <c r="H14" s="21">
        <v>3.1E-2</v>
      </c>
      <c r="I14" s="28">
        <f t="shared" si="0"/>
        <v>0.24530495816335626</v>
      </c>
      <c r="J14">
        <f t="shared" si="1"/>
        <v>10.668606043329349</v>
      </c>
      <c r="L14">
        <v>10.112</v>
      </c>
    </row>
    <row r="15" spans="1:16" x14ac:dyDescent="0.25">
      <c r="A15">
        <v>498.91300000000001</v>
      </c>
      <c r="B15" s="33">
        <v>8</v>
      </c>
      <c r="C15">
        <v>6.6997</v>
      </c>
      <c r="D15">
        <v>34.398000000000003</v>
      </c>
      <c r="E15">
        <v>26.991700000000002</v>
      </c>
      <c r="F15" s="36">
        <v>296</v>
      </c>
      <c r="G15">
        <f>VLOOKUP(F15,BottleVolumes!$A$2:'BottleVolumes'!$B$50,2)</f>
        <v>133.24</v>
      </c>
      <c r="H15" s="21">
        <v>3.1E-2</v>
      </c>
      <c r="I15" s="28">
        <f t="shared" si="0"/>
        <v>0.25553701612307211</v>
      </c>
      <c r="J15">
        <f t="shared" si="1"/>
        <v>11.112243724824607</v>
      </c>
      <c r="L15">
        <v>7.1189999999999998</v>
      </c>
    </row>
    <row r="16" spans="1:16" x14ac:dyDescent="0.25">
      <c r="A16">
        <v>599.322</v>
      </c>
      <c r="B16" s="33">
        <v>5</v>
      </c>
      <c r="C16">
        <v>6.1508000000000003</v>
      </c>
      <c r="D16">
        <v>34.435400000000001</v>
      </c>
      <c r="E16">
        <v>27.094100000000001</v>
      </c>
      <c r="F16" s="36">
        <v>297</v>
      </c>
      <c r="G16">
        <f>VLOOKUP(F16,BottleVolumes!$A$2:'BottleVolumes'!$B$50,2)</f>
        <v>132</v>
      </c>
      <c r="H16" s="21">
        <v>2.9000000000000001E-2</v>
      </c>
      <c r="I16" s="28">
        <f t="shared" si="0"/>
        <v>0.24088700477878841</v>
      </c>
      <c r="J16">
        <f t="shared" si="1"/>
        <v>10.474131203066673</v>
      </c>
      <c r="L16">
        <v>5.2290000000000001</v>
      </c>
    </row>
    <row r="17" spans="1:12" x14ac:dyDescent="0.25">
      <c r="A17">
        <v>698.58199999999999</v>
      </c>
      <c r="B17" s="33">
        <v>3</v>
      </c>
      <c r="C17">
        <v>5.5026999999999999</v>
      </c>
      <c r="D17">
        <v>34.454599999999999</v>
      </c>
      <c r="E17">
        <v>27.1906</v>
      </c>
      <c r="F17" s="36">
        <v>298</v>
      </c>
      <c r="G17">
        <f>VLOOKUP(F17,BottleVolumes!$A$2:'BottleVolumes'!$B$50,2)</f>
        <v>131.59</v>
      </c>
      <c r="H17" s="21">
        <v>3.4000000000000002E-2</v>
      </c>
      <c r="I17" s="28">
        <f t="shared" si="0"/>
        <v>0.284990424092262</v>
      </c>
      <c r="J17">
        <f t="shared" si="1"/>
        <v>12.390650405769275</v>
      </c>
      <c r="L17">
        <v>6.4640000000000004</v>
      </c>
    </row>
    <row r="18" spans="1:12" x14ac:dyDescent="0.25">
      <c r="A18">
        <v>798.899</v>
      </c>
      <c r="B18" s="33">
        <v>1</v>
      </c>
      <c r="C18">
        <v>5.0323000000000002</v>
      </c>
      <c r="D18">
        <v>34.470500000000001</v>
      </c>
      <c r="E18">
        <v>27.259399999999999</v>
      </c>
      <c r="F18" s="36" t="s">
        <v>40</v>
      </c>
      <c r="G18">
        <f>VLOOKUP(F18,BottleVolumes!$A$2:'BottleVolumes'!$B$50,2)</f>
        <v>142.59</v>
      </c>
      <c r="H18" s="21">
        <v>3.1E-2</v>
      </c>
      <c r="I18" s="28">
        <f t="shared" si="0"/>
        <v>0.23734531613907098</v>
      </c>
      <c r="J18">
        <f>(I18/0.0223916)/(E18/1000+1)</f>
        <v>10.318472576063151</v>
      </c>
      <c r="L18">
        <v>8.8290000000000006</v>
      </c>
    </row>
    <row r="19" spans="1:12" x14ac:dyDescent="0.25">
      <c r="A19" s="37"/>
      <c r="B19" s="37"/>
      <c r="C19" s="37"/>
      <c r="D19" s="37"/>
      <c r="E19" s="37"/>
      <c r="F19" s="37"/>
      <c r="G19" s="37"/>
      <c r="H19" s="38"/>
      <c r="I19" s="39"/>
    </row>
    <row r="20" spans="1:12" x14ac:dyDescent="0.25">
      <c r="A20" s="37"/>
      <c r="B20" s="37"/>
      <c r="C20" s="37"/>
      <c r="D20" s="37"/>
      <c r="E20" s="37"/>
      <c r="F20" s="37"/>
      <c r="G20" s="37"/>
      <c r="H20" s="38"/>
      <c r="I20" s="39"/>
    </row>
    <row r="21" spans="1:12" x14ac:dyDescent="0.25">
      <c r="A21" s="37"/>
      <c r="B21" s="37"/>
      <c r="C21" s="37"/>
      <c r="D21" s="37"/>
      <c r="E21" s="37"/>
      <c r="F21" s="37"/>
      <c r="G21" s="37"/>
      <c r="H21" s="38"/>
      <c r="I21" s="39"/>
    </row>
    <row r="22" spans="1:12" x14ac:dyDescent="0.25">
      <c r="A22" s="37"/>
      <c r="B22" s="37"/>
      <c r="C22" s="37"/>
      <c r="D22" s="37"/>
      <c r="E22" s="37"/>
      <c r="F22" s="37"/>
      <c r="G22" s="37"/>
      <c r="H22" s="38"/>
      <c r="I22" s="39"/>
    </row>
    <row r="23" spans="1:12" x14ac:dyDescent="0.25">
      <c r="A23" s="37"/>
      <c r="B23" s="37"/>
      <c r="C23" s="37"/>
      <c r="D23" s="37"/>
      <c r="E23" s="37"/>
      <c r="F23" s="37"/>
      <c r="G23" s="37"/>
      <c r="H23" s="38"/>
      <c r="I23" s="39"/>
    </row>
    <row r="24" spans="1:12" x14ac:dyDescent="0.25">
      <c r="A24" s="37"/>
      <c r="B24" s="37"/>
      <c r="C24" s="37"/>
      <c r="D24" s="37"/>
      <c r="E24" s="37"/>
      <c r="F24" s="37"/>
      <c r="G24" s="37"/>
      <c r="H24" s="38"/>
      <c r="I24" s="39"/>
    </row>
    <row r="25" spans="1:12" x14ac:dyDescent="0.25">
      <c r="A25" s="37"/>
      <c r="B25" s="37"/>
      <c r="C25" s="37"/>
      <c r="D25" s="37"/>
      <c r="E25" s="37"/>
      <c r="F25" s="37"/>
      <c r="G25" s="37"/>
      <c r="H25" s="38"/>
      <c r="I25" s="39"/>
    </row>
    <row r="26" spans="1:12" x14ac:dyDescent="0.25">
      <c r="A26" s="37"/>
      <c r="B26" s="37"/>
      <c r="C26" s="37"/>
      <c r="D26" s="37"/>
      <c r="E26" s="37"/>
      <c r="F26" s="37"/>
      <c r="G26" s="37"/>
      <c r="H26" s="37"/>
      <c r="I26" s="37"/>
    </row>
    <row r="27" spans="1:12" x14ac:dyDescent="0.25">
      <c r="A27" s="37"/>
      <c r="B27" s="37"/>
      <c r="C27" s="37"/>
      <c r="D27" s="37"/>
      <c r="E27" s="37"/>
      <c r="F27" s="37"/>
      <c r="G27" s="37"/>
      <c r="H27" s="37"/>
      <c r="I27" s="37"/>
    </row>
    <row r="28" spans="1:12" x14ac:dyDescent="0.25">
      <c r="A28" s="37"/>
      <c r="B28" s="37"/>
      <c r="C28" s="37"/>
      <c r="D28" s="37"/>
      <c r="E28" s="37"/>
      <c r="F28" s="37"/>
      <c r="G28" s="37"/>
      <c r="H28" s="37"/>
      <c r="I28" s="37"/>
    </row>
    <row r="29" spans="1:12" x14ac:dyDescent="0.25">
      <c r="A29" s="37"/>
      <c r="B29" s="37"/>
      <c r="C29" s="37"/>
      <c r="D29" s="37"/>
      <c r="E29" s="37"/>
      <c r="F29" s="37"/>
      <c r="G29" s="37"/>
      <c r="H29" s="37"/>
      <c r="I29" s="37"/>
    </row>
    <row r="30" spans="1:12" x14ac:dyDescent="0.25">
      <c r="A30" s="37"/>
      <c r="B30" s="37"/>
      <c r="C30" s="37"/>
      <c r="D30" s="37"/>
      <c r="E30" s="37"/>
      <c r="F30" s="37"/>
      <c r="G30" s="37"/>
      <c r="H30" s="37"/>
      <c r="I30" s="37"/>
    </row>
  </sheetData>
  <mergeCells count="5">
    <mergeCell ref="C1:D1"/>
    <mergeCell ref="H1:I1"/>
    <mergeCell ref="C2:D2"/>
    <mergeCell ref="C3:D3"/>
    <mergeCell ref="I7:J7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5" x14ac:dyDescent="0.25"/>
  <cols>
    <col min="1" max="2" width="11.42578125" customWidth="1"/>
    <col min="3" max="3" width="12.5703125" customWidth="1"/>
    <col min="4" max="5" width="14" customWidth="1"/>
    <col min="6" max="6" width="13.28515625" customWidth="1"/>
    <col min="7" max="7" width="15" customWidth="1"/>
    <col min="8" max="8" width="11.28515625" customWidth="1"/>
    <col min="9" max="9" width="13.5703125" customWidth="1"/>
    <col min="10" max="10" width="10.7109375" customWidth="1"/>
    <col min="11" max="12" width="14.28515625" customWidth="1"/>
    <col min="15" max="15" width="12" bestFit="1" customWidth="1"/>
  </cols>
  <sheetData>
    <row r="1" spans="1:16" x14ac:dyDescent="0.25">
      <c r="A1" s="21" t="s">
        <v>9</v>
      </c>
      <c r="B1" s="21"/>
      <c r="C1" s="53">
        <v>3</v>
      </c>
      <c r="D1" s="53"/>
      <c r="E1" s="41"/>
      <c r="F1" s="22"/>
      <c r="G1" s="23" t="s">
        <v>0</v>
      </c>
      <c r="H1" s="54" t="s">
        <v>33</v>
      </c>
      <c r="I1" s="53"/>
      <c r="M1" t="s">
        <v>10</v>
      </c>
      <c r="N1" s="25">
        <v>0</v>
      </c>
      <c r="O1" t="s">
        <v>13</v>
      </c>
      <c r="P1" s="25">
        <v>0.247</v>
      </c>
    </row>
    <row r="2" spans="1:16" x14ac:dyDescent="0.25">
      <c r="A2" s="24" t="s">
        <v>8</v>
      </c>
      <c r="B2" s="24"/>
      <c r="C2" s="55">
        <v>4</v>
      </c>
      <c r="D2" s="56"/>
      <c r="E2" s="41"/>
      <c r="F2" s="10"/>
      <c r="G2" s="11"/>
      <c r="H2" s="11"/>
      <c r="I2" s="9"/>
      <c r="M2" t="s">
        <v>11</v>
      </c>
      <c r="N2" s="25">
        <v>1E-3</v>
      </c>
      <c r="O2" t="s">
        <v>14</v>
      </c>
      <c r="P2" s="25">
        <v>0.247</v>
      </c>
    </row>
    <row r="3" spans="1:16" x14ac:dyDescent="0.25">
      <c r="A3" s="8" t="s">
        <v>7</v>
      </c>
      <c r="B3" s="24"/>
      <c r="C3" s="57">
        <v>43189.574305555558</v>
      </c>
      <c r="D3" s="58"/>
      <c r="E3" s="41"/>
      <c r="F3" s="10"/>
      <c r="G3" s="11"/>
      <c r="H3" s="11"/>
      <c r="I3" s="9"/>
      <c r="M3" t="s">
        <v>12</v>
      </c>
      <c r="N3" s="25"/>
      <c r="O3" t="s">
        <v>15</v>
      </c>
      <c r="P3" s="25"/>
    </row>
    <row r="4" spans="1:16" ht="15.75" thickBot="1" x14ac:dyDescent="0.3">
      <c r="A4" s="12" t="s">
        <v>19</v>
      </c>
      <c r="B4" s="32"/>
      <c r="C4" s="13"/>
      <c r="D4" s="13">
        <v>5</v>
      </c>
      <c r="E4" s="13"/>
      <c r="F4" s="16"/>
      <c r="G4" s="14" t="s">
        <v>18</v>
      </c>
      <c r="H4" s="15"/>
      <c r="I4" s="15">
        <v>0.01</v>
      </c>
      <c r="J4" s="17"/>
    </row>
    <row r="5" spans="1:16" ht="15.75" thickTop="1" x14ac:dyDescent="0.25">
      <c r="G5" s="1"/>
      <c r="H5" s="1"/>
      <c r="I5" s="2"/>
      <c r="J5" s="3"/>
      <c r="M5" t="s">
        <v>16</v>
      </c>
      <c r="N5" s="29">
        <f>AVERAGE(N1:N3)</f>
        <v>5.0000000000000001E-4</v>
      </c>
    </row>
    <row r="6" spans="1:16" x14ac:dyDescent="0.25">
      <c r="G6" s="1"/>
      <c r="H6" s="1"/>
      <c r="I6" s="2"/>
      <c r="M6" t="s">
        <v>17</v>
      </c>
      <c r="N6" s="30">
        <f>AVERAGE(P1:P3)</f>
        <v>0.247</v>
      </c>
    </row>
    <row r="7" spans="1:16" x14ac:dyDescent="0.25">
      <c r="A7" s="4" t="s">
        <v>25</v>
      </c>
      <c r="B7" s="4" t="s">
        <v>35</v>
      </c>
      <c r="C7" s="4" t="s">
        <v>20</v>
      </c>
      <c r="D7" s="4" t="s">
        <v>22</v>
      </c>
      <c r="E7" s="4" t="s">
        <v>27</v>
      </c>
      <c r="F7" s="4" t="s">
        <v>1</v>
      </c>
      <c r="G7" s="4" t="s">
        <v>2</v>
      </c>
      <c r="H7" s="5" t="s">
        <v>3</v>
      </c>
      <c r="I7" s="59" t="s">
        <v>29</v>
      </c>
      <c r="J7" s="60"/>
      <c r="K7" s="6" t="s">
        <v>4</v>
      </c>
      <c r="L7" s="6" t="s">
        <v>63</v>
      </c>
    </row>
    <row r="8" spans="1:16" ht="15.75" thickBot="1" x14ac:dyDescent="0.3">
      <c r="A8" s="19" t="s">
        <v>24</v>
      </c>
      <c r="B8" s="19" t="s">
        <v>34</v>
      </c>
      <c r="C8" s="19" t="s">
        <v>21</v>
      </c>
      <c r="D8" s="19" t="s">
        <v>23</v>
      </c>
      <c r="E8" s="19" t="s">
        <v>28</v>
      </c>
      <c r="F8" s="19"/>
      <c r="G8" s="19" t="s">
        <v>5</v>
      </c>
      <c r="H8" s="20" t="s">
        <v>5</v>
      </c>
      <c r="I8" s="18" t="s">
        <v>6</v>
      </c>
      <c r="J8" s="7" t="s">
        <v>26</v>
      </c>
      <c r="K8" s="7"/>
      <c r="L8" s="7" t="s">
        <v>26</v>
      </c>
      <c r="M8" t="s">
        <v>30</v>
      </c>
      <c r="O8" t="s">
        <v>31</v>
      </c>
      <c r="P8" t="s">
        <v>32</v>
      </c>
    </row>
    <row r="9" spans="1:16" ht="15.75" thickTop="1" x14ac:dyDescent="0.25">
      <c r="A9">
        <v>2.6320000000000001</v>
      </c>
      <c r="B9">
        <v>24</v>
      </c>
      <c r="C9">
        <v>24.2319</v>
      </c>
      <c r="D9">
        <v>34.502499999999998</v>
      </c>
      <c r="E9">
        <v>23.196200000000001</v>
      </c>
      <c r="F9" s="25">
        <v>296</v>
      </c>
      <c r="G9">
        <f>VLOOKUP(F9,BottleVolumes!$A$2:'BottleVolumes'!$B$50,2)</f>
        <v>133.24</v>
      </c>
      <c r="H9" s="26">
        <v>0.56999999999999995</v>
      </c>
      <c r="I9" s="28">
        <f t="shared" ref="I9:I19" si="0">(((H9-$N$5)*$D$4*$I$4*5598)/(($N$6-$N$5)*(G9-2)))-0.018</f>
        <v>4.9093507866609212</v>
      </c>
      <c r="J9">
        <f>(I9/0.0223916)/(E9/1000+1)</f>
        <v>214.27920124923085</v>
      </c>
      <c r="L9">
        <v>205.71</v>
      </c>
      <c r="M9">
        <v>1</v>
      </c>
      <c r="N9">
        <f>J10</f>
        <v>129.1968774082099</v>
      </c>
      <c r="O9">
        <f>AVERAGE(N9:N10)</f>
        <v>129.02067353275362</v>
      </c>
      <c r="P9" s="31">
        <f>STDEVPA(N9:N10)</f>
        <v>0.17620387545628091</v>
      </c>
    </row>
    <row r="10" spans="1:16" x14ac:dyDescent="0.25">
      <c r="A10">
        <v>71.216999999999999</v>
      </c>
      <c r="B10">
        <v>22</v>
      </c>
      <c r="C10">
        <v>17.590599999999998</v>
      </c>
      <c r="D10">
        <v>34.3371</v>
      </c>
      <c r="E10">
        <v>24.867000000000001</v>
      </c>
      <c r="F10" s="25">
        <v>297</v>
      </c>
      <c r="G10">
        <f>VLOOKUP(F10,BottleVolumes!$A$2:'BottleVolumes'!$B$50,2)</f>
        <v>132</v>
      </c>
      <c r="H10" s="26">
        <v>0.34200000000000003</v>
      </c>
      <c r="I10" s="28">
        <f t="shared" si="0"/>
        <v>2.9648631611795913</v>
      </c>
      <c r="J10">
        <f t="shared" ref="J10:J19" si="1">(I10/0.0223916)/(E10/1000+1)</f>
        <v>129.1968774082099</v>
      </c>
      <c r="L10">
        <v>123.99299999999999</v>
      </c>
      <c r="M10">
        <v>2</v>
      </c>
      <c r="N10">
        <f>J11</f>
        <v>128.84446965729734</v>
      </c>
    </row>
    <row r="11" spans="1:16" x14ac:dyDescent="0.25">
      <c r="A11">
        <v>71.216999999999999</v>
      </c>
      <c r="B11">
        <v>22</v>
      </c>
      <c r="C11">
        <v>17.590599999999998</v>
      </c>
      <c r="D11">
        <v>34.3371</v>
      </c>
      <c r="E11">
        <v>24.867000000000001</v>
      </c>
      <c r="F11" s="25">
        <v>298</v>
      </c>
      <c r="G11">
        <f>VLOOKUP(F11,BottleVolumes!$A$2:'BottleVolumes'!$B$50,2)</f>
        <v>131.59</v>
      </c>
      <c r="H11" s="26">
        <v>0.34</v>
      </c>
      <c r="I11" s="28">
        <f t="shared" si="0"/>
        <v>2.9567759629488362</v>
      </c>
      <c r="J11">
        <f t="shared" si="1"/>
        <v>128.84446965729734</v>
      </c>
      <c r="L11">
        <v>123.99299999999999</v>
      </c>
    </row>
    <row r="12" spans="1:16" x14ac:dyDescent="0.25">
      <c r="A12">
        <v>71.216999999999999</v>
      </c>
      <c r="B12">
        <v>22</v>
      </c>
      <c r="C12">
        <v>17.590599999999998</v>
      </c>
      <c r="D12">
        <v>34.3371</v>
      </c>
      <c r="E12">
        <v>24.867000000000001</v>
      </c>
      <c r="F12" s="25">
        <v>299</v>
      </c>
      <c r="G12">
        <f>VLOOKUP(F12,BottleVolumes!$A$2:'BottleVolumes'!$B$50,2)</f>
        <v>130.12</v>
      </c>
      <c r="H12" s="26">
        <v>0.34</v>
      </c>
      <c r="I12" s="28">
        <f t="shared" si="0"/>
        <v>2.9909074074191357</v>
      </c>
      <c r="J12">
        <f t="shared" si="1"/>
        <v>130.33178148495011</v>
      </c>
      <c r="L12">
        <v>123.99299999999999</v>
      </c>
      <c r="P12" s="31"/>
    </row>
    <row r="13" spans="1:16" x14ac:dyDescent="0.25">
      <c r="A13">
        <v>101.208</v>
      </c>
      <c r="B13">
        <v>20</v>
      </c>
      <c r="C13">
        <v>14.516500000000001</v>
      </c>
      <c r="D13">
        <v>34.534999999999997</v>
      </c>
      <c r="E13">
        <v>25.721399999999999</v>
      </c>
      <c r="F13" s="25" t="s">
        <v>44</v>
      </c>
      <c r="G13">
        <f>VLOOKUP(F13,BottleVolumes!$A$2:'BottleVolumes'!$B$50,2)</f>
        <v>144.01</v>
      </c>
      <c r="H13" s="26">
        <v>0.106</v>
      </c>
      <c r="I13" s="28">
        <f t="shared" si="0"/>
        <v>0.82556685448972056</v>
      </c>
      <c r="J13">
        <f t="shared" si="1"/>
        <v>35.944935150338601</v>
      </c>
      <c r="L13">
        <v>34.951999999999998</v>
      </c>
    </row>
    <row r="14" spans="1:16" x14ac:dyDescent="0.25">
      <c r="A14">
        <v>152.00299999999999</v>
      </c>
      <c r="B14">
        <v>16</v>
      </c>
      <c r="C14">
        <v>13.363899999999999</v>
      </c>
      <c r="D14">
        <v>34.760800000000003</v>
      </c>
      <c r="E14">
        <v>26.138300000000001</v>
      </c>
      <c r="F14" s="25" t="s">
        <v>40</v>
      </c>
      <c r="G14">
        <f>VLOOKUP(F14,BottleVolumes!$A$2:'BottleVolumes'!$B$50,2)</f>
        <v>142.59</v>
      </c>
      <c r="H14" s="26">
        <v>3.7999999999999999E-2</v>
      </c>
      <c r="I14" s="28">
        <f t="shared" si="0"/>
        <v>0.28487457075636191</v>
      </c>
      <c r="J14">
        <f t="shared" si="1"/>
        <v>12.398314789080295</v>
      </c>
      <c r="L14">
        <v>11.5</v>
      </c>
    </row>
    <row r="15" spans="1:16" x14ac:dyDescent="0.25">
      <c r="A15">
        <v>201.608</v>
      </c>
      <c r="B15">
        <v>14</v>
      </c>
      <c r="C15">
        <v>12.2791</v>
      </c>
      <c r="D15">
        <v>34.758400000000002</v>
      </c>
      <c r="E15">
        <v>26.353000000000002</v>
      </c>
      <c r="F15" s="25">
        <v>290</v>
      </c>
      <c r="G15">
        <f>VLOOKUP(F15,BottleVolumes!$A$2:'BottleVolumes'!$B$50,2)</f>
        <v>129.97999999999999</v>
      </c>
      <c r="H15" s="26">
        <v>4.0000000000000001E-3</v>
      </c>
      <c r="I15" s="28">
        <f t="shared" si="0"/>
        <v>1.305359705354571E-2</v>
      </c>
      <c r="J15">
        <f t="shared" si="1"/>
        <v>0.56799997821653747</v>
      </c>
      <c r="L15">
        <v>0.755</v>
      </c>
    </row>
    <row r="16" spans="1:16" x14ac:dyDescent="0.25">
      <c r="A16">
        <v>400.053</v>
      </c>
      <c r="B16">
        <v>10</v>
      </c>
      <c r="C16">
        <v>9.2094000000000005</v>
      </c>
      <c r="D16">
        <v>34.578600000000002</v>
      </c>
      <c r="E16">
        <v>26.761600000000001</v>
      </c>
      <c r="F16" s="25" t="s">
        <v>41</v>
      </c>
      <c r="G16">
        <f>VLOOKUP(F16,BottleVolumes!$A$2:'BottleVolumes'!$B$50,2)</f>
        <v>138.30000000000001</v>
      </c>
      <c r="H16" s="26">
        <v>5.0000000000000001E-3</v>
      </c>
      <c r="I16" s="28">
        <f t="shared" si="0"/>
        <v>1.9488894411712619E-2</v>
      </c>
      <c r="J16">
        <f t="shared" si="1"/>
        <v>0.84768101618037428</v>
      </c>
      <c r="L16">
        <v>1.0629999999999999</v>
      </c>
    </row>
    <row r="17" spans="1:12" x14ac:dyDescent="0.25">
      <c r="A17">
        <v>499.90899999999999</v>
      </c>
      <c r="B17">
        <v>8</v>
      </c>
      <c r="C17">
        <v>7.8533999999999997</v>
      </c>
      <c r="D17">
        <v>34.533099999999997</v>
      </c>
      <c r="E17">
        <v>26.936399999999999</v>
      </c>
      <c r="F17" s="25">
        <v>292</v>
      </c>
      <c r="G17">
        <f>VLOOKUP(F17,BottleVolumes!$A$2:'BottleVolumes'!$B$50,2)</f>
        <v>125.09</v>
      </c>
      <c r="H17" s="26">
        <v>6.0000000000000001E-3</v>
      </c>
      <c r="I17" s="28">
        <f t="shared" si="0"/>
        <v>3.2737129463970102E-2</v>
      </c>
      <c r="J17">
        <f t="shared" si="1"/>
        <v>1.4236784811089973</v>
      </c>
      <c r="L17">
        <v>0.998</v>
      </c>
    </row>
    <row r="18" spans="1:12" x14ac:dyDescent="0.25">
      <c r="A18">
        <v>699.50800000000004</v>
      </c>
      <c r="B18">
        <v>6</v>
      </c>
      <c r="C18">
        <v>6.1505000000000001</v>
      </c>
      <c r="D18">
        <v>34.514699999999998</v>
      </c>
      <c r="E18">
        <v>27.158000000000001</v>
      </c>
      <c r="F18" s="25">
        <v>293</v>
      </c>
      <c r="G18">
        <f>VLOOKUP(F18,BottleVolumes!$A$2:'BottleVolumes'!$B$50,2)</f>
        <v>136.38999999999999</v>
      </c>
      <c r="H18" s="26">
        <v>6.0000000000000001E-3</v>
      </c>
      <c r="I18" s="28">
        <f t="shared" si="0"/>
        <v>2.8470967078801108E-2</v>
      </c>
      <c r="J18">
        <f t="shared" si="1"/>
        <v>1.237883684220344</v>
      </c>
      <c r="L18">
        <v>1.389</v>
      </c>
    </row>
    <row r="19" spans="1:12" x14ac:dyDescent="0.25">
      <c r="A19">
        <v>1199.58</v>
      </c>
      <c r="B19">
        <v>1</v>
      </c>
      <c r="C19">
        <v>3.8098000000000001</v>
      </c>
      <c r="D19">
        <v>34.5623</v>
      </c>
      <c r="E19">
        <v>27.466799999999999</v>
      </c>
      <c r="F19" s="25" t="s">
        <v>42</v>
      </c>
      <c r="G19">
        <f>VLOOKUP(F19,BottleVolumes!$A$2:'BottleVolumes'!$B$50,2)</f>
        <v>145.24</v>
      </c>
      <c r="H19" s="26">
        <v>0.64500000000000002</v>
      </c>
      <c r="I19" s="28">
        <f t="shared" si="0"/>
        <v>5.091102129619193</v>
      </c>
      <c r="J19">
        <f t="shared" si="1"/>
        <v>221.28852002820594</v>
      </c>
      <c r="K19" t="s">
        <v>62</v>
      </c>
      <c r="L19">
        <v>20.373000000000001</v>
      </c>
    </row>
    <row r="20" spans="1:12" x14ac:dyDescent="0.25">
      <c r="F20" s="25"/>
      <c r="H20" s="26"/>
      <c r="I20" s="28"/>
    </row>
    <row r="21" spans="1:12" x14ac:dyDescent="0.25">
      <c r="F21" s="25"/>
      <c r="H21" s="26"/>
      <c r="I21" s="28"/>
    </row>
    <row r="22" spans="1:12" x14ac:dyDescent="0.25">
      <c r="F22" s="25"/>
      <c r="H22" s="26"/>
      <c r="I22" s="28"/>
    </row>
    <row r="23" spans="1:12" x14ac:dyDescent="0.25">
      <c r="F23" s="25"/>
      <c r="H23" s="26"/>
      <c r="I23" s="28"/>
    </row>
    <row r="24" spans="1:12" x14ac:dyDescent="0.25">
      <c r="F24" s="25"/>
      <c r="H24" s="26"/>
      <c r="I24" s="28"/>
    </row>
    <row r="25" spans="1:12" x14ac:dyDescent="0.25">
      <c r="F25" s="25"/>
      <c r="H25" s="26"/>
      <c r="I25" s="28"/>
    </row>
  </sheetData>
  <mergeCells count="5">
    <mergeCell ref="C1:D1"/>
    <mergeCell ref="H1:I1"/>
    <mergeCell ref="C2:D2"/>
    <mergeCell ref="C3:D3"/>
    <mergeCell ref="I7:J7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5" x14ac:dyDescent="0.25"/>
  <cols>
    <col min="1" max="2" width="11.42578125" customWidth="1"/>
    <col min="3" max="3" width="12.5703125" customWidth="1"/>
    <col min="4" max="5" width="14" customWidth="1"/>
    <col min="6" max="6" width="13.28515625" customWidth="1"/>
    <col min="7" max="7" width="15" customWidth="1"/>
    <col min="8" max="8" width="11.28515625" customWidth="1"/>
    <col min="9" max="9" width="13.5703125" customWidth="1"/>
    <col min="10" max="10" width="10.7109375" customWidth="1"/>
    <col min="11" max="12" width="14.28515625" customWidth="1"/>
    <col min="15" max="15" width="12" bestFit="1" customWidth="1"/>
  </cols>
  <sheetData>
    <row r="1" spans="1:16" x14ac:dyDescent="0.25">
      <c r="A1" s="21" t="s">
        <v>9</v>
      </c>
      <c r="B1" s="21"/>
      <c r="C1" s="53">
        <v>4</v>
      </c>
      <c r="D1" s="53"/>
      <c r="E1" s="42"/>
      <c r="F1" s="22"/>
      <c r="G1" s="23" t="s">
        <v>0</v>
      </c>
      <c r="H1" s="54" t="s">
        <v>33</v>
      </c>
      <c r="I1" s="53"/>
      <c r="M1" t="s">
        <v>10</v>
      </c>
      <c r="N1" s="25">
        <v>0</v>
      </c>
      <c r="O1" t="s">
        <v>13</v>
      </c>
      <c r="P1" s="25">
        <v>0.247</v>
      </c>
    </row>
    <row r="2" spans="1:16" x14ac:dyDescent="0.25">
      <c r="A2" s="24" t="s">
        <v>8</v>
      </c>
      <c r="B2" s="24"/>
      <c r="C2" s="55">
        <v>5</v>
      </c>
      <c r="D2" s="56"/>
      <c r="E2" s="42"/>
      <c r="F2" s="10"/>
      <c r="G2" s="11"/>
      <c r="H2" s="11"/>
      <c r="I2" s="9"/>
      <c r="M2" t="s">
        <v>11</v>
      </c>
      <c r="N2" s="25">
        <v>1E-3</v>
      </c>
      <c r="O2" t="s">
        <v>14</v>
      </c>
      <c r="P2" s="25">
        <v>0.247</v>
      </c>
    </row>
    <row r="3" spans="1:16" x14ac:dyDescent="0.25">
      <c r="A3" s="8" t="s">
        <v>7</v>
      </c>
      <c r="B3" s="24"/>
      <c r="C3" s="57">
        <v>43189.779861111114</v>
      </c>
      <c r="D3" s="58"/>
      <c r="E3" s="42"/>
      <c r="F3" s="10"/>
      <c r="G3" s="11"/>
      <c r="H3" s="11"/>
      <c r="I3" s="9"/>
      <c r="N3" s="25"/>
      <c r="P3" s="25"/>
    </row>
    <row r="4" spans="1:16" ht="15.75" thickBot="1" x14ac:dyDescent="0.3">
      <c r="A4" s="12" t="s">
        <v>19</v>
      </c>
      <c r="B4" s="32"/>
      <c r="C4" s="13"/>
      <c r="D4" s="13">
        <v>5</v>
      </c>
      <c r="E4" s="13"/>
      <c r="F4" s="16"/>
      <c r="G4" s="14" t="s">
        <v>18</v>
      </c>
      <c r="H4" s="15"/>
      <c r="I4" s="15">
        <v>0.01</v>
      </c>
      <c r="J4" s="17"/>
    </row>
    <row r="5" spans="1:16" ht="15.75" thickTop="1" x14ac:dyDescent="0.25">
      <c r="G5" s="1"/>
      <c r="H5" s="1"/>
      <c r="I5" s="2"/>
      <c r="J5" s="3"/>
      <c r="M5" t="s">
        <v>16</v>
      </c>
      <c r="N5" s="29">
        <f>AVERAGE(N1:N3)</f>
        <v>5.0000000000000001E-4</v>
      </c>
    </row>
    <row r="6" spans="1:16" x14ac:dyDescent="0.25">
      <c r="G6" s="1"/>
      <c r="H6" s="1"/>
      <c r="I6" s="2"/>
      <c r="M6" t="s">
        <v>17</v>
      </c>
      <c r="N6" s="30">
        <f>AVERAGE(P1:P3)</f>
        <v>0.247</v>
      </c>
    </row>
    <row r="7" spans="1:16" x14ac:dyDescent="0.25">
      <c r="A7" s="4" t="s">
        <v>25</v>
      </c>
      <c r="B7" s="4" t="s">
        <v>35</v>
      </c>
      <c r="C7" s="4" t="s">
        <v>20</v>
      </c>
      <c r="D7" s="4" t="s">
        <v>22</v>
      </c>
      <c r="E7" s="4" t="s">
        <v>27</v>
      </c>
      <c r="F7" s="4" t="s">
        <v>1</v>
      </c>
      <c r="G7" s="4" t="s">
        <v>2</v>
      </c>
      <c r="H7" s="5" t="s">
        <v>3</v>
      </c>
      <c r="I7" s="59" t="s">
        <v>29</v>
      </c>
      <c r="J7" s="60"/>
      <c r="K7" s="6" t="s">
        <v>4</v>
      </c>
      <c r="L7" s="6" t="s">
        <v>63</v>
      </c>
    </row>
    <row r="8" spans="1:16" ht="15.75" thickBot="1" x14ac:dyDescent="0.3">
      <c r="A8" s="19" t="s">
        <v>24</v>
      </c>
      <c r="B8" s="19" t="s">
        <v>34</v>
      </c>
      <c r="C8" s="19" t="s">
        <v>21</v>
      </c>
      <c r="D8" s="19" t="s">
        <v>23</v>
      </c>
      <c r="E8" s="19" t="s">
        <v>28</v>
      </c>
      <c r="F8" s="19"/>
      <c r="G8" s="19" t="s">
        <v>5</v>
      </c>
      <c r="H8" s="20" t="s">
        <v>5</v>
      </c>
      <c r="I8" s="18" t="s">
        <v>6</v>
      </c>
      <c r="J8" s="7" t="s">
        <v>26</v>
      </c>
      <c r="K8" s="7"/>
      <c r="L8" s="7" t="s">
        <v>26</v>
      </c>
    </row>
    <row r="9" spans="1:16" ht="15.75" thickTop="1" x14ac:dyDescent="0.25">
      <c r="A9">
        <v>2.4460000000000002</v>
      </c>
      <c r="B9">
        <v>24</v>
      </c>
      <c r="C9">
        <v>24.6096</v>
      </c>
      <c r="D9">
        <v>34.404699999999998</v>
      </c>
      <c r="E9">
        <v>23.009399999999999</v>
      </c>
      <c r="F9" s="25">
        <v>297</v>
      </c>
      <c r="G9">
        <f>VLOOKUP(F9,BottleVolumes!$A$2:'BottleVolumes'!$B$50,2)</f>
        <v>132</v>
      </c>
      <c r="H9" s="26">
        <v>0.52700000000000002</v>
      </c>
      <c r="I9" s="28">
        <f t="shared" ref="I9:I18" si="0">(((H9-$N$5)*$D$4*$I$4*5598)/(($N$6-$N$5)*(G9-2)))-0.018</f>
        <v>4.5807626774847874</v>
      </c>
      <c r="J9">
        <f>(I9/0.0223916)/(E9/1000+1)</f>
        <v>199.97377292900003</v>
      </c>
      <c r="L9">
        <v>206.65</v>
      </c>
      <c r="P9" s="31"/>
    </row>
    <row r="10" spans="1:16" x14ac:dyDescent="0.25">
      <c r="A10">
        <v>81.162999999999997</v>
      </c>
      <c r="B10">
        <v>22</v>
      </c>
      <c r="C10">
        <v>16.205400000000001</v>
      </c>
      <c r="D10">
        <v>33.968899999999998</v>
      </c>
      <c r="E10">
        <v>24.910699999999999</v>
      </c>
      <c r="F10" s="25">
        <v>293</v>
      </c>
      <c r="G10">
        <f>VLOOKUP(F10,BottleVolumes!$A$2:'BottleVolumes'!$B$50,2)</f>
        <v>136.38999999999999</v>
      </c>
      <c r="H10" s="26">
        <v>0.40699999999999997</v>
      </c>
      <c r="I10" s="28">
        <f t="shared" si="0"/>
        <v>3.4166269304604824</v>
      </c>
      <c r="J10">
        <f t="shared" ref="J10:J18" si="1">(I10/0.0223916)/(E10/1000+1)</f>
        <v>148.87658741368224</v>
      </c>
      <c r="L10">
        <v>133.87200000000001</v>
      </c>
    </row>
    <row r="11" spans="1:16" x14ac:dyDescent="0.25">
      <c r="A11">
        <v>101.399</v>
      </c>
      <c r="B11">
        <v>20</v>
      </c>
      <c r="C11">
        <v>15.1692</v>
      </c>
      <c r="D11">
        <v>34.266599999999997</v>
      </c>
      <c r="E11">
        <v>25.372800000000002</v>
      </c>
      <c r="F11" s="25">
        <v>299</v>
      </c>
      <c r="G11">
        <f>VLOOKUP(F11,BottleVolumes!$A$2:'BottleVolumes'!$B$50,2)</f>
        <v>130.12</v>
      </c>
      <c r="H11" s="26">
        <v>0.17299999999999999</v>
      </c>
      <c r="I11" s="28">
        <f t="shared" si="0"/>
        <v>1.5108262968477191</v>
      </c>
      <c r="J11">
        <f t="shared" si="1"/>
        <v>65.803291131941023</v>
      </c>
      <c r="L11">
        <v>63.338000000000001</v>
      </c>
    </row>
    <row r="12" spans="1:16" x14ac:dyDescent="0.25">
      <c r="A12">
        <v>111.44499999999999</v>
      </c>
      <c r="B12">
        <v>19</v>
      </c>
      <c r="C12">
        <v>14.798500000000001</v>
      </c>
      <c r="D12">
        <v>34.433300000000003</v>
      </c>
      <c r="E12">
        <v>25.5825</v>
      </c>
      <c r="F12" s="25">
        <v>298</v>
      </c>
      <c r="G12">
        <f>VLOOKUP(F12,BottleVolumes!$A$2:'BottleVolumes'!$B$50,2)</f>
        <v>131.59</v>
      </c>
      <c r="H12" s="26">
        <v>0.14000000000000001</v>
      </c>
      <c r="I12" s="28">
        <f t="shared" si="0"/>
        <v>1.2043306239509941</v>
      </c>
      <c r="J12">
        <f t="shared" si="1"/>
        <v>52.443298658388869</v>
      </c>
      <c r="L12">
        <v>49.881999999999998</v>
      </c>
    </row>
    <row r="13" spans="1:16" x14ac:dyDescent="0.25">
      <c r="A13">
        <v>120.879</v>
      </c>
      <c r="B13">
        <v>18</v>
      </c>
      <c r="C13">
        <v>14.3451</v>
      </c>
      <c r="D13">
        <v>34.474800000000002</v>
      </c>
      <c r="E13">
        <v>25.712199999999999</v>
      </c>
      <c r="F13" s="25" t="s">
        <v>40</v>
      </c>
      <c r="G13">
        <f>VLOOKUP(F13,BottleVolumes!$A$2:'BottleVolumes'!$B$50,2)</f>
        <v>142.59</v>
      </c>
      <c r="H13" s="26">
        <v>0.11600000000000001</v>
      </c>
      <c r="I13" s="28">
        <f t="shared" si="0"/>
        <v>0.91485367792959471</v>
      </c>
      <c r="J13">
        <f t="shared" si="1"/>
        <v>39.832814142908063</v>
      </c>
      <c r="L13">
        <v>39.258000000000003</v>
      </c>
      <c r="P13" s="31"/>
    </row>
    <row r="14" spans="1:16" x14ac:dyDescent="0.25">
      <c r="A14">
        <v>131.21799999999999</v>
      </c>
      <c r="B14">
        <v>17</v>
      </c>
      <c r="C14">
        <v>13.9381</v>
      </c>
      <c r="D14">
        <v>34.613500000000002</v>
      </c>
      <c r="E14">
        <v>25.9053</v>
      </c>
      <c r="F14" s="25" t="s">
        <v>42</v>
      </c>
      <c r="G14">
        <f>VLOOKUP(F14,BottleVolumes!$A$2:'BottleVolumes'!$B$50,2)</f>
        <v>145.24</v>
      </c>
      <c r="H14" s="26">
        <v>0.06</v>
      </c>
      <c r="I14" s="28">
        <f t="shared" si="0"/>
        <v>0.45367040607035203</v>
      </c>
      <c r="J14">
        <f t="shared" si="1"/>
        <v>19.749133673430148</v>
      </c>
      <c r="L14">
        <v>19.376999999999999</v>
      </c>
    </row>
    <row r="15" spans="1:16" x14ac:dyDescent="0.25">
      <c r="A15">
        <v>151.471</v>
      </c>
      <c r="B15">
        <v>16</v>
      </c>
      <c r="C15">
        <v>13.5505</v>
      </c>
      <c r="D15">
        <v>34.750999999999998</v>
      </c>
      <c r="E15">
        <v>26.092600000000001</v>
      </c>
      <c r="F15" s="25">
        <v>292</v>
      </c>
      <c r="G15">
        <f>VLOOKUP(F15,BottleVolumes!$A$2:'BottleVolumes'!$B$50,2)</f>
        <v>125.09</v>
      </c>
      <c r="H15" s="26">
        <v>3.9E-2</v>
      </c>
      <c r="I15" s="28">
        <f t="shared" si="0"/>
        <v>0.3371599062477908</v>
      </c>
      <c r="J15">
        <f t="shared" si="1"/>
        <v>14.674531386780686</v>
      </c>
      <c r="L15">
        <v>13.81</v>
      </c>
    </row>
    <row r="16" spans="1:16" x14ac:dyDescent="0.25">
      <c r="A16">
        <v>450.35300000000001</v>
      </c>
      <c r="B16">
        <v>9</v>
      </c>
      <c r="C16">
        <v>8.4745000000000008</v>
      </c>
      <c r="D16">
        <v>34.551299999999998</v>
      </c>
      <c r="E16">
        <v>26.8568</v>
      </c>
      <c r="F16" s="25" t="s">
        <v>41</v>
      </c>
      <c r="G16">
        <f>VLOOKUP(F16,BottleVolumes!$A$2:'BottleVolumes'!$B$50,2)</f>
        <v>138.30000000000001</v>
      </c>
      <c r="H16" s="26">
        <v>5.0000000000000001E-3</v>
      </c>
      <c r="I16" s="28">
        <f t="shared" si="0"/>
        <v>1.9488894411712619E-2</v>
      </c>
      <c r="J16">
        <f t="shared" si="1"/>
        <v>0.84760242758580051</v>
      </c>
      <c r="L16">
        <v>0.99299999999999999</v>
      </c>
    </row>
    <row r="17" spans="1:12" x14ac:dyDescent="0.25">
      <c r="A17">
        <v>1100.693</v>
      </c>
      <c r="B17">
        <v>2</v>
      </c>
      <c r="C17">
        <v>4.1478000000000002</v>
      </c>
      <c r="D17">
        <v>34.552</v>
      </c>
      <c r="E17">
        <v>27.423400000000001</v>
      </c>
      <c r="F17" s="25" t="s">
        <v>44</v>
      </c>
      <c r="G17">
        <f>VLOOKUP(F17,BottleVolumes!$A$2:'BottleVolumes'!$B$50,2)</f>
        <v>144.01</v>
      </c>
      <c r="H17" s="26">
        <v>4.3999999999999997E-2</v>
      </c>
      <c r="I17" s="28">
        <f t="shared" si="0"/>
        <v>0.3298214044578468</v>
      </c>
      <c r="J17">
        <f t="shared" si="1"/>
        <v>14.336536891141476</v>
      </c>
      <c r="L17">
        <v>13.922000000000001</v>
      </c>
    </row>
    <row r="18" spans="1:12" x14ac:dyDescent="0.25">
      <c r="A18">
        <v>1200.325</v>
      </c>
      <c r="B18">
        <v>1</v>
      </c>
      <c r="C18">
        <v>3.8325</v>
      </c>
      <c r="D18">
        <v>34.565600000000003</v>
      </c>
      <c r="E18">
        <v>27.467099999999999</v>
      </c>
      <c r="F18" s="25">
        <v>290</v>
      </c>
      <c r="G18">
        <f>VLOOKUP(F18,BottleVolumes!$A$2:'BottleVolumes'!$B$50,2)</f>
        <v>129.97999999999999</v>
      </c>
      <c r="H18" s="26">
        <v>5.8000000000000003E-2</v>
      </c>
      <c r="I18" s="28">
        <f t="shared" si="0"/>
        <v>0.49216623730825093</v>
      </c>
      <c r="J18">
        <f t="shared" si="1"/>
        <v>21.392363321174646</v>
      </c>
      <c r="L18">
        <v>20.388000000000002</v>
      </c>
    </row>
    <row r="19" spans="1:12" x14ac:dyDescent="0.25">
      <c r="F19" s="25"/>
      <c r="H19" s="26"/>
      <c r="I19" s="28"/>
    </row>
    <row r="20" spans="1:12" x14ac:dyDescent="0.25">
      <c r="F20" s="25"/>
      <c r="H20" s="26"/>
      <c r="I20" s="28"/>
    </row>
    <row r="21" spans="1:12" x14ac:dyDescent="0.25">
      <c r="F21" s="25"/>
      <c r="H21" s="26"/>
      <c r="I21" s="28"/>
    </row>
    <row r="22" spans="1:12" x14ac:dyDescent="0.25">
      <c r="F22" s="25"/>
      <c r="H22" s="26"/>
      <c r="I22" s="28"/>
    </row>
    <row r="23" spans="1:12" x14ac:dyDescent="0.25">
      <c r="F23" s="25"/>
      <c r="H23" s="26"/>
      <c r="I23" s="28"/>
    </row>
    <row r="24" spans="1:12" x14ac:dyDescent="0.25">
      <c r="F24" s="25"/>
      <c r="H24" s="26"/>
      <c r="I24" s="28"/>
    </row>
    <row r="25" spans="1:12" x14ac:dyDescent="0.25">
      <c r="F25" s="25"/>
      <c r="H25" s="26"/>
      <c r="I25" s="28"/>
    </row>
  </sheetData>
  <mergeCells count="5">
    <mergeCell ref="C1:D1"/>
    <mergeCell ref="H1:I1"/>
    <mergeCell ref="C2:D2"/>
    <mergeCell ref="C3:D3"/>
    <mergeCell ref="I7:J7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/>
  </sheetViews>
  <sheetFormatPr defaultRowHeight="15" x14ac:dyDescent="0.25"/>
  <cols>
    <col min="1" max="2" width="11.42578125" customWidth="1"/>
    <col min="3" max="3" width="12.5703125" customWidth="1"/>
    <col min="4" max="5" width="14" customWidth="1"/>
    <col min="6" max="6" width="13.28515625" customWidth="1"/>
    <col min="7" max="7" width="15" customWidth="1"/>
    <col min="8" max="8" width="11.28515625" customWidth="1"/>
    <col min="9" max="9" width="13.5703125" customWidth="1"/>
    <col min="10" max="10" width="10.7109375" customWidth="1"/>
    <col min="11" max="12" width="14.28515625" customWidth="1"/>
    <col min="15" max="15" width="12" bestFit="1" customWidth="1"/>
  </cols>
  <sheetData>
    <row r="1" spans="1:16" x14ac:dyDescent="0.25">
      <c r="A1" s="21" t="s">
        <v>9</v>
      </c>
      <c r="B1" s="21"/>
      <c r="C1" s="53">
        <v>5</v>
      </c>
      <c r="D1" s="53"/>
      <c r="E1" s="43"/>
      <c r="F1" s="22"/>
      <c r="G1" s="23" t="s">
        <v>0</v>
      </c>
      <c r="H1" s="54" t="s">
        <v>33</v>
      </c>
      <c r="I1" s="53"/>
      <c r="M1" t="s">
        <v>10</v>
      </c>
      <c r="N1" s="25">
        <v>0</v>
      </c>
      <c r="O1" t="s">
        <v>13</v>
      </c>
      <c r="P1" s="25">
        <v>0.247</v>
      </c>
    </row>
    <row r="2" spans="1:16" x14ac:dyDescent="0.25">
      <c r="A2" s="24" t="s">
        <v>8</v>
      </c>
      <c r="B2" s="24"/>
      <c r="C2" s="55">
        <v>6</v>
      </c>
      <c r="D2" s="56"/>
      <c r="E2" s="43"/>
      <c r="F2" s="10"/>
      <c r="G2" s="11"/>
      <c r="H2" s="11"/>
      <c r="I2" s="9"/>
      <c r="M2" t="s">
        <v>11</v>
      </c>
      <c r="N2" s="25">
        <v>1E-3</v>
      </c>
      <c r="O2" t="s">
        <v>14</v>
      </c>
      <c r="P2" s="25">
        <v>0.247</v>
      </c>
    </row>
    <row r="3" spans="1:16" x14ac:dyDescent="0.25">
      <c r="A3" s="8" t="s">
        <v>7</v>
      </c>
      <c r="B3" s="24"/>
      <c r="C3" s="57">
        <v>43189.988888888889</v>
      </c>
      <c r="D3" s="58"/>
      <c r="E3" s="43"/>
      <c r="F3" s="10"/>
      <c r="G3" s="11"/>
      <c r="H3" s="11"/>
      <c r="I3" s="9"/>
      <c r="M3" t="s">
        <v>12</v>
      </c>
      <c r="N3" s="25"/>
      <c r="O3" t="s">
        <v>15</v>
      </c>
      <c r="P3" s="25"/>
    </row>
    <row r="4" spans="1:16" ht="15.75" thickBot="1" x14ac:dyDescent="0.3">
      <c r="A4" s="12" t="s">
        <v>19</v>
      </c>
      <c r="B4" s="32"/>
      <c r="C4" s="13"/>
      <c r="D4" s="13">
        <v>5</v>
      </c>
      <c r="E4" s="13"/>
      <c r="F4" s="16"/>
      <c r="G4" s="14" t="s">
        <v>18</v>
      </c>
      <c r="H4" s="15"/>
      <c r="I4" s="15">
        <v>0.01</v>
      </c>
      <c r="J4" s="17"/>
    </row>
    <row r="5" spans="1:16" ht="15.75" thickTop="1" x14ac:dyDescent="0.25">
      <c r="G5" s="1"/>
      <c r="H5" s="1"/>
      <c r="I5" s="2"/>
      <c r="J5" s="3"/>
      <c r="M5" t="s">
        <v>16</v>
      </c>
      <c r="N5" s="29">
        <f>AVERAGE(N1:N3)</f>
        <v>5.0000000000000001E-4</v>
      </c>
    </row>
    <row r="6" spans="1:16" x14ac:dyDescent="0.25">
      <c r="G6" s="1"/>
      <c r="H6" s="1"/>
      <c r="I6" s="2"/>
      <c r="M6" t="s">
        <v>17</v>
      </c>
      <c r="N6" s="30">
        <f>AVERAGE(P1:P3)</f>
        <v>0.247</v>
      </c>
    </row>
    <row r="7" spans="1:16" x14ac:dyDescent="0.25">
      <c r="A7" s="4" t="s">
        <v>25</v>
      </c>
      <c r="B7" s="4" t="s">
        <v>35</v>
      </c>
      <c r="C7" s="4" t="s">
        <v>20</v>
      </c>
      <c r="D7" s="4" t="s">
        <v>22</v>
      </c>
      <c r="E7" s="4" t="s">
        <v>27</v>
      </c>
      <c r="F7" s="4" t="s">
        <v>1</v>
      </c>
      <c r="G7" s="4" t="s">
        <v>2</v>
      </c>
      <c r="H7" s="5" t="s">
        <v>3</v>
      </c>
      <c r="I7" s="59" t="s">
        <v>29</v>
      </c>
      <c r="J7" s="60"/>
      <c r="K7" s="6" t="s">
        <v>4</v>
      </c>
      <c r="L7" s="6" t="s">
        <v>63</v>
      </c>
    </row>
    <row r="8" spans="1:16" ht="15.75" thickBot="1" x14ac:dyDescent="0.3">
      <c r="A8" s="19" t="s">
        <v>24</v>
      </c>
      <c r="B8" s="19" t="s">
        <v>34</v>
      </c>
      <c r="C8" s="19" t="s">
        <v>21</v>
      </c>
      <c r="D8" s="19" t="s">
        <v>23</v>
      </c>
      <c r="E8" s="19" t="s">
        <v>28</v>
      </c>
      <c r="F8" s="19"/>
      <c r="G8" s="19" t="s">
        <v>5</v>
      </c>
      <c r="H8" s="20" t="s">
        <v>5</v>
      </c>
      <c r="I8" s="18" t="s">
        <v>6</v>
      </c>
      <c r="J8" s="7" t="s">
        <v>26</v>
      </c>
      <c r="K8" s="7"/>
      <c r="L8" s="7" t="s">
        <v>26</v>
      </c>
    </row>
    <row r="9" spans="1:16" ht="15.75" thickTop="1" x14ac:dyDescent="0.25">
      <c r="A9">
        <v>2.5859999999999999</v>
      </c>
      <c r="B9">
        <v>24</v>
      </c>
      <c r="C9">
        <v>24.728100000000001</v>
      </c>
      <c r="D9">
        <v>34.359699999999997</v>
      </c>
      <c r="E9">
        <v>22.939800000000002</v>
      </c>
      <c r="F9" s="25">
        <v>290</v>
      </c>
      <c r="G9">
        <f>VLOOKUP('Station 5 Cast 6 Calculation'!F9,BottleVolumes!$A$2:'BottleVolumes'!$B$50,2)</f>
        <v>129.97999999999999</v>
      </c>
      <c r="H9" s="26">
        <v>0.51500000000000001</v>
      </c>
      <c r="I9" s="28">
        <f t="shared" ref="I9:I13" si="0">(((H9-$N$5)*$D$4*$I$4*5598)/(($N$6-$N$5)*(G9-2)))-0.018</f>
        <v>4.5468787668712194</v>
      </c>
      <c r="J9">
        <f>(I9/0.0223916)/(E9/1000+1)</f>
        <v>198.50807194431403</v>
      </c>
      <c r="L9">
        <v>205.274</v>
      </c>
      <c r="P9" s="31"/>
    </row>
    <row r="10" spans="1:16" x14ac:dyDescent="0.25">
      <c r="A10">
        <v>76.260000000000005</v>
      </c>
      <c r="B10">
        <v>22</v>
      </c>
      <c r="C10">
        <v>16.756699999999999</v>
      </c>
      <c r="D10">
        <v>34.309199999999997</v>
      </c>
      <c r="E10">
        <v>25.0443</v>
      </c>
      <c r="F10" s="25">
        <v>292</v>
      </c>
      <c r="G10">
        <f>VLOOKUP('Station 5 Cast 6 Calculation'!F10,BottleVolumes!$A$2:'BottleVolumes'!$B$50,2)</f>
        <v>125.09</v>
      </c>
      <c r="H10" s="26">
        <v>0.29299999999999998</v>
      </c>
      <c r="I10" s="28">
        <f t="shared" si="0"/>
        <v>2.6802927942202288</v>
      </c>
      <c r="J10">
        <f t="shared" ref="J10:J13" si="1">(I10/0.0223916)/(E10/1000+1)</f>
        <v>116.7762370069741</v>
      </c>
      <c r="L10">
        <v>111.01300000000001</v>
      </c>
    </row>
    <row r="11" spans="1:16" x14ac:dyDescent="0.25">
      <c r="A11">
        <v>91.655000000000001</v>
      </c>
      <c r="B11">
        <v>21</v>
      </c>
      <c r="C11">
        <v>15.6469</v>
      </c>
      <c r="D11">
        <v>34.462200000000003</v>
      </c>
      <c r="E11">
        <v>25.417000000000002</v>
      </c>
      <c r="F11" s="25">
        <v>299</v>
      </c>
      <c r="G11">
        <f>VLOOKUP('Station 5 Cast 6 Calculation'!F11,BottleVolumes!$A$2:'BottleVolumes'!$B$50,2)</f>
        <v>130.12</v>
      </c>
      <c r="H11" s="26">
        <v>0.152</v>
      </c>
      <c r="I11" s="28">
        <f t="shared" si="0"/>
        <v>1.324708312883649</v>
      </c>
      <c r="J11">
        <f t="shared" si="1"/>
        <v>57.694527518089274</v>
      </c>
      <c r="L11">
        <v>55.055999999999997</v>
      </c>
    </row>
    <row r="12" spans="1:16" x14ac:dyDescent="0.25">
      <c r="A12">
        <v>101.384</v>
      </c>
      <c r="B12">
        <v>20</v>
      </c>
      <c r="C12">
        <v>14.9184</v>
      </c>
      <c r="D12">
        <v>34.5383</v>
      </c>
      <c r="E12">
        <v>25.6371</v>
      </c>
      <c r="F12" s="25">
        <v>293</v>
      </c>
      <c r="G12">
        <f>VLOOKUP('Station 5 Cast 6 Calculation'!F12,BottleVolumes!$A$2:'BottleVolumes'!$B$50,2)</f>
        <v>136.38999999999999</v>
      </c>
      <c r="H12" s="26">
        <v>0.11899999999999999</v>
      </c>
      <c r="I12" s="28">
        <f t="shared" si="0"/>
        <v>0.98323810887962426</v>
      </c>
      <c r="J12">
        <f t="shared" si="1"/>
        <v>42.813413308202314</v>
      </c>
      <c r="L12">
        <v>40.558999999999997</v>
      </c>
    </row>
    <row r="13" spans="1:16" x14ac:dyDescent="0.25">
      <c r="A13">
        <v>110.68899999999999</v>
      </c>
      <c r="B13">
        <v>18</v>
      </c>
      <c r="C13">
        <v>14.8409</v>
      </c>
      <c r="D13">
        <v>34.651000000000003</v>
      </c>
      <c r="E13">
        <v>25.741299999999999</v>
      </c>
      <c r="F13" s="25">
        <v>297</v>
      </c>
      <c r="G13">
        <f>VLOOKUP('Station 5 Cast 6 Calculation'!F13,BottleVolumes!$A$2:'BottleVolumes'!$B$50,2)</f>
        <v>132</v>
      </c>
      <c r="H13" s="26">
        <v>8.5999999999999993E-2</v>
      </c>
      <c r="I13" s="28">
        <f t="shared" si="0"/>
        <v>0.72880761429240126</v>
      </c>
      <c r="J13">
        <f t="shared" si="1"/>
        <v>31.731451007100709</v>
      </c>
      <c r="L13">
        <v>30.29</v>
      </c>
      <c r="P13" s="31"/>
    </row>
    <row r="14" spans="1:16" s="33" customFormat="1" x14ac:dyDescent="0.25">
      <c r="H14" s="34"/>
      <c r="I14" s="50"/>
    </row>
    <row r="15" spans="1:16" s="33" customFormat="1" x14ac:dyDescent="0.25">
      <c r="H15" s="34"/>
      <c r="I15" s="50"/>
    </row>
    <row r="16" spans="1:16" s="33" customFormat="1" x14ac:dyDescent="0.25">
      <c r="H16" s="34"/>
      <c r="I16" s="50"/>
    </row>
    <row r="17" spans="8:9" s="33" customFormat="1" x14ac:dyDescent="0.25">
      <c r="H17" s="34"/>
      <c r="I17" s="50"/>
    </row>
    <row r="18" spans="8:9" s="33" customFormat="1" x14ac:dyDescent="0.25">
      <c r="H18" s="34"/>
      <c r="I18" s="50"/>
    </row>
    <row r="19" spans="8:9" s="33" customFormat="1" x14ac:dyDescent="0.25">
      <c r="H19" s="34"/>
      <c r="I19" s="50"/>
    </row>
    <row r="20" spans="8:9" s="33" customFormat="1" x14ac:dyDescent="0.25">
      <c r="H20" s="34"/>
      <c r="I20" s="50"/>
    </row>
    <row r="21" spans="8:9" s="33" customFormat="1" x14ac:dyDescent="0.25">
      <c r="H21" s="34"/>
      <c r="I21" s="50"/>
    </row>
    <row r="22" spans="8:9" s="33" customFormat="1" x14ac:dyDescent="0.25">
      <c r="H22" s="34"/>
      <c r="I22" s="50"/>
    </row>
    <row r="23" spans="8:9" s="33" customFormat="1" x14ac:dyDescent="0.25">
      <c r="H23" s="34"/>
      <c r="I23" s="50"/>
    </row>
    <row r="24" spans="8:9" s="33" customFormat="1" x14ac:dyDescent="0.25">
      <c r="H24" s="34"/>
      <c r="I24" s="50"/>
    </row>
    <row r="25" spans="8:9" s="33" customFormat="1" x14ac:dyDescent="0.25">
      <c r="H25" s="34"/>
      <c r="I25" s="50"/>
    </row>
    <row r="26" spans="8:9" s="33" customFormat="1" x14ac:dyDescent="0.25"/>
  </sheetData>
  <mergeCells count="5">
    <mergeCell ref="C1:D1"/>
    <mergeCell ref="H1:I1"/>
    <mergeCell ref="C2:D2"/>
    <mergeCell ref="C3:D3"/>
    <mergeCell ref="I7:J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/>
  </sheetViews>
  <sheetFormatPr defaultRowHeight="15" x14ac:dyDescent="0.25"/>
  <cols>
    <col min="1" max="2" width="11.42578125" customWidth="1"/>
    <col min="3" max="3" width="12.5703125" customWidth="1"/>
    <col min="4" max="5" width="14" customWidth="1"/>
    <col min="6" max="6" width="13.28515625" customWidth="1"/>
    <col min="7" max="7" width="15" customWidth="1"/>
    <col min="8" max="8" width="11.28515625" customWidth="1"/>
    <col min="9" max="9" width="13.5703125" customWidth="1"/>
    <col min="10" max="10" width="10.7109375" customWidth="1"/>
    <col min="11" max="12" width="14.28515625" customWidth="1"/>
    <col min="15" max="15" width="12" bestFit="1" customWidth="1"/>
  </cols>
  <sheetData>
    <row r="1" spans="1:16" x14ac:dyDescent="0.25">
      <c r="A1" s="21" t="s">
        <v>9</v>
      </c>
      <c r="B1" s="21"/>
      <c r="C1" s="53">
        <v>6</v>
      </c>
      <c r="D1" s="53"/>
      <c r="E1" s="51"/>
      <c r="F1" s="22"/>
      <c r="G1" s="23" t="s">
        <v>0</v>
      </c>
      <c r="H1" s="54" t="s">
        <v>33</v>
      </c>
      <c r="I1" s="53"/>
      <c r="M1" t="s">
        <v>10</v>
      </c>
      <c r="N1" s="25">
        <v>1E-3</v>
      </c>
      <c r="O1" t="s">
        <v>13</v>
      </c>
      <c r="P1" s="25">
        <v>0.246</v>
      </c>
    </row>
    <row r="2" spans="1:16" x14ac:dyDescent="0.25">
      <c r="A2" s="24" t="s">
        <v>8</v>
      </c>
      <c r="B2" s="24"/>
      <c r="C2" s="55">
        <v>7</v>
      </c>
      <c r="D2" s="56"/>
      <c r="E2" s="51"/>
      <c r="F2" s="10"/>
      <c r="G2" s="11"/>
      <c r="H2" s="11"/>
      <c r="I2" s="9"/>
      <c r="M2" t="s">
        <v>11</v>
      </c>
      <c r="N2" s="25">
        <v>0</v>
      </c>
      <c r="O2" t="s">
        <v>14</v>
      </c>
      <c r="P2" s="25">
        <v>0.248</v>
      </c>
    </row>
    <row r="3" spans="1:16" x14ac:dyDescent="0.25">
      <c r="A3" s="8" t="s">
        <v>7</v>
      </c>
      <c r="B3" s="24"/>
      <c r="C3" s="57">
        <v>43190.192361111112</v>
      </c>
      <c r="D3" s="58"/>
      <c r="E3" s="51"/>
      <c r="F3" s="10"/>
      <c r="G3" s="11"/>
      <c r="H3" s="11"/>
      <c r="I3" s="9"/>
      <c r="M3" t="s">
        <v>12</v>
      </c>
      <c r="N3" s="25"/>
      <c r="O3" t="s">
        <v>15</v>
      </c>
      <c r="P3" s="25"/>
    </row>
    <row r="4" spans="1:16" ht="15.75" thickBot="1" x14ac:dyDescent="0.3">
      <c r="A4" s="12" t="s">
        <v>19</v>
      </c>
      <c r="B4" s="32"/>
      <c r="C4" s="13"/>
      <c r="D4" s="13">
        <v>5</v>
      </c>
      <c r="E4" s="13"/>
      <c r="F4" s="16"/>
      <c r="G4" s="14" t="s">
        <v>18</v>
      </c>
      <c r="H4" s="15"/>
      <c r="I4" s="15">
        <v>0.01</v>
      </c>
      <c r="J4" s="17"/>
    </row>
    <row r="5" spans="1:16" ht="15.75" thickTop="1" x14ac:dyDescent="0.25">
      <c r="G5" s="1"/>
      <c r="H5" s="1"/>
      <c r="I5" s="2"/>
      <c r="J5" s="3"/>
      <c r="M5" t="s">
        <v>16</v>
      </c>
      <c r="N5" s="29">
        <f>AVERAGE(N1:N3)</f>
        <v>5.0000000000000001E-4</v>
      </c>
    </row>
    <row r="6" spans="1:16" x14ac:dyDescent="0.25">
      <c r="G6" s="1"/>
      <c r="H6" s="1"/>
      <c r="I6" s="2"/>
      <c r="M6" t="s">
        <v>17</v>
      </c>
      <c r="N6" s="30">
        <f>AVERAGE(P1:P3)</f>
        <v>0.247</v>
      </c>
    </row>
    <row r="7" spans="1:16" x14ac:dyDescent="0.25">
      <c r="A7" s="4" t="s">
        <v>25</v>
      </c>
      <c r="B7" s="4" t="s">
        <v>35</v>
      </c>
      <c r="C7" s="4" t="s">
        <v>20</v>
      </c>
      <c r="D7" s="4" t="s">
        <v>22</v>
      </c>
      <c r="E7" s="4" t="s">
        <v>27</v>
      </c>
      <c r="F7" s="4" t="s">
        <v>1</v>
      </c>
      <c r="G7" s="4" t="s">
        <v>2</v>
      </c>
      <c r="H7" s="5" t="s">
        <v>3</v>
      </c>
      <c r="I7" s="59" t="s">
        <v>29</v>
      </c>
      <c r="J7" s="60"/>
      <c r="K7" s="6" t="s">
        <v>4</v>
      </c>
      <c r="L7" s="6" t="s">
        <v>63</v>
      </c>
    </row>
    <row r="8" spans="1:16" ht="15.75" thickBot="1" x14ac:dyDescent="0.3">
      <c r="A8" s="19" t="s">
        <v>24</v>
      </c>
      <c r="B8" s="19" t="s">
        <v>34</v>
      </c>
      <c r="C8" s="19" t="s">
        <v>21</v>
      </c>
      <c r="D8" s="19" t="s">
        <v>23</v>
      </c>
      <c r="E8" s="19" t="s">
        <v>28</v>
      </c>
      <c r="F8" s="19"/>
      <c r="G8" s="19" t="s">
        <v>5</v>
      </c>
      <c r="H8" s="20" t="s">
        <v>5</v>
      </c>
      <c r="I8" s="18" t="s">
        <v>6</v>
      </c>
      <c r="J8" s="7" t="s">
        <v>26</v>
      </c>
      <c r="K8" s="7"/>
      <c r="L8" s="7" t="s">
        <v>26</v>
      </c>
      <c r="M8" t="s">
        <v>30</v>
      </c>
      <c r="O8" t="s">
        <v>31</v>
      </c>
      <c r="P8" t="s">
        <v>32</v>
      </c>
    </row>
    <row r="9" spans="1:16" ht="15.75" thickTop="1" x14ac:dyDescent="0.25">
      <c r="A9">
        <v>2.3730000000000002</v>
      </c>
      <c r="B9">
        <v>24</v>
      </c>
      <c r="C9">
        <v>24.385200000000001</v>
      </c>
      <c r="D9">
        <v>34.351399999999998</v>
      </c>
      <c r="E9">
        <v>23.036200000000001</v>
      </c>
      <c r="F9" s="25" t="s">
        <v>40</v>
      </c>
      <c r="G9">
        <f>VLOOKUP('Station 6 Cast 7 Calculation'!F9,BottleVolumes!$A$2:'BottleVolumes'!$B$50,2)</f>
        <v>142.59</v>
      </c>
      <c r="H9" s="26">
        <v>0.60799999999999998</v>
      </c>
      <c r="I9" s="28">
        <f t="shared" ref="I9:I17" si="0">(((H9-$N$5)*$D$4*$I$4*5598)/(($N$6-$N$5)*(G9-2)))-0.018</f>
        <v>4.888568046253063</v>
      </c>
      <c r="J9">
        <f>(I9/0.0223916)/(E9/1000+1)</f>
        <v>213.40546452835258</v>
      </c>
      <c r="L9">
        <v>205.54499999999999</v>
      </c>
      <c r="M9">
        <v>1</v>
      </c>
      <c r="N9">
        <f>J9</f>
        <v>213.40546452835258</v>
      </c>
      <c r="O9">
        <f>AVERAGE(N9:N10)</f>
        <v>213.13951116991836</v>
      </c>
      <c r="P9" s="31">
        <f>STDEVPA(N9:N10)</f>
        <v>0.26595335843423129</v>
      </c>
    </row>
    <row r="10" spans="1:16" x14ac:dyDescent="0.25">
      <c r="A10">
        <v>2.3730000000000002</v>
      </c>
      <c r="B10">
        <v>24</v>
      </c>
      <c r="C10">
        <v>24.385200000000001</v>
      </c>
      <c r="D10">
        <v>34.351399999999998</v>
      </c>
      <c r="E10">
        <v>23.036200000000001</v>
      </c>
      <c r="F10" s="25">
        <v>298</v>
      </c>
      <c r="G10">
        <f>VLOOKUP('Station 6 Cast 7 Calculation'!F10,BottleVolumes!$A$2:'BottleVolumes'!$B$50,2)</f>
        <v>131.59</v>
      </c>
      <c r="H10" s="26">
        <v>0.56499999999999995</v>
      </c>
      <c r="I10" s="28">
        <f t="shared" si="0"/>
        <v>4.9282769693214066</v>
      </c>
      <c r="J10">
        <f t="shared" ref="J10:J17" si="1">(I10/0.0223916)/(E10/1000+1)</f>
        <v>215.13891716584129</v>
      </c>
      <c r="L10">
        <v>205.54499999999999</v>
      </c>
      <c r="M10">
        <v>2</v>
      </c>
      <c r="N10">
        <f>J11</f>
        <v>212.87355781148412</v>
      </c>
    </row>
    <row r="11" spans="1:16" x14ac:dyDescent="0.25">
      <c r="A11">
        <v>2.3730000000000002</v>
      </c>
      <c r="B11">
        <v>24</v>
      </c>
      <c r="C11">
        <v>24.385200000000001</v>
      </c>
      <c r="D11">
        <v>34.351399999999998</v>
      </c>
      <c r="E11">
        <v>23.036200000000001</v>
      </c>
      <c r="F11" s="25" t="s">
        <v>41</v>
      </c>
      <c r="G11">
        <f>VLOOKUP('Station 6 Cast 7 Calculation'!F11,BottleVolumes!$A$2:'BottleVolumes'!$B$50,2)</f>
        <v>138.30000000000001</v>
      </c>
      <c r="H11" s="26">
        <v>0.58799999999999997</v>
      </c>
      <c r="I11" s="28">
        <f t="shared" si="0"/>
        <v>4.8763834370847023</v>
      </c>
      <c r="J11">
        <f t="shared" si="1"/>
        <v>212.87355781148412</v>
      </c>
      <c r="L11">
        <v>205.54499999999999</v>
      </c>
    </row>
    <row r="12" spans="1:16" x14ac:dyDescent="0.25">
      <c r="A12">
        <v>53.548000000000002</v>
      </c>
      <c r="B12">
        <v>23</v>
      </c>
      <c r="C12">
        <v>19.247399999999999</v>
      </c>
      <c r="D12">
        <v>34.0762</v>
      </c>
      <c r="E12">
        <v>24.2547</v>
      </c>
      <c r="F12" s="25" t="s">
        <v>44</v>
      </c>
      <c r="G12">
        <f>VLOOKUP('Station 6 Cast 7 Calculation'!F12,BottleVolumes!$A$2:'BottleVolumes'!$B$50,2)</f>
        <v>144.01</v>
      </c>
      <c r="H12" s="26">
        <v>0.54900000000000004</v>
      </c>
      <c r="I12" s="28">
        <f t="shared" si="0"/>
        <v>4.3677480539110123</v>
      </c>
      <c r="J12">
        <f t="shared" si="1"/>
        <v>190.44276840464966</v>
      </c>
      <c r="K12" t="s">
        <v>64</v>
      </c>
      <c r="L12">
        <v>174.322</v>
      </c>
    </row>
    <row r="13" spans="1:16" x14ac:dyDescent="0.25">
      <c r="A13">
        <v>55.405000000000001</v>
      </c>
      <c r="B13">
        <v>22</v>
      </c>
      <c r="C13">
        <v>18.9086</v>
      </c>
      <c r="D13">
        <v>34.090200000000003</v>
      </c>
      <c r="E13">
        <v>24.351500000000001</v>
      </c>
      <c r="F13" s="25">
        <v>290</v>
      </c>
      <c r="G13">
        <f>VLOOKUP('Station 6 Cast 7 Calculation'!F13,BottleVolumes!$A$2:'BottleVolumes'!$B$50,2)</f>
        <v>129.97999999999999</v>
      </c>
      <c r="H13" s="26">
        <v>0.42599999999999999</v>
      </c>
      <c r="I13" s="28">
        <f t="shared" si="0"/>
        <v>3.7572301560810564</v>
      </c>
      <c r="J13">
        <f t="shared" si="1"/>
        <v>163.80745551263263</v>
      </c>
      <c r="L13">
        <v>154.703</v>
      </c>
    </row>
    <row r="14" spans="1:16" x14ac:dyDescent="0.25">
      <c r="A14">
        <v>64.091999999999999</v>
      </c>
      <c r="B14">
        <v>21</v>
      </c>
      <c r="C14">
        <v>17.9879</v>
      </c>
      <c r="D14">
        <v>34.3095</v>
      </c>
      <c r="E14">
        <v>24.748899999999999</v>
      </c>
      <c r="F14" s="25">
        <v>293</v>
      </c>
      <c r="G14">
        <f>VLOOKUP('Station 6 Cast 7 Calculation'!F14,BottleVolumes!$A$2:'BottleVolumes'!$B$50,2)</f>
        <v>136.38999999999999</v>
      </c>
      <c r="H14" s="26">
        <v>0.27900000000000003</v>
      </c>
      <c r="I14" s="28">
        <f t="shared" si="0"/>
        <v>2.335120787535657</v>
      </c>
      <c r="J14">
        <f t="shared" si="1"/>
        <v>101.76695073137162</v>
      </c>
      <c r="L14">
        <v>117.48099999999999</v>
      </c>
      <c r="M14" s="33"/>
      <c r="N14" s="33"/>
      <c r="O14" s="33"/>
      <c r="P14" s="33"/>
    </row>
    <row r="15" spans="1:16" x14ac:dyDescent="0.25">
      <c r="A15">
        <v>67.722999999999999</v>
      </c>
      <c r="B15">
        <v>20</v>
      </c>
      <c r="C15">
        <v>18.986899999999999</v>
      </c>
      <c r="D15">
        <v>34.787300000000002</v>
      </c>
      <c r="E15">
        <v>24.864999999999998</v>
      </c>
      <c r="F15" s="25">
        <v>299</v>
      </c>
      <c r="G15">
        <f>VLOOKUP('Station 6 Cast 7 Calculation'!F15,BottleVolumes!$A$2:'BottleVolumes'!$B$50,2)</f>
        <v>130.12</v>
      </c>
      <c r="H15" s="26">
        <v>0.43</v>
      </c>
      <c r="I15" s="28">
        <f t="shared" si="0"/>
        <v>3.7885559101222928</v>
      </c>
      <c r="J15">
        <f t="shared" si="1"/>
        <v>165.09043488803255</v>
      </c>
      <c r="L15">
        <v>159.80000000000001</v>
      </c>
      <c r="M15" s="33"/>
      <c r="N15" s="33"/>
      <c r="O15" s="33"/>
      <c r="P15" s="33"/>
    </row>
    <row r="16" spans="1:16" x14ac:dyDescent="0.25">
      <c r="A16">
        <v>101.83799999999999</v>
      </c>
      <c r="B16">
        <v>19</v>
      </c>
      <c r="C16">
        <v>14.8744</v>
      </c>
      <c r="D16">
        <v>34.374600000000001</v>
      </c>
      <c r="E16">
        <v>25.520499999999998</v>
      </c>
      <c r="F16" s="25">
        <v>292</v>
      </c>
      <c r="G16">
        <f>VLOOKUP('Station 6 Cast 7 Calculation'!F16,BottleVolumes!$A$2:'BottleVolumes'!$B$50,2)</f>
        <v>125.09</v>
      </c>
      <c r="H16" s="26">
        <v>0.14799999999999999</v>
      </c>
      <c r="I16" s="28">
        <f t="shared" si="0"/>
        <v>1.3426775628973802</v>
      </c>
      <c r="J16">
        <f t="shared" si="1"/>
        <v>58.47123380048798</v>
      </c>
      <c r="L16">
        <v>55.774999999999999</v>
      </c>
      <c r="M16" s="33"/>
      <c r="N16" s="33"/>
      <c r="O16" s="33"/>
      <c r="P16" s="33"/>
    </row>
    <row r="17" spans="1:16" x14ac:dyDescent="0.25">
      <c r="A17">
        <v>301.221</v>
      </c>
      <c r="B17">
        <v>12</v>
      </c>
      <c r="C17">
        <v>10.398199999999999</v>
      </c>
      <c r="D17">
        <v>34.6252</v>
      </c>
      <c r="E17">
        <v>26.596800000000002</v>
      </c>
      <c r="F17" s="25">
        <v>297</v>
      </c>
      <c r="G17">
        <f>VLOOKUP('Station 6 Cast 7 Calculation'!F17,BottleVolumes!$A$2:'BottleVolumes'!$B$50,2)</f>
        <v>132</v>
      </c>
      <c r="H17" s="26">
        <v>7.0000000000000001E-3</v>
      </c>
      <c r="I17" s="28">
        <f t="shared" si="0"/>
        <v>3.8774847870182566E-2</v>
      </c>
      <c r="J17">
        <f t="shared" si="1"/>
        <v>1.6868057354342139</v>
      </c>
      <c r="L17">
        <v>2.1219999999999999</v>
      </c>
      <c r="M17" s="33"/>
      <c r="N17" s="33"/>
      <c r="O17" s="33"/>
      <c r="P17" s="33"/>
    </row>
    <row r="18" spans="1:16" s="33" customFormat="1" x14ac:dyDescent="0.25">
      <c r="H18" s="34"/>
      <c r="I18" s="50"/>
    </row>
    <row r="19" spans="1:16" s="33" customFormat="1" x14ac:dyDescent="0.25">
      <c r="H19" s="34"/>
      <c r="I19" s="50"/>
    </row>
    <row r="20" spans="1:16" s="33" customFormat="1" x14ac:dyDescent="0.25">
      <c r="H20" s="34"/>
      <c r="I20" s="50"/>
    </row>
    <row r="21" spans="1:16" s="33" customFormat="1" x14ac:dyDescent="0.25">
      <c r="H21" s="34"/>
      <c r="I21" s="50"/>
    </row>
    <row r="22" spans="1:16" s="33" customFormat="1" x14ac:dyDescent="0.25">
      <c r="H22" s="34"/>
      <c r="I22" s="50"/>
    </row>
    <row r="23" spans="1:16" s="33" customFormat="1" x14ac:dyDescent="0.25">
      <c r="H23" s="34"/>
      <c r="I23" s="50"/>
      <c r="M23"/>
      <c r="N23"/>
      <c r="O23"/>
      <c r="P23"/>
    </row>
    <row r="24" spans="1:16" s="33" customFormat="1" x14ac:dyDescent="0.25">
      <c r="H24" s="34"/>
      <c r="I24" s="50"/>
      <c r="M24"/>
      <c r="N24"/>
      <c r="O24"/>
      <c r="P24"/>
    </row>
    <row r="25" spans="1:16" s="33" customFormat="1" x14ac:dyDescent="0.25">
      <c r="H25" s="34"/>
      <c r="I25" s="50"/>
      <c r="M25"/>
      <c r="N25"/>
      <c r="O25"/>
      <c r="P25"/>
    </row>
    <row r="26" spans="1:16" s="33" customFormat="1" x14ac:dyDescent="0.25">
      <c r="M26"/>
      <c r="N26"/>
      <c r="O26"/>
      <c r="P26"/>
    </row>
  </sheetData>
  <mergeCells count="5">
    <mergeCell ref="C1:D1"/>
    <mergeCell ref="H1:I1"/>
    <mergeCell ref="C2:D2"/>
    <mergeCell ref="C3:D3"/>
    <mergeCell ref="I7:J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/>
  </sheetViews>
  <sheetFormatPr defaultRowHeight="15" x14ac:dyDescent="0.25"/>
  <cols>
    <col min="1" max="2" width="11.42578125" customWidth="1"/>
    <col min="3" max="3" width="12.5703125" customWidth="1"/>
    <col min="4" max="5" width="14" customWidth="1"/>
    <col min="6" max="6" width="13.28515625" customWidth="1"/>
    <col min="7" max="7" width="15" customWidth="1"/>
    <col min="8" max="8" width="11.28515625" customWidth="1"/>
    <col min="9" max="9" width="13.5703125" customWidth="1"/>
    <col min="10" max="10" width="10.7109375" customWidth="1"/>
    <col min="11" max="12" width="14.28515625" customWidth="1"/>
    <col min="15" max="15" width="12" bestFit="1" customWidth="1"/>
  </cols>
  <sheetData>
    <row r="1" spans="1:16" x14ac:dyDescent="0.25">
      <c r="A1" s="21" t="s">
        <v>9</v>
      </c>
      <c r="B1" s="21"/>
      <c r="C1" s="53">
        <v>9</v>
      </c>
      <c r="D1" s="53"/>
      <c r="E1" s="52"/>
      <c r="F1" s="22"/>
      <c r="G1" s="23" t="s">
        <v>0</v>
      </c>
      <c r="H1" s="54" t="s">
        <v>33</v>
      </c>
      <c r="I1" s="53"/>
      <c r="M1" t="s">
        <v>10</v>
      </c>
      <c r="N1" s="25">
        <v>1E-3</v>
      </c>
      <c r="O1" t="s">
        <v>13</v>
      </c>
      <c r="P1" s="25">
        <v>0.248</v>
      </c>
    </row>
    <row r="2" spans="1:16" x14ac:dyDescent="0.25">
      <c r="A2" s="24" t="s">
        <v>8</v>
      </c>
      <c r="B2" s="24"/>
      <c r="C2" s="55">
        <v>10</v>
      </c>
      <c r="D2" s="56"/>
      <c r="E2" s="52"/>
      <c r="F2" s="10"/>
      <c r="G2" s="11"/>
      <c r="H2" s="11"/>
      <c r="I2" s="9"/>
      <c r="M2" t="s">
        <v>11</v>
      </c>
      <c r="N2" s="25">
        <v>0</v>
      </c>
      <c r="O2" t="s">
        <v>14</v>
      </c>
      <c r="P2" s="25">
        <v>0.249</v>
      </c>
    </row>
    <row r="3" spans="1:16" x14ac:dyDescent="0.25">
      <c r="A3" s="8" t="s">
        <v>7</v>
      </c>
      <c r="B3" s="24"/>
      <c r="C3" s="57" t="s">
        <v>65</v>
      </c>
      <c r="D3" s="58"/>
      <c r="E3" s="52"/>
      <c r="F3" s="10"/>
      <c r="G3" s="11"/>
      <c r="H3" s="11"/>
      <c r="I3" s="9"/>
      <c r="M3" t="s">
        <v>12</v>
      </c>
      <c r="N3" s="25"/>
      <c r="O3" t="s">
        <v>15</v>
      </c>
      <c r="P3" s="25"/>
    </row>
    <row r="4" spans="1:16" ht="15.75" thickBot="1" x14ac:dyDescent="0.3">
      <c r="A4" s="12" t="s">
        <v>19</v>
      </c>
      <c r="B4" s="32"/>
      <c r="C4" s="13"/>
      <c r="D4" s="13">
        <v>5</v>
      </c>
      <c r="E4" s="13"/>
      <c r="F4" s="16"/>
      <c r="G4" s="14" t="s">
        <v>18</v>
      </c>
      <c r="H4" s="15"/>
      <c r="I4" s="15">
        <v>0.01</v>
      </c>
      <c r="J4" s="17"/>
    </row>
    <row r="5" spans="1:16" ht="15.75" thickTop="1" x14ac:dyDescent="0.25">
      <c r="G5" s="1"/>
      <c r="H5" s="1"/>
      <c r="I5" s="2"/>
      <c r="J5" s="3"/>
      <c r="M5" t="s">
        <v>16</v>
      </c>
      <c r="N5" s="29">
        <f>AVERAGE(N1:N3)</f>
        <v>5.0000000000000001E-4</v>
      </c>
    </row>
    <row r="6" spans="1:16" x14ac:dyDescent="0.25">
      <c r="G6" s="1"/>
      <c r="H6" s="1"/>
      <c r="I6" s="2"/>
      <c r="M6" t="s">
        <v>17</v>
      </c>
      <c r="N6" s="30">
        <f>AVERAGE(P1:P3)</f>
        <v>0.2485</v>
      </c>
    </row>
    <row r="7" spans="1:16" x14ac:dyDescent="0.25">
      <c r="A7" s="4" t="s">
        <v>25</v>
      </c>
      <c r="B7" s="4" t="s">
        <v>35</v>
      </c>
      <c r="C7" s="4" t="s">
        <v>20</v>
      </c>
      <c r="D7" s="4" t="s">
        <v>22</v>
      </c>
      <c r="E7" s="4" t="s">
        <v>27</v>
      </c>
      <c r="F7" s="4" t="s">
        <v>1</v>
      </c>
      <c r="G7" s="4" t="s">
        <v>2</v>
      </c>
      <c r="H7" s="5" t="s">
        <v>3</v>
      </c>
      <c r="I7" s="59" t="s">
        <v>29</v>
      </c>
      <c r="J7" s="60"/>
      <c r="K7" s="6" t="s">
        <v>4</v>
      </c>
      <c r="L7" s="6" t="s">
        <v>63</v>
      </c>
    </row>
    <row r="8" spans="1:16" ht="15.75" thickBot="1" x14ac:dyDescent="0.3">
      <c r="A8" s="19" t="s">
        <v>24</v>
      </c>
      <c r="B8" s="19" t="s">
        <v>34</v>
      </c>
      <c r="C8" s="19" t="s">
        <v>21</v>
      </c>
      <c r="D8" s="19" t="s">
        <v>23</v>
      </c>
      <c r="E8" s="19" t="s">
        <v>28</v>
      </c>
      <c r="F8" s="19"/>
      <c r="G8" s="19" t="s">
        <v>5</v>
      </c>
      <c r="H8" s="20" t="s">
        <v>5</v>
      </c>
      <c r="I8" s="18" t="s">
        <v>6</v>
      </c>
      <c r="J8" s="7" t="s">
        <v>26</v>
      </c>
      <c r="K8" s="7"/>
      <c r="L8" s="7" t="s">
        <v>26</v>
      </c>
      <c r="M8" t="s">
        <v>30</v>
      </c>
      <c r="O8" t="s">
        <v>31</v>
      </c>
      <c r="P8" t="s">
        <v>32</v>
      </c>
    </row>
    <row r="9" spans="1:16" ht="15.75" thickTop="1" x14ac:dyDescent="0.25">
      <c r="A9">
        <v>165.07599999999999</v>
      </c>
      <c r="B9">
        <v>18</v>
      </c>
      <c r="C9">
        <v>13.8627</v>
      </c>
      <c r="D9">
        <v>34.771999999999998</v>
      </c>
      <c r="E9">
        <v>26.044599999999999</v>
      </c>
      <c r="F9" s="25">
        <v>293</v>
      </c>
      <c r="G9">
        <f>VLOOKUP('Station 9 Cast 10 Calculation'!F9,BottleVolumes!$A$2:'BottleVolumes'!$B$50,2)</f>
        <v>136.38999999999999</v>
      </c>
      <c r="H9" s="26">
        <v>1E-3</v>
      </c>
      <c r="I9" s="28">
        <f t="shared" ref="I9:I17" si="0">(((H9-$N$5)*$D$4*$I$4*5598)/(($N$6-$N$5)*(G9-2)))-0.018</f>
        <v>-1.3800918847168445E-2</v>
      </c>
      <c r="J9">
        <f>(I9/0.0223916)/(E9/1000+1)</f>
        <v>-0.60069862204413083</v>
      </c>
      <c r="L9">
        <v>0.71799999999999997</v>
      </c>
      <c r="M9">
        <v>1</v>
      </c>
      <c r="N9">
        <f>J15</f>
        <v>209.66872614721919</v>
      </c>
      <c r="O9">
        <f>AVERAGE(N9:N10)</f>
        <v>209.52023055725812</v>
      </c>
      <c r="P9" s="31">
        <f>STDEVPA(N9:N10)</f>
        <v>0.14849558996107248</v>
      </c>
    </row>
    <row r="10" spans="1:16" x14ac:dyDescent="0.25">
      <c r="A10">
        <v>121.754</v>
      </c>
      <c r="B10">
        <v>19</v>
      </c>
      <c r="C10">
        <v>15.644299999999999</v>
      </c>
      <c r="D10">
        <v>34.132300000000001</v>
      </c>
      <c r="E10">
        <v>25.1647</v>
      </c>
      <c r="F10" s="25">
        <v>292</v>
      </c>
      <c r="G10">
        <f>VLOOKUP('Station 9 Cast 10 Calculation'!F10,BottleVolumes!$A$2:'BottleVolumes'!$B$50,2)</f>
        <v>125.09</v>
      </c>
      <c r="H10" s="26">
        <v>0.249</v>
      </c>
      <c r="I10" s="28">
        <f t="shared" si="0"/>
        <v>2.2605304615820052</v>
      </c>
      <c r="J10">
        <f t="shared" ref="J10:J17" si="1">(I10/0.0223916)/(E10/1000+1)</f>
        <v>98.476270556446366</v>
      </c>
      <c r="L10">
        <v>94.778999999999996</v>
      </c>
      <c r="M10">
        <v>2</v>
      </c>
      <c r="N10">
        <f>J17</f>
        <v>209.37173496729704</v>
      </c>
    </row>
    <row r="11" spans="1:16" x14ac:dyDescent="0.25">
      <c r="A11">
        <v>114.508</v>
      </c>
      <c r="B11">
        <v>20</v>
      </c>
      <c r="C11">
        <v>17.006599999999999</v>
      </c>
      <c r="D11">
        <v>34.188099999999999</v>
      </c>
      <c r="E11">
        <v>24.894100000000002</v>
      </c>
      <c r="F11" s="25">
        <v>297</v>
      </c>
      <c r="G11">
        <f>VLOOKUP('Station 9 Cast 10 Calculation'!F11,BottleVolumes!$A$2:'BottleVolumes'!$B$50,2)</f>
        <v>132</v>
      </c>
      <c r="H11" s="26">
        <v>0.30199999999999999</v>
      </c>
      <c r="I11" s="28">
        <f t="shared" si="0"/>
        <v>2.5995511786600494</v>
      </c>
      <c r="J11">
        <f t="shared" si="1"/>
        <v>113.27504715099818</v>
      </c>
      <c r="L11">
        <v>107.474</v>
      </c>
    </row>
    <row r="12" spans="1:16" x14ac:dyDescent="0.25">
      <c r="A12">
        <v>109.56399999999999</v>
      </c>
      <c r="B12">
        <v>21</v>
      </c>
      <c r="C12">
        <v>18.036000000000001</v>
      </c>
      <c r="D12">
        <v>34.105499999999999</v>
      </c>
      <c r="E12">
        <v>24.582799999999999</v>
      </c>
      <c r="F12" s="25" t="s">
        <v>44</v>
      </c>
      <c r="G12">
        <f>VLOOKUP('Station 9 Cast 10 Calculation'!F12,BottleVolumes!$A$2:'BottleVolumes'!$B$50,2)</f>
        <v>144.01</v>
      </c>
      <c r="H12" s="26">
        <v>0.437</v>
      </c>
      <c r="I12" s="28">
        <f t="shared" si="0"/>
        <v>3.451097757768081</v>
      </c>
      <c r="J12">
        <f t="shared" si="1"/>
        <v>150.42675021865026</v>
      </c>
      <c r="L12">
        <v>140.435</v>
      </c>
    </row>
    <row r="13" spans="1:16" x14ac:dyDescent="0.25">
      <c r="A13">
        <v>104.02500000000001</v>
      </c>
      <c r="B13">
        <v>22</v>
      </c>
      <c r="C13">
        <v>18.508199999999999</v>
      </c>
      <c r="D13">
        <v>34.051699999999997</v>
      </c>
      <c r="E13">
        <v>24.424700000000001</v>
      </c>
      <c r="F13" s="25">
        <v>298</v>
      </c>
      <c r="G13">
        <f>VLOOKUP('Station 9 Cast 10 Calculation'!F13,BottleVolumes!$A$2:'BottleVolumes'!$B$50,2)</f>
        <v>131.59</v>
      </c>
      <c r="H13" s="26">
        <v>0.47</v>
      </c>
      <c r="I13" s="28">
        <f t="shared" si="0"/>
        <v>4.0709831826928093</v>
      </c>
      <c r="J13">
        <f t="shared" si="1"/>
        <v>177.47375560448231</v>
      </c>
      <c r="L13">
        <v>161.87799999999999</v>
      </c>
    </row>
    <row r="14" spans="1:16" x14ac:dyDescent="0.25">
      <c r="A14">
        <v>102.223</v>
      </c>
      <c r="B14">
        <v>23</v>
      </c>
      <c r="C14">
        <v>18.835100000000001</v>
      </c>
      <c r="D14">
        <v>34.044699999999999</v>
      </c>
      <c r="E14">
        <v>24.337399999999999</v>
      </c>
      <c r="F14" s="25" t="s">
        <v>41</v>
      </c>
      <c r="G14">
        <f>VLOOKUP('Station 9 Cast 10 Calculation'!F14,BottleVolumes!$A$2:'BottleVolumes'!$B$50,2)</f>
        <v>138.30000000000001</v>
      </c>
      <c r="H14" s="26">
        <v>0.499</v>
      </c>
      <c r="I14" s="28">
        <f t="shared" si="0"/>
        <v>4.1098178472534492</v>
      </c>
      <c r="J14">
        <f t="shared" si="1"/>
        <v>179.1820152256</v>
      </c>
      <c r="L14">
        <v>169.648</v>
      </c>
      <c r="M14" s="33"/>
      <c r="N14" s="33"/>
      <c r="O14" s="33"/>
      <c r="P14" s="33"/>
    </row>
    <row r="15" spans="1:16" x14ac:dyDescent="0.25">
      <c r="A15">
        <v>2.7010000000000001</v>
      </c>
      <c r="B15">
        <v>24</v>
      </c>
      <c r="C15">
        <v>25.5289</v>
      </c>
      <c r="D15">
        <v>34.387099999999997</v>
      </c>
      <c r="E15">
        <v>22.716899999999999</v>
      </c>
      <c r="F15" s="25">
        <v>290</v>
      </c>
      <c r="G15">
        <f>VLOOKUP('Station 9 Cast 10 Calculation'!F15,BottleVolumes!$A$2:'BottleVolumes'!$B$50,2)</f>
        <v>129.97999999999999</v>
      </c>
      <c r="H15" s="26">
        <v>0.54700000000000004</v>
      </c>
      <c r="I15" s="28">
        <f t="shared" si="0"/>
        <v>4.8014699650651078</v>
      </c>
      <c r="J15">
        <f t="shared" si="1"/>
        <v>209.66872614721919</v>
      </c>
      <c r="L15">
        <v>203.386</v>
      </c>
      <c r="M15" s="33"/>
      <c r="N15" s="33"/>
      <c r="O15" s="33"/>
      <c r="P15" s="33"/>
    </row>
    <row r="16" spans="1:16" x14ac:dyDescent="0.25">
      <c r="A16">
        <v>2.7010000000000001</v>
      </c>
      <c r="B16">
        <v>24</v>
      </c>
      <c r="C16">
        <v>25.5289</v>
      </c>
      <c r="D16">
        <v>34.387099999999997</v>
      </c>
      <c r="E16">
        <v>22.716899999999999</v>
      </c>
      <c r="F16" s="25">
        <v>299</v>
      </c>
      <c r="G16">
        <f>VLOOKUP('Station 9 Cast 10 Calculation'!F16,BottleVolumes!$A$2:'BottleVolumes'!$B$50,2)</f>
        <v>130.12</v>
      </c>
      <c r="H16" s="26">
        <v>0.55000000000000004</v>
      </c>
      <c r="I16" s="28">
        <f t="shared" si="0"/>
        <v>4.8226310741945566</v>
      </c>
      <c r="J16">
        <f t="shared" si="1"/>
        <v>210.59278124436977</v>
      </c>
      <c r="L16">
        <v>203.386</v>
      </c>
      <c r="M16" s="33"/>
      <c r="N16" s="33"/>
      <c r="O16" s="33"/>
      <c r="P16" s="33"/>
    </row>
    <row r="17" spans="1:16" x14ac:dyDescent="0.25">
      <c r="A17">
        <v>2.7010000000000001</v>
      </c>
      <c r="B17">
        <v>24</v>
      </c>
      <c r="C17">
        <v>25.5289</v>
      </c>
      <c r="D17">
        <v>34.387099999999997</v>
      </c>
      <c r="E17">
        <v>22.716899999999999</v>
      </c>
      <c r="F17" s="25" t="s">
        <v>40</v>
      </c>
      <c r="G17">
        <f>VLOOKUP('Station 9 Cast 10 Calculation'!F17,BottleVolumes!$A$2:'BottleVolumes'!$B$50,2)</f>
        <v>142.59</v>
      </c>
      <c r="H17" s="26">
        <v>0.6</v>
      </c>
      <c r="I17" s="28">
        <f t="shared" si="0"/>
        <v>4.7946687875290541</v>
      </c>
      <c r="J17">
        <f t="shared" si="1"/>
        <v>209.37173496729704</v>
      </c>
      <c r="L17">
        <v>203.386</v>
      </c>
      <c r="M17" s="33"/>
      <c r="N17" s="33"/>
      <c r="O17" s="33"/>
      <c r="P17" s="33"/>
    </row>
    <row r="18" spans="1:16" s="33" customFormat="1" x14ac:dyDescent="0.25">
      <c r="H18" s="34"/>
      <c r="I18" s="50"/>
    </row>
    <row r="19" spans="1:16" s="33" customFormat="1" x14ac:dyDescent="0.25">
      <c r="H19" s="34"/>
      <c r="I19" s="50"/>
    </row>
    <row r="20" spans="1:16" s="33" customFormat="1" x14ac:dyDescent="0.25">
      <c r="H20" s="34"/>
      <c r="I20" s="50"/>
    </row>
    <row r="21" spans="1:16" s="33" customFormat="1" x14ac:dyDescent="0.25">
      <c r="H21" s="34"/>
      <c r="I21" s="50"/>
    </row>
    <row r="22" spans="1:16" s="33" customFormat="1" x14ac:dyDescent="0.25">
      <c r="H22" s="34"/>
      <c r="I22" s="50"/>
    </row>
    <row r="23" spans="1:16" s="33" customFormat="1" x14ac:dyDescent="0.25">
      <c r="H23" s="34"/>
      <c r="I23" s="50"/>
      <c r="M23"/>
      <c r="N23"/>
      <c r="O23"/>
      <c r="P23"/>
    </row>
    <row r="24" spans="1:16" s="33" customFormat="1" x14ac:dyDescent="0.25">
      <c r="H24" s="34"/>
      <c r="I24" s="50"/>
      <c r="M24"/>
      <c r="N24"/>
      <c r="O24"/>
      <c r="P24"/>
    </row>
    <row r="25" spans="1:16" s="33" customFormat="1" x14ac:dyDescent="0.25">
      <c r="H25" s="34"/>
      <c r="I25" s="50"/>
      <c r="M25"/>
      <c r="N25"/>
      <c r="O25"/>
      <c r="P25"/>
    </row>
    <row r="26" spans="1:16" s="33" customFormat="1" x14ac:dyDescent="0.25">
      <c r="M26"/>
      <c r="N26"/>
      <c r="O26"/>
      <c r="P26"/>
    </row>
  </sheetData>
  <mergeCells count="5">
    <mergeCell ref="C1:D1"/>
    <mergeCell ref="H1:I1"/>
    <mergeCell ref="C2:D2"/>
    <mergeCell ref="C3:D3"/>
    <mergeCell ref="I7:J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A9" sqref="A9:A18"/>
    </sheetView>
  </sheetViews>
  <sheetFormatPr defaultRowHeight="15" x14ac:dyDescent="0.25"/>
  <cols>
    <col min="1" max="2" width="11.42578125" customWidth="1"/>
    <col min="3" max="3" width="12.5703125" customWidth="1"/>
    <col min="4" max="5" width="14" customWidth="1"/>
    <col min="6" max="6" width="13.28515625" customWidth="1"/>
    <col min="7" max="7" width="15" customWidth="1"/>
    <col min="8" max="8" width="11.28515625" customWidth="1"/>
    <col min="9" max="9" width="13.5703125" customWidth="1"/>
    <col min="10" max="10" width="10.7109375" customWidth="1"/>
    <col min="11" max="12" width="14.28515625" customWidth="1"/>
    <col min="15" max="15" width="12" bestFit="1" customWidth="1"/>
  </cols>
  <sheetData>
    <row r="1" spans="1:16" x14ac:dyDescent="0.25">
      <c r="A1" s="21" t="s">
        <v>9</v>
      </c>
      <c r="B1" s="21"/>
      <c r="C1" s="53">
        <v>24</v>
      </c>
      <c r="D1" s="53"/>
      <c r="E1" s="52"/>
      <c r="F1" s="22"/>
      <c r="G1" s="23" t="s">
        <v>0</v>
      </c>
      <c r="H1" s="54" t="s">
        <v>66</v>
      </c>
      <c r="I1" s="53"/>
      <c r="M1" t="s">
        <v>10</v>
      </c>
      <c r="N1" s="25">
        <v>1E-3</v>
      </c>
      <c r="O1" t="s">
        <v>13</v>
      </c>
      <c r="P1" s="25">
        <v>0.245</v>
      </c>
    </row>
    <row r="2" spans="1:16" x14ac:dyDescent="0.25">
      <c r="A2" s="24" t="s">
        <v>8</v>
      </c>
      <c r="B2" s="24"/>
      <c r="C2" s="55">
        <v>28</v>
      </c>
      <c r="D2" s="56"/>
      <c r="E2" s="52"/>
      <c r="F2" s="10"/>
      <c r="G2" s="11"/>
      <c r="H2" s="11"/>
      <c r="I2" s="9"/>
      <c r="M2" t="s">
        <v>11</v>
      </c>
      <c r="N2" s="25">
        <v>1E-3</v>
      </c>
      <c r="O2" t="s">
        <v>14</v>
      </c>
      <c r="P2" s="25">
        <v>0.247</v>
      </c>
    </row>
    <row r="3" spans="1:16" x14ac:dyDescent="0.25">
      <c r="A3" s="8" t="s">
        <v>7</v>
      </c>
      <c r="B3" s="24"/>
      <c r="C3" s="57">
        <v>43198</v>
      </c>
      <c r="D3" s="58"/>
      <c r="E3" s="52"/>
      <c r="F3" s="10"/>
      <c r="G3" s="11"/>
      <c r="H3" s="11"/>
      <c r="I3" s="9"/>
      <c r="M3" t="s">
        <v>12</v>
      </c>
      <c r="N3" s="25"/>
      <c r="O3" t="s">
        <v>15</v>
      </c>
      <c r="P3" s="25"/>
    </row>
    <row r="4" spans="1:16" ht="15.75" thickBot="1" x14ac:dyDescent="0.3">
      <c r="A4" s="12" t="s">
        <v>19</v>
      </c>
      <c r="B4" s="32"/>
      <c r="C4" s="13"/>
      <c r="D4" s="13">
        <v>5</v>
      </c>
      <c r="E4" s="13"/>
      <c r="F4" s="16"/>
      <c r="G4" s="14" t="s">
        <v>18</v>
      </c>
      <c r="H4" s="15"/>
      <c r="I4" s="15">
        <v>0.01</v>
      </c>
      <c r="J4" s="17"/>
    </row>
    <row r="5" spans="1:16" ht="15.75" thickTop="1" x14ac:dyDescent="0.25">
      <c r="G5" s="1"/>
      <c r="H5" s="1"/>
      <c r="I5" s="2"/>
      <c r="J5" s="3"/>
      <c r="M5" t="s">
        <v>16</v>
      </c>
      <c r="N5" s="29">
        <f>AVERAGE(N1:N3)</f>
        <v>1E-3</v>
      </c>
    </row>
    <row r="6" spans="1:16" x14ac:dyDescent="0.25">
      <c r="G6" s="1"/>
      <c r="H6" s="1"/>
      <c r="I6" s="2"/>
      <c r="M6" t="s">
        <v>17</v>
      </c>
      <c r="N6" s="30">
        <f>AVERAGE(P1:P3)</f>
        <v>0.246</v>
      </c>
    </row>
    <row r="7" spans="1:16" x14ac:dyDescent="0.25">
      <c r="A7" s="4" t="s">
        <v>25</v>
      </c>
      <c r="B7" s="4" t="s">
        <v>35</v>
      </c>
      <c r="C7" s="4" t="s">
        <v>20</v>
      </c>
      <c r="D7" s="4" t="s">
        <v>22</v>
      </c>
      <c r="E7" s="4" t="s">
        <v>27</v>
      </c>
      <c r="F7" s="4" t="s">
        <v>1</v>
      </c>
      <c r="G7" s="4" t="s">
        <v>2</v>
      </c>
      <c r="H7" s="5" t="s">
        <v>3</v>
      </c>
      <c r="I7" s="59" t="s">
        <v>29</v>
      </c>
      <c r="J7" s="60"/>
      <c r="K7" s="6" t="s">
        <v>4</v>
      </c>
      <c r="L7" s="6" t="s">
        <v>63</v>
      </c>
    </row>
    <row r="8" spans="1:16" ht="15.75" thickBot="1" x14ac:dyDescent="0.3">
      <c r="A8" s="19" t="s">
        <v>24</v>
      </c>
      <c r="B8" s="19" t="s">
        <v>34</v>
      </c>
      <c r="C8" s="19" t="s">
        <v>21</v>
      </c>
      <c r="D8" s="19" t="s">
        <v>23</v>
      </c>
      <c r="E8" s="19" t="s">
        <v>28</v>
      </c>
      <c r="F8" s="19"/>
      <c r="G8" s="19" t="s">
        <v>5</v>
      </c>
      <c r="H8" s="20" t="s">
        <v>5</v>
      </c>
      <c r="I8" s="18" t="s">
        <v>6</v>
      </c>
      <c r="J8" s="7" t="s">
        <v>26</v>
      </c>
      <c r="K8" s="7"/>
      <c r="L8" s="7" t="s">
        <v>26</v>
      </c>
      <c r="M8" t="s">
        <v>30</v>
      </c>
      <c r="O8" t="s">
        <v>31</v>
      </c>
      <c r="P8" t="s">
        <v>32</v>
      </c>
    </row>
    <row r="9" spans="1:16" ht="15.75" thickTop="1" x14ac:dyDescent="0.25">
      <c r="A9">
        <v>1003.399</v>
      </c>
      <c r="B9">
        <v>1</v>
      </c>
      <c r="C9">
        <v>4.4951999999999996</v>
      </c>
      <c r="D9">
        <v>34.536099999999998</v>
      </c>
      <c r="E9">
        <v>27.373100000000001</v>
      </c>
      <c r="F9" s="25" t="s">
        <v>41</v>
      </c>
      <c r="G9">
        <f>VLOOKUP('Station 24 Cast 28 Calculation'!F9,BottleVolumes!$A$2:'BottleVolumes'!$B$50,2)</f>
        <v>138.30000000000001</v>
      </c>
      <c r="H9" s="26">
        <v>4.2999999999999997E-2</v>
      </c>
      <c r="I9" s="28">
        <f t="shared" ref="I9:I17" si="0">(((H9-$N$5)*$D$4*$I$4*5598)/(($N$6-$N$5)*(G9-2)))-0.018</f>
        <v>0.3340385703804632</v>
      </c>
      <c r="J9">
        <f>(I9/0.0223916)/(E9/1000+1)</f>
        <v>14.520557759507152</v>
      </c>
      <c r="L9">
        <v>15.084</v>
      </c>
      <c r="M9">
        <v>1</v>
      </c>
      <c r="N9">
        <f>J16</f>
        <v>210.84364868987691</v>
      </c>
      <c r="O9">
        <f>AVERAGE(N9:N10)</f>
        <v>211.2712630608857</v>
      </c>
      <c r="P9" s="31">
        <f>STDEVPA(N9:N10)</f>
        <v>0.42761437100877231</v>
      </c>
    </row>
    <row r="10" spans="1:16" x14ac:dyDescent="0.25">
      <c r="A10">
        <v>478.19</v>
      </c>
      <c r="B10">
        <v>4</v>
      </c>
      <c r="C10">
        <v>8.3878000000000004</v>
      </c>
      <c r="D10">
        <v>34.5563</v>
      </c>
      <c r="E10">
        <v>26.874400000000001</v>
      </c>
      <c r="F10" s="25">
        <v>292</v>
      </c>
      <c r="G10">
        <f>VLOOKUP('Station 24 Cast 28 Calculation'!F10,BottleVolumes!$A$2:'BottleVolumes'!$B$50,2)</f>
        <v>125.09</v>
      </c>
      <c r="H10" s="26">
        <v>4.0000000000000001E-3</v>
      </c>
      <c r="I10" s="28">
        <f t="shared" si="0"/>
        <v>9.8442354275368425E-3</v>
      </c>
      <c r="J10">
        <f t="shared" ref="J10:J17" si="1">(I10/0.0223916)/(E10/1000+1)</f>
        <v>0.42813382118101279</v>
      </c>
      <c r="L10">
        <v>0.97199999999999998</v>
      </c>
      <c r="M10">
        <v>2</v>
      </c>
      <c r="N10">
        <f>J17</f>
        <v>211.69887743189446</v>
      </c>
    </row>
    <row r="11" spans="1:16" x14ac:dyDescent="0.25">
      <c r="A11">
        <v>427.97500000000002</v>
      </c>
      <c r="B11">
        <v>7</v>
      </c>
      <c r="C11">
        <v>9.0550999999999995</v>
      </c>
      <c r="D11">
        <v>34.583799999999997</v>
      </c>
      <c r="E11">
        <v>26.791</v>
      </c>
      <c r="F11" s="25" t="s">
        <v>40</v>
      </c>
      <c r="G11">
        <f>VLOOKUP('Station 24 Cast 28 Calculation'!F11,BottleVolumes!$A$2:'BottleVolumes'!$B$50,2)</f>
        <v>142.59</v>
      </c>
      <c r="H11" s="26">
        <v>3.0000000000000001E-3</v>
      </c>
      <c r="I11" s="28">
        <f t="shared" si="0"/>
        <v>-1.747791740638209E-3</v>
      </c>
      <c r="J11">
        <f t="shared" si="1"/>
        <v>-7.6019061206935579E-2</v>
      </c>
      <c r="L11">
        <v>0.96399999999999997</v>
      </c>
    </row>
    <row r="12" spans="1:16" x14ac:dyDescent="0.25">
      <c r="A12">
        <v>278.85199999999998</v>
      </c>
      <c r="B12">
        <v>13</v>
      </c>
      <c r="C12">
        <v>11.160299999999999</v>
      </c>
      <c r="D12">
        <v>34.708300000000001</v>
      </c>
      <c r="E12">
        <v>26.525600000000001</v>
      </c>
      <c r="F12" s="25">
        <v>290</v>
      </c>
      <c r="G12">
        <f>VLOOKUP('Station 24 Cast 28 Calculation'!F12,BottleVolumes!$A$2:'BottleVolumes'!$B$50,2)</f>
        <v>129.97999999999999</v>
      </c>
      <c r="H12" s="26">
        <v>2E-3</v>
      </c>
      <c r="I12" s="28">
        <f t="shared" si="0"/>
        <v>-9.0732225379603279E-3</v>
      </c>
      <c r="J12">
        <f t="shared" si="1"/>
        <v>-0.3947359228413575</v>
      </c>
      <c r="L12">
        <v>0.81699999999999995</v>
      </c>
    </row>
    <row r="13" spans="1:16" x14ac:dyDescent="0.25">
      <c r="A13">
        <v>229.05799999999999</v>
      </c>
      <c r="B13">
        <v>15</v>
      </c>
      <c r="C13">
        <v>11.6867</v>
      </c>
      <c r="D13">
        <v>34.722700000000003</v>
      </c>
      <c r="E13">
        <v>26.438600000000001</v>
      </c>
      <c r="F13" s="25">
        <v>299</v>
      </c>
      <c r="G13">
        <f>VLOOKUP('Station 24 Cast 28 Calculation'!F13,BottleVolumes!$A$2:'BottleVolumes'!$B$50,2)</f>
        <v>130.12</v>
      </c>
      <c r="H13" s="26">
        <v>1E-3</v>
      </c>
      <c r="I13" s="28">
        <f t="shared" si="0"/>
        <v>-1.7999999999999999E-2</v>
      </c>
      <c r="J13">
        <f t="shared" si="1"/>
        <v>-0.78316704077746746</v>
      </c>
      <c r="L13">
        <v>0.81599999999999995</v>
      </c>
    </row>
    <row r="14" spans="1:16" x14ac:dyDescent="0.25">
      <c r="A14">
        <v>80.034000000000006</v>
      </c>
      <c r="B14">
        <v>23</v>
      </c>
      <c r="C14">
        <v>20.288699999999999</v>
      </c>
      <c r="D14">
        <v>34.064399999999999</v>
      </c>
      <c r="E14">
        <v>23.976099999999999</v>
      </c>
      <c r="F14" s="25">
        <v>298</v>
      </c>
      <c r="G14">
        <f>VLOOKUP('Station 24 Cast 28 Calculation'!F14,BottleVolumes!$A$2:'BottleVolumes'!$B$50,2)</f>
        <v>131.59</v>
      </c>
      <c r="H14" s="26">
        <v>0.53539999999999999</v>
      </c>
      <c r="I14" s="28">
        <f t="shared" si="0"/>
        <v>4.6932025209806119</v>
      </c>
      <c r="J14">
        <f t="shared" si="1"/>
        <v>204.68892623547009</v>
      </c>
      <c r="L14">
        <v>191.96600000000001</v>
      </c>
      <c r="M14" s="33"/>
      <c r="N14" s="33"/>
      <c r="O14" s="33"/>
      <c r="P14" s="33"/>
    </row>
    <row r="15" spans="1:16" x14ac:dyDescent="0.25">
      <c r="A15">
        <v>143.99299999999999</v>
      </c>
      <c r="B15">
        <v>19</v>
      </c>
      <c r="C15">
        <v>13.6934</v>
      </c>
      <c r="D15">
        <v>34.663800000000002</v>
      </c>
      <c r="E15">
        <v>25.9954</v>
      </c>
      <c r="F15" s="25">
        <v>297</v>
      </c>
      <c r="G15">
        <f>VLOOKUP('Station 24 Cast 28 Calculation'!F15,BottleVolumes!$A$2:'BottleVolumes'!$B$50,2)</f>
        <v>132</v>
      </c>
      <c r="H15" s="26">
        <v>1.7000000000000001E-2</v>
      </c>
      <c r="I15" s="28">
        <f t="shared" si="0"/>
        <v>0.12260910518053376</v>
      </c>
      <c r="J15">
        <f t="shared" si="1"/>
        <v>5.3369382989362446</v>
      </c>
      <c r="L15">
        <v>6.242</v>
      </c>
      <c r="M15" s="33"/>
      <c r="N15" s="33"/>
      <c r="O15" s="33"/>
      <c r="P15" s="33"/>
    </row>
    <row r="16" spans="1:16" x14ac:dyDescent="0.25">
      <c r="A16">
        <v>3.02</v>
      </c>
      <c r="B16">
        <v>24</v>
      </c>
      <c r="C16">
        <v>26.089200000000002</v>
      </c>
      <c r="D16">
        <v>33.668399999999998</v>
      </c>
      <c r="E16">
        <v>22.0016</v>
      </c>
      <c r="F16" s="25" t="s">
        <v>44</v>
      </c>
      <c r="G16">
        <f>VLOOKUP('Station 24 Cast 28 Calculation'!F16,BottleVolumes!$A$2:'BottleVolumes'!$B$50,2)</f>
        <v>144.01</v>
      </c>
      <c r="H16" s="26">
        <v>0.60299999999999998</v>
      </c>
      <c r="I16" s="28">
        <f t="shared" si="0"/>
        <v>4.8249989839749725</v>
      </c>
      <c r="J16">
        <f t="shared" si="1"/>
        <v>210.84364868987691</v>
      </c>
      <c r="L16">
        <v>201.607</v>
      </c>
      <c r="M16" s="33"/>
      <c r="N16" s="33"/>
      <c r="O16" s="33"/>
      <c r="P16" s="33"/>
    </row>
    <row r="17" spans="1:16" x14ac:dyDescent="0.25">
      <c r="A17">
        <v>3.02</v>
      </c>
      <c r="B17">
        <v>24</v>
      </c>
      <c r="C17">
        <v>26.089200000000002</v>
      </c>
      <c r="D17">
        <v>33.668399999999998</v>
      </c>
      <c r="E17">
        <v>22.0016</v>
      </c>
      <c r="F17" s="25">
        <v>293</v>
      </c>
      <c r="G17">
        <f>VLOOKUP('Station 24 Cast 28 Calculation'!F17,BottleVolumes!$A$2:'BottleVolumes'!$B$50,2)</f>
        <v>136.38999999999999</v>
      </c>
      <c r="H17" s="26">
        <v>0.57299999999999995</v>
      </c>
      <c r="I17" s="28">
        <f t="shared" si="0"/>
        <v>4.8445702531924306</v>
      </c>
      <c r="J17">
        <f t="shared" si="1"/>
        <v>211.69887743189446</v>
      </c>
      <c r="L17">
        <v>201.607</v>
      </c>
      <c r="M17" s="33"/>
      <c r="N17" s="33"/>
      <c r="O17" s="33"/>
      <c r="P17" s="33"/>
    </row>
    <row r="18" spans="1:16" s="33" customFormat="1" x14ac:dyDescent="0.25">
      <c r="A18">
        <v>179.33199999999999</v>
      </c>
      <c r="B18">
        <v>17</v>
      </c>
      <c r="C18">
        <v>12.5067</v>
      </c>
      <c r="D18">
        <v>34.724299999999999</v>
      </c>
      <c r="E18">
        <v>26.281700000000001</v>
      </c>
      <c r="F18" s="33" t="s">
        <v>42</v>
      </c>
      <c r="G18">
        <f>VLOOKUP('Station 24 Cast 28 Calculation'!F18,BottleVolumes!$A$2:'BottleVolumes'!$B$50,2)</f>
        <v>145.24</v>
      </c>
      <c r="H18" s="34">
        <v>4.0000000000000001E-3</v>
      </c>
      <c r="I18" s="28">
        <f t="shared" ref="I18" si="2">(((H18-$N$5)*$D$4*$I$4*5598)/(($N$6-$N$5)*(G18-2)))-0.018</f>
        <v>5.9273033983210689E-3</v>
      </c>
      <c r="J18">
        <f t="shared" ref="J18" si="3">(I18/0.0223916)/(E18/1000+1)</f>
        <v>0.2579321306110956</v>
      </c>
      <c r="L18">
        <v>1.276</v>
      </c>
    </row>
    <row r="19" spans="1:16" s="33" customFormat="1" x14ac:dyDescent="0.25">
      <c r="H19" s="34"/>
      <c r="I19" s="50"/>
    </row>
    <row r="20" spans="1:16" s="33" customFormat="1" x14ac:dyDescent="0.25">
      <c r="H20" s="34"/>
      <c r="I20" s="50"/>
    </row>
    <row r="21" spans="1:16" s="33" customFormat="1" x14ac:dyDescent="0.25">
      <c r="H21" s="34"/>
      <c r="I21" s="50"/>
    </row>
    <row r="22" spans="1:16" s="33" customFormat="1" x14ac:dyDescent="0.25">
      <c r="H22" s="34"/>
      <c r="I22" s="50"/>
    </row>
    <row r="23" spans="1:16" s="33" customFormat="1" x14ac:dyDescent="0.25">
      <c r="H23" s="34"/>
      <c r="I23" s="50"/>
      <c r="M23"/>
      <c r="N23"/>
      <c r="O23"/>
      <c r="P23"/>
    </row>
    <row r="24" spans="1:16" s="33" customFormat="1" x14ac:dyDescent="0.25">
      <c r="H24" s="34"/>
      <c r="I24" s="50"/>
      <c r="M24"/>
      <c r="N24"/>
      <c r="O24"/>
      <c r="P24"/>
    </row>
    <row r="25" spans="1:16" s="33" customFormat="1" x14ac:dyDescent="0.25">
      <c r="H25" s="34"/>
      <c r="I25" s="50"/>
      <c r="M25"/>
      <c r="N25"/>
      <c r="O25"/>
      <c r="P25"/>
    </row>
    <row r="26" spans="1:16" s="33" customFormat="1" x14ac:dyDescent="0.25">
      <c r="M26"/>
      <c r="N26"/>
      <c r="O26"/>
      <c r="P26"/>
    </row>
  </sheetData>
  <mergeCells count="5">
    <mergeCell ref="C1:D1"/>
    <mergeCell ref="H1:I1"/>
    <mergeCell ref="C2:D2"/>
    <mergeCell ref="C3:D3"/>
    <mergeCell ref="I7:J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/>
  </sheetViews>
  <sheetFormatPr defaultRowHeight="15" x14ac:dyDescent="0.25"/>
  <cols>
    <col min="1" max="3" width="9.140625" style="35"/>
    <col min="4" max="4" width="9.140625" style="47"/>
    <col min="5" max="5" width="8.85546875" style="46"/>
    <col min="6" max="6" width="10.5703125" style="46" bestFit="1" customWidth="1"/>
    <col min="7" max="8" width="8.85546875" style="46"/>
  </cols>
  <sheetData>
    <row r="1" spans="1:8" x14ac:dyDescent="0.25">
      <c r="A1" s="35" t="s">
        <v>36</v>
      </c>
      <c r="B1" s="35" t="s">
        <v>37</v>
      </c>
      <c r="C1" s="35" t="s">
        <v>38</v>
      </c>
      <c r="D1" s="48" t="s">
        <v>25</v>
      </c>
      <c r="E1" s="44" t="s">
        <v>39</v>
      </c>
      <c r="F1" s="49" t="s">
        <v>63</v>
      </c>
      <c r="G1" s="45"/>
      <c r="H1" s="45"/>
    </row>
    <row r="2" spans="1:8" x14ac:dyDescent="0.25">
      <c r="A2" s="35">
        <v>24</v>
      </c>
      <c r="B2" s="35">
        <v>28</v>
      </c>
      <c r="C2" s="35">
        <v>28</v>
      </c>
      <c r="D2">
        <v>229.05799999999999</v>
      </c>
      <c r="E2" s="35">
        <v>-0.78316704077746746</v>
      </c>
      <c r="F2" s="35">
        <v>0.81599999999999995</v>
      </c>
      <c r="G2" s="45"/>
      <c r="H2" s="45"/>
    </row>
    <row r="3" spans="1:8" x14ac:dyDescent="0.25">
      <c r="A3" s="35">
        <v>9</v>
      </c>
      <c r="B3" s="35">
        <v>10</v>
      </c>
      <c r="C3" s="35">
        <v>10</v>
      </c>
      <c r="D3">
        <v>165.07599999999999</v>
      </c>
      <c r="E3">
        <v>-0.60069862204413083</v>
      </c>
      <c r="F3">
        <v>0.71799999999999997</v>
      </c>
      <c r="G3" s="45"/>
      <c r="H3" s="45"/>
    </row>
    <row r="4" spans="1:8" x14ac:dyDescent="0.25">
      <c r="A4" s="35">
        <v>24</v>
      </c>
      <c r="B4" s="35">
        <v>28</v>
      </c>
      <c r="C4" s="35">
        <v>28</v>
      </c>
      <c r="D4">
        <v>278.85199999999998</v>
      </c>
      <c r="E4" s="35">
        <v>-0.3947359228413575</v>
      </c>
      <c r="F4" s="35">
        <v>0.81699999999999995</v>
      </c>
      <c r="G4" s="45"/>
      <c r="H4" s="45"/>
    </row>
    <row r="5" spans="1:8" x14ac:dyDescent="0.25">
      <c r="A5" s="35">
        <v>24</v>
      </c>
      <c r="B5" s="35">
        <v>28</v>
      </c>
      <c r="C5" s="35">
        <v>28</v>
      </c>
      <c r="D5">
        <v>427.97500000000002</v>
      </c>
      <c r="E5" s="35">
        <v>-7.6019061206935579E-2</v>
      </c>
      <c r="F5" s="35">
        <v>0.96399999999999997</v>
      </c>
      <c r="G5" s="45"/>
      <c r="H5" s="45"/>
    </row>
    <row r="6" spans="1:8" x14ac:dyDescent="0.25">
      <c r="A6" s="35">
        <v>24</v>
      </c>
      <c r="B6" s="35">
        <v>28</v>
      </c>
      <c r="C6" s="35">
        <v>28</v>
      </c>
      <c r="D6">
        <v>179.33199999999999</v>
      </c>
      <c r="E6" s="35">
        <v>0.2579321306110956</v>
      </c>
      <c r="F6" s="35">
        <v>1.276</v>
      </c>
      <c r="G6" s="45"/>
      <c r="H6" s="45"/>
    </row>
    <row r="7" spans="1:8" x14ac:dyDescent="0.25">
      <c r="A7" s="35">
        <v>24</v>
      </c>
      <c r="B7" s="35">
        <v>28</v>
      </c>
      <c r="C7" s="35">
        <v>28</v>
      </c>
      <c r="D7">
        <v>478.19</v>
      </c>
      <c r="E7" s="35">
        <v>0.42813382118101279</v>
      </c>
      <c r="F7" s="35">
        <v>0.97199999999999998</v>
      </c>
      <c r="G7" s="45"/>
      <c r="H7" s="45"/>
    </row>
    <row r="8" spans="1:8" x14ac:dyDescent="0.25">
      <c r="A8" s="35">
        <v>3</v>
      </c>
      <c r="B8" s="35">
        <v>4</v>
      </c>
      <c r="C8" s="35">
        <v>4</v>
      </c>
      <c r="D8" s="45">
        <v>201.608</v>
      </c>
      <c r="E8" s="45">
        <v>0.56799997821653747</v>
      </c>
      <c r="F8" s="45">
        <v>0.755</v>
      </c>
      <c r="G8" s="45"/>
      <c r="H8" s="45"/>
    </row>
    <row r="9" spans="1:8" x14ac:dyDescent="0.25">
      <c r="A9" s="35">
        <v>4</v>
      </c>
      <c r="B9" s="35">
        <v>5</v>
      </c>
      <c r="C9" s="35">
        <v>5</v>
      </c>
      <c r="D9" s="45">
        <v>450.35300000000001</v>
      </c>
      <c r="E9" s="45">
        <v>0.84760242758580051</v>
      </c>
      <c r="F9" s="45">
        <v>0.99299999999999999</v>
      </c>
      <c r="G9" s="45"/>
      <c r="H9" s="45"/>
    </row>
    <row r="10" spans="1:8" x14ac:dyDescent="0.25">
      <c r="A10" s="35">
        <v>3</v>
      </c>
      <c r="B10" s="35">
        <v>4</v>
      </c>
      <c r="C10" s="35">
        <v>4</v>
      </c>
      <c r="D10" s="45">
        <v>400.053</v>
      </c>
      <c r="E10" s="45">
        <v>0.84768101618037428</v>
      </c>
      <c r="F10" s="45">
        <v>1.0629999999999999</v>
      </c>
      <c r="G10" s="45"/>
      <c r="H10" s="45"/>
    </row>
    <row r="11" spans="1:8" x14ac:dyDescent="0.25">
      <c r="A11" s="35">
        <v>3</v>
      </c>
      <c r="B11" s="35">
        <v>4</v>
      </c>
      <c r="C11" s="35">
        <v>4</v>
      </c>
      <c r="D11" s="45">
        <v>699.50800000000004</v>
      </c>
      <c r="E11" s="45">
        <v>1.237883684220344</v>
      </c>
      <c r="F11" s="45">
        <v>1.389</v>
      </c>
      <c r="G11" s="45"/>
      <c r="H11" s="45"/>
    </row>
    <row r="12" spans="1:8" x14ac:dyDescent="0.25">
      <c r="A12" s="35">
        <v>3</v>
      </c>
      <c r="B12" s="35">
        <v>4</v>
      </c>
      <c r="C12" s="35">
        <v>4</v>
      </c>
      <c r="D12" s="45">
        <v>499.90899999999999</v>
      </c>
      <c r="E12" s="45">
        <v>1.4236784811089973</v>
      </c>
      <c r="F12" s="45">
        <v>0.998</v>
      </c>
      <c r="G12" s="45"/>
      <c r="H12" s="45"/>
    </row>
    <row r="13" spans="1:8" x14ac:dyDescent="0.25">
      <c r="A13" s="35">
        <v>6</v>
      </c>
      <c r="B13" s="35">
        <v>7</v>
      </c>
      <c r="C13" s="35">
        <v>7</v>
      </c>
      <c r="D13">
        <v>301.221</v>
      </c>
      <c r="E13" s="46">
        <v>1.6868057354342139</v>
      </c>
      <c r="F13" s="46">
        <v>2.1219999999999999</v>
      </c>
      <c r="G13" s="45"/>
      <c r="H13" s="45"/>
    </row>
    <row r="14" spans="1:8" x14ac:dyDescent="0.25">
      <c r="A14" s="35">
        <v>24</v>
      </c>
      <c r="B14" s="35">
        <v>28</v>
      </c>
      <c r="C14" s="35">
        <v>28</v>
      </c>
      <c r="D14">
        <v>143.99299999999999</v>
      </c>
      <c r="E14" s="35">
        <v>5.3369382989362446</v>
      </c>
      <c r="F14" s="35">
        <v>6.242</v>
      </c>
      <c r="G14" s="45"/>
      <c r="H14" s="45"/>
    </row>
    <row r="15" spans="1:8" x14ac:dyDescent="0.25">
      <c r="A15" s="35">
        <v>3</v>
      </c>
      <c r="B15" s="35">
        <v>4</v>
      </c>
      <c r="C15" s="35">
        <v>4</v>
      </c>
      <c r="D15" s="45">
        <v>152.00299999999999</v>
      </c>
      <c r="E15" s="45">
        <v>12.398314789080295</v>
      </c>
      <c r="F15" s="45">
        <v>11.5</v>
      </c>
      <c r="G15" s="45"/>
      <c r="H15" s="45"/>
    </row>
    <row r="16" spans="1:8" x14ac:dyDescent="0.25">
      <c r="A16" s="35">
        <v>4</v>
      </c>
      <c r="B16" s="35">
        <v>5</v>
      </c>
      <c r="C16" s="35">
        <v>5</v>
      </c>
      <c r="D16" s="45">
        <v>1100.693</v>
      </c>
      <c r="E16" s="45">
        <v>14.336536891141476</v>
      </c>
      <c r="F16" s="45">
        <v>13.922000000000001</v>
      </c>
      <c r="G16" s="45"/>
      <c r="H16" s="45"/>
    </row>
    <row r="17" spans="1:8" x14ac:dyDescent="0.25">
      <c r="A17" s="35">
        <v>24</v>
      </c>
      <c r="B17" s="35">
        <v>28</v>
      </c>
      <c r="C17" s="35">
        <v>28</v>
      </c>
      <c r="D17">
        <v>1003.399</v>
      </c>
      <c r="E17" s="35">
        <v>14.520557759507152</v>
      </c>
      <c r="F17" s="35">
        <v>15.084</v>
      </c>
      <c r="G17" s="45"/>
      <c r="H17" s="45"/>
    </row>
    <row r="18" spans="1:8" x14ac:dyDescent="0.25">
      <c r="A18" s="35">
        <v>4</v>
      </c>
      <c r="B18" s="35">
        <v>5</v>
      </c>
      <c r="C18" s="35">
        <v>5</v>
      </c>
      <c r="D18" s="45">
        <v>151.471</v>
      </c>
      <c r="E18" s="45">
        <v>14.674531386780686</v>
      </c>
      <c r="F18" s="45">
        <v>13.81</v>
      </c>
      <c r="G18" s="45"/>
      <c r="H18" s="45"/>
    </row>
    <row r="19" spans="1:8" x14ac:dyDescent="0.25">
      <c r="A19" s="35">
        <v>4</v>
      </c>
      <c r="B19" s="35">
        <v>5</v>
      </c>
      <c r="C19" s="35">
        <v>5</v>
      </c>
      <c r="D19" s="45">
        <v>131.21799999999999</v>
      </c>
      <c r="E19" s="45">
        <v>19.749133673430148</v>
      </c>
      <c r="F19" s="45">
        <v>19.376999999999999</v>
      </c>
      <c r="G19" s="45"/>
      <c r="H19" s="45"/>
    </row>
    <row r="20" spans="1:8" x14ac:dyDescent="0.25">
      <c r="A20" s="35">
        <v>4</v>
      </c>
      <c r="B20" s="35">
        <v>5</v>
      </c>
      <c r="C20" s="35">
        <v>5</v>
      </c>
      <c r="D20" s="45">
        <v>1200.325</v>
      </c>
      <c r="E20" s="45">
        <v>21.392363321174646</v>
      </c>
      <c r="F20" s="45">
        <v>20.388000000000002</v>
      </c>
      <c r="G20" s="45"/>
      <c r="H20" s="45"/>
    </row>
    <row r="21" spans="1:8" x14ac:dyDescent="0.25">
      <c r="A21" s="35">
        <v>5</v>
      </c>
      <c r="B21" s="35">
        <v>6</v>
      </c>
      <c r="C21" s="35">
        <v>6</v>
      </c>
      <c r="D21">
        <v>110.68899999999999</v>
      </c>
      <c r="E21">
        <v>31.731451007100709</v>
      </c>
      <c r="F21">
        <v>30.29</v>
      </c>
      <c r="G21" s="45"/>
      <c r="H21" s="45"/>
    </row>
    <row r="22" spans="1:8" x14ac:dyDescent="0.25">
      <c r="A22" s="35">
        <v>3</v>
      </c>
      <c r="B22" s="35">
        <v>4</v>
      </c>
      <c r="C22" s="35">
        <v>4</v>
      </c>
      <c r="D22" s="45">
        <v>101.208</v>
      </c>
      <c r="E22" s="45">
        <v>35.944935150338601</v>
      </c>
      <c r="F22" s="45">
        <v>34.951999999999998</v>
      </c>
      <c r="G22" s="45"/>
      <c r="H22" s="45"/>
    </row>
    <row r="23" spans="1:8" x14ac:dyDescent="0.25">
      <c r="A23" s="35">
        <v>4</v>
      </c>
      <c r="B23" s="35">
        <v>5</v>
      </c>
      <c r="C23" s="35">
        <v>5</v>
      </c>
      <c r="D23" s="45">
        <v>120.879</v>
      </c>
      <c r="E23" s="45">
        <v>39.832814142908063</v>
      </c>
      <c r="F23" s="45">
        <v>39.258000000000003</v>
      </c>
      <c r="G23" s="45"/>
      <c r="H23" s="45"/>
    </row>
    <row r="24" spans="1:8" x14ac:dyDescent="0.25">
      <c r="A24" s="35">
        <v>5</v>
      </c>
      <c r="B24" s="35">
        <v>6</v>
      </c>
      <c r="C24" s="35">
        <v>6</v>
      </c>
      <c r="D24">
        <v>101.384</v>
      </c>
      <c r="E24">
        <v>42.813413308202314</v>
      </c>
      <c r="F24">
        <v>40.558999999999997</v>
      </c>
      <c r="G24" s="45"/>
      <c r="H24" s="45"/>
    </row>
    <row r="25" spans="1:8" x14ac:dyDescent="0.25">
      <c r="A25" s="35">
        <v>4</v>
      </c>
      <c r="B25" s="35">
        <v>5</v>
      </c>
      <c r="C25" s="35">
        <v>5</v>
      </c>
      <c r="D25" s="45">
        <v>111.44499999999999</v>
      </c>
      <c r="E25" s="45">
        <v>52.443298658388869</v>
      </c>
      <c r="F25" s="45">
        <v>49.881999999999998</v>
      </c>
      <c r="G25" s="45"/>
      <c r="H25" s="45"/>
    </row>
    <row r="26" spans="1:8" x14ac:dyDescent="0.25">
      <c r="A26" s="35">
        <v>5</v>
      </c>
      <c r="B26" s="35">
        <v>6</v>
      </c>
      <c r="C26" s="35">
        <v>6</v>
      </c>
      <c r="D26">
        <v>91.655000000000001</v>
      </c>
      <c r="E26">
        <v>57.694527518089274</v>
      </c>
      <c r="F26">
        <v>55.055999999999997</v>
      </c>
      <c r="G26" s="45"/>
      <c r="H26" s="45"/>
    </row>
    <row r="27" spans="1:8" x14ac:dyDescent="0.25">
      <c r="A27" s="35">
        <v>6</v>
      </c>
      <c r="B27" s="35">
        <v>7</v>
      </c>
      <c r="C27" s="35">
        <v>7</v>
      </c>
      <c r="D27">
        <v>101.83799999999999</v>
      </c>
      <c r="E27" s="46">
        <v>58.47123380048798</v>
      </c>
      <c r="F27" s="46">
        <v>55.774999999999999</v>
      </c>
      <c r="G27" s="45"/>
      <c r="H27" s="45"/>
    </row>
    <row r="28" spans="1:8" x14ac:dyDescent="0.25">
      <c r="A28" s="35">
        <v>4</v>
      </c>
      <c r="B28" s="35">
        <v>5</v>
      </c>
      <c r="C28" s="35">
        <v>5</v>
      </c>
      <c r="D28" s="45">
        <v>101.399</v>
      </c>
      <c r="E28" s="45">
        <v>65.803291131941023</v>
      </c>
      <c r="F28" s="45">
        <v>63.338000000000001</v>
      </c>
    </row>
    <row r="29" spans="1:8" x14ac:dyDescent="0.25">
      <c r="A29" s="35">
        <v>9</v>
      </c>
      <c r="B29" s="35">
        <v>10</v>
      </c>
      <c r="C29" s="35">
        <v>10</v>
      </c>
      <c r="D29">
        <v>121.754</v>
      </c>
      <c r="E29">
        <v>98.476270556446366</v>
      </c>
      <c r="F29">
        <v>94.778999999999996</v>
      </c>
      <c r="G29" s="45"/>
      <c r="H29" s="45"/>
    </row>
    <row r="30" spans="1:8" x14ac:dyDescent="0.25">
      <c r="A30" s="35">
        <v>9</v>
      </c>
      <c r="B30" s="35">
        <v>10</v>
      </c>
      <c r="C30" s="35">
        <v>10</v>
      </c>
      <c r="D30">
        <v>114.508</v>
      </c>
      <c r="E30">
        <v>113.27504715099818</v>
      </c>
      <c r="F30">
        <v>107.474</v>
      </c>
    </row>
    <row r="31" spans="1:8" x14ac:dyDescent="0.25">
      <c r="A31" s="35">
        <v>5</v>
      </c>
      <c r="B31" s="35">
        <v>6</v>
      </c>
      <c r="C31" s="35">
        <v>6</v>
      </c>
      <c r="D31">
        <v>76.260000000000005</v>
      </c>
      <c r="E31">
        <v>116.7762370069741</v>
      </c>
      <c r="F31">
        <v>111.01300000000001</v>
      </c>
      <c r="G31" s="45"/>
      <c r="H31" s="45"/>
    </row>
    <row r="32" spans="1:8" x14ac:dyDescent="0.25">
      <c r="A32" s="35">
        <v>3</v>
      </c>
      <c r="B32" s="35">
        <v>4</v>
      </c>
      <c r="C32" s="35">
        <v>4</v>
      </c>
      <c r="D32" s="45">
        <v>71.216999999999999</v>
      </c>
      <c r="E32" s="45">
        <v>128.84446965729734</v>
      </c>
      <c r="F32" s="45">
        <v>123.99299999999999</v>
      </c>
      <c r="G32" s="45"/>
      <c r="H32" s="45"/>
    </row>
    <row r="33" spans="1:8" x14ac:dyDescent="0.25">
      <c r="A33" s="35">
        <v>3</v>
      </c>
      <c r="B33" s="35">
        <v>4</v>
      </c>
      <c r="C33" s="35">
        <v>4</v>
      </c>
      <c r="D33" s="45">
        <v>71.216999999999999</v>
      </c>
      <c r="E33" s="45">
        <v>129.1968774082099</v>
      </c>
      <c r="F33" s="45">
        <v>123.99299999999999</v>
      </c>
      <c r="G33" s="45"/>
      <c r="H33" s="45"/>
    </row>
    <row r="34" spans="1:8" x14ac:dyDescent="0.25">
      <c r="A34" s="35">
        <v>3</v>
      </c>
      <c r="B34" s="35">
        <v>4</v>
      </c>
      <c r="C34" s="35">
        <v>4</v>
      </c>
      <c r="D34" s="45">
        <v>71.216999999999999</v>
      </c>
      <c r="E34" s="45">
        <v>130.33178148495011</v>
      </c>
      <c r="F34" s="45">
        <v>123.99299999999999</v>
      </c>
      <c r="G34" s="45"/>
      <c r="H34" s="45"/>
    </row>
    <row r="35" spans="1:8" x14ac:dyDescent="0.25">
      <c r="A35" s="35">
        <v>4</v>
      </c>
      <c r="B35" s="35">
        <v>5</v>
      </c>
      <c r="C35" s="35">
        <v>5</v>
      </c>
      <c r="D35" s="45">
        <v>81.162999999999997</v>
      </c>
      <c r="E35" s="45">
        <v>148.87658741368224</v>
      </c>
      <c r="F35" s="45">
        <v>133.87200000000001</v>
      </c>
      <c r="G35" s="45"/>
      <c r="H35" s="45"/>
    </row>
    <row r="36" spans="1:8" x14ac:dyDescent="0.25">
      <c r="A36" s="35">
        <v>9</v>
      </c>
      <c r="B36" s="35">
        <v>10</v>
      </c>
      <c r="C36" s="35">
        <v>10</v>
      </c>
      <c r="D36">
        <v>109.56399999999999</v>
      </c>
      <c r="E36">
        <v>150.42675021865026</v>
      </c>
      <c r="F36">
        <v>140.435</v>
      </c>
      <c r="G36" s="45"/>
      <c r="H36" s="45"/>
    </row>
    <row r="37" spans="1:8" x14ac:dyDescent="0.25">
      <c r="A37" s="35">
        <v>6</v>
      </c>
      <c r="B37" s="35">
        <v>7</v>
      </c>
      <c r="C37" s="35">
        <v>7</v>
      </c>
      <c r="D37">
        <v>55.405000000000001</v>
      </c>
      <c r="E37" s="46">
        <v>163.80745551263263</v>
      </c>
      <c r="F37" s="46">
        <v>154.703</v>
      </c>
    </row>
    <row r="38" spans="1:8" x14ac:dyDescent="0.25">
      <c r="A38" s="35">
        <v>6</v>
      </c>
      <c r="B38" s="35">
        <v>7</v>
      </c>
      <c r="C38" s="35">
        <v>7</v>
      </c>
      <c r="D38">
        <v>67.722999999999999</v>
      </c>
      <c r="E38" s="46">
        <v>165.09043488803255</v>
      </c>
      <c r="F38" s="46">
        <v>159.80000000000001</v>
      </c>
    </row>
    <row r="39" spans="1:8" x14ac:dyDescent="0.25">
      <c r="A39" s="35">
        <v>9</v>
      </c>
      <c r="B39" s="35">
        <v>10</v>
      </c>
      <c r="C39" s="35">
        <v>10</v>
      </c>
      <c r="D39">
        <v>104.02500000000001</v>
      </c>
      <c r="E39">
        <v>177.47375560448231</v>
      </c>
      <c r="F39">
        <v>161.87799999999999</v>
      </c>
    </row>
    <row r="40" spans="1:8" x14ac:dyDescent="0.25">
      <c r="A40" s="35">
        <v>9</v>
      </c>
      <c r="B40" s="35">
        <v>10</v>
      </c>
      <c r="C40" s="35">
        <v>10</v>
      </c>
      <c r="D40">
        <v>102.223</v>
      </c>
      <c r="E40">
        <v>179.1820152256</v>
      </c>
      <c r="F40">
        <v>169.648</v>
      </c>
    </row>
    <row r="41" spans="1:8" x14ac:dyDescent="0.25">
      <c r="A41" s="35">
        <v>5</v>
      </c>
      <c r="B41" s="35">
        <v>6</v>
      </c>
      <c r="C41" s="35">
        <v>6</v>
      </c>
      <c r="D41">
        <v>2.5859999999999999</v>
      </c>
      <c r="E41">
        <v>198.50807194431403</v>
      </c>
      <c r="F41">
        <v>205.274</v>
      </c>
    </row>
    <row r="42" spans="1:8" x14ac:dyDescent="0.25">
      <c r="A42" s="35">
        <v>4</v>
      </c>
      <c r="B42" s="35">
        <v>5</v>
      </c>
      <c r="C42" s="35">
        <v>5</v>
      </c>
      <c r="D42" s="45">
        <v>2.4460000000000002</v>
      </c>
      <c r="E42" s="45">
        <v>199.97377292900003</v>
      </c>
      <c r="F42" s="45">
        <v>206.65</v>
      </c>
    </row>
    <row r="43" spans="1:8" x14ac:dyDescent="0.25">
      <c r="A43" s="35">
        <v>24</v>
      </c>
      <c r="B43" s="35">
        <v>28</v>
      </c>
      <c r="C43" s="35">
        <v>28</v>
      </c>
      <c r="D43">
        <v>80.034000000000006</v>
      </c>
      <c r="E43" s="35">
        <v>204.68892623547009</v>
      </c>
      <c r="F43" s="35">
        <v>191.96600000000001</v>
      </c>
    </row>
    <row r="44" spans="1:8" x14ac:dyDescent="0.25">
      <c r="A44" s="35">
        <v>9</v>
      </c>
      <c r="B44" s="35">
        <v>10</v>
      </c>
      <c r="C44" s="35">
        <v>10</v>
      </c>
      <c r="D44">
        <v>2.7010000000000001</v>
      </c>
      <c r="E44">
        <v>209.52023055725812</v>
      </c>
      <c r="F44">
        <v>203.386</v>
      </c>
    </row>
    <row r="45" spans="1:8" x14ac:dyDescent="0.25">
      <c r="A45" s="35">
        <v>24</v>
      </c>
      <c r="B45" s="35">
        <v>28</v>
      </c>
      <c r="C45" s="35">
        <v>28</v>
      </c>
      <c r="D45">
        <v>3.02</v>
      </c>
      <c r="E45" s="35">
        <v>210.84364868987691</v>
      </c>
      <c r="F45" s="35">
        <v>201.607</v>
      </c>
    </row>
    <row r="46" spans="1:8" x14ac:dyDescent="0.25">
      <c r="A46" s="35">
        <v>24</v>
      </c>
      <c r="B46" s="35">
        <v>28</v>
      </c>
      <c r="C46" s="35">
        <v>28</v>
      </c>
      <c r="D46">
        <v>3.02</v>
      </c>
      <c r="E46" s="35">
        <v>211.69887743189446</v>
      </c>
      <c r="F46" s="35">
        <v>201.607</v>
      </c>
    </row>
    <row r="47" spans="1:8" x14ac:dyDescent="0.25">
      <c r="A47" s="35">
        <v>6</v>
      </c>
      <c r="B47" s="35">
        <v>7</v>
      </c>
      <c r="C47" s="35">
        <v>7</v>
      </c>
      <c r="D47">
        <v>2.3730000000000002</v>
      </c>
      <c r="E47" s="45">
        <v>213.13951116991836</v>
      </c>
      <c r="F47" s="45">
        <v>205.54499999999999</v>
      </c>
    </row>
    <row r="48" spans="1:8" x14ac:dyDescent="0.25">
      <c r="A48" s="35">
        <v>3</v>
      </c>
      <c r="B48" s="35">
        <v>4</v>
      </c>
      <c r="C48" s="35">
        <v>4</v>
      </c>
      <c r="D48" s="45">
        <v>2.6320000000000001</v>
      </c>
      <c r="E48" s="45">
        <v>214.27920124923085</v>
      </c>
      <c r="F48" s="45">
        <v>205.71</v>
      </c>
    </row>
    <row r="49" spans="4:4" x14ac:dyDescent="0.25">
      <c r="D49" s="46"/>
    </row>
    <row r="50" spans="4:4" x14ac:dyDescent="0.25">
      <c r="D50" s="46"/>
    </row>
    <row r="51" spans="4:4" x14ac:dyDescent="0.25">
      <c r="D51" s="46"/>
    </row>
    <row r="52" spans="4:4" x14ac:dyDescent="0.25">
      <c r="D52" s="46"/>
    </row>
    <row r="53" spans="4:4" x14ac:dyDescent="0.25">
      <c r="D53" s="46"/>
    </row>
    <row r="54" spans="4:4" x14ac:dyDescent="0.25">
      <c r="D54" s="46"/>
    </row>
    <row r="55" spans="4:4" x14ac:dyDescent="0.25">
      <c r="D55" s="46"/>
    </row>
    <row r="56" spans="4:4" x14ac:dyDescent="0.25">
      <c r="D56" s="46"/>
    </row>
  </sheetData>
  <sortState ref="A2:F56">
    <sortCondition ref="E2:E5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BottleVolumes</vt:lpstr>
      <vt:lpstr>Station 0 Cast 1 Calculation</vt:lpstr>
      <vt:lpstr>Station 3 Cast 4 Calculation</vt:lpstr>
      <vt:lpstr>Station 4 Cast 5 Calculation</vt:lpstr>
      <vt:lpstr>Station 5 Cast 6 Calculation</vt:lpstr>
      <vt:lpstr>Station 6 Cast 7 Calculation</vt:lpstr>
      <vt:lpstr>Station 9 Cast 10 Calculation</vt:lpstr>
      <vt:lpstr>Station 24 Cast 28 Calculation</vt:lpstr>
      <vt:lpstr>Winkler vs CTD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Wendi Ruef</dc:creator>
  <cp:lastModifiedBy>Windows User</cp:lastModifiedBy>
  <cp:lastPrinted>2016-12-21T17:35:33Z</cp:lastPrinted>
  <dcterms:created xsi:type="dcterms:W3CDTF">2016-12-15T23:58:46Z</dcterms:created>
  <dcterms:modified xsi:type="dcterms:W3CDTF">2021-09-28T04:51:36Z</dcterms:modified>
</cp:coreProperties>
</file>