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IMDB_Movies" sheetId="1" r:id="rId1"/>
  </sheets>
  <externalReferences>
    <externalReference r:id="rId2"/>
  </externalReferences>
  <definedNames>
    <definedName name="_xlnm._FilterDatabase" localSheetId="0" hidden="1">IMDB_Movies!$AC$117:$AC$3903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<sst xmlns="http://schemas.openxmlformats.org/spreadsheetml/2006/main" count="31978" uniqueCount="6431">
  <si>
    <t>director_name</t>
  </si>
  <si>
    <t>duration</t>
  </si>
  <si>
    <t>gross</t>
  </si>
  <si>
    <t>genres</t>
  </si>
  <si>
    <t>genres_unique</t>
  </si>
  <si>
    <t>language</t>
  </si>
  <si>
    <t>country</t>
  </si>
  <si>
    <t>budget</t>
  </si>
  <si>
    <t>imdb_score</t>
  </si>
  <si>
    <t>movie_title</t>
  </si>
  <si>
    <t>James Cameron</t>
  </si>
  <si>
    <t>Action|Adventure|Fantasy|Sci-Fi</t>
  </si>
  <si>
    <t>Action</t>
  </si>
  <si>
    <t>Adventure</t>
  </si>
  <si>
    <t>Fantasy</t>
  </si>
  <si>
    <t>Sci-Fi</t>
  </si>
  <si>
    <t>Musical</t>
  </si>
  <si>
    <t>Romance</t>
  </si>
  <si>
    <t>English</t>
  </si>
  <si>
    <t>USA</t>
  </si>
  <si>
    <t>Avatar </t>
  </si>
  <si>
    <t>Gore Verbinski</t>
  </si>
  <si>
    <t>Action|Adventure|Fantasy</t>
  </si>
  <si>
    <t>Family</t>
  </si>
  <si>
    <t>Thriller</t>
  </si>
  <si>
    <t>Pirates of the Caribbean: At World's End </t>
  </si>
  <si>
    <t>Sam Mendes</t>
  </si>
  <si>
    <t>Action|Adventure|Thriller</t>
  </si>
  <si>
    <t>Mystery</t>
  </si>
  <si>
    <t>War</t>
  </si>
  <si>
    <t>Drama</t>
  </si>
  <si>
    <t>UK</t>
  </si>
  <si>
    <t>Spectre </t>
  </si>
  <si>
    <t>Christopher Nolan</t>
  </si>
  <si>
    <t>Action|Thriller</t>
  </si>
  <si>
    <t>Animation</t>
  </si>
  <si>
    <t>The Dark Knight Rises </t>
  </si>
  <si>
    <t>Andrew Stanton</t>
  </si>
  <si>
    <t>Action|Adventure|Sci-Fi</t>
  </si>
  <si>
    <t>Sport</t>
  </si>
  <si>
    <t>Comedy</t>
  </si>
  <si>
    <t>John Carter </t>
  </si>
  <si>
    <t>genre_count</t>
  </si>
  <si>
    <t>mean</t>
  </si>
  <si>
    <t>median</t>
  </si>
  <si>
    <t>mode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</si>
  <si>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</si>
  <si>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</si>
  <si>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</si>
  <si>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</si>
  <si>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</si>
  <si>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</si>
  <si>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</si>
  <si>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</si>
  <si>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</si>
  <si>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History</t>
  </si>
  <si>
    <t>Crime</t>
  </si>
  <si>
    <t>Tangled </t>
  </si>
  <si>
    <t>Joss Whedon</t>
  </si>
  <si>
    <t>Biography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</si>
  <si>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</si>
  <si>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</si>
  <si>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</si>
  <si>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</si>
  <si>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</si>
  <si>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Documentary</t>
  </si>
  <si>
    <t>Batman v Superman: Dawn of Justice </t>
  </si>
  <si>
    <t>Bryan Singer</t>
  </si>
  <si>
    <t>Superman Returns </t>
  </si>
  <si>
    <t>Marc Forster</t>
  </si>
  <si>
    <t>Action|Adventure</t>
  </si>
  <si>
    <t>Western</t>
  </si>
  <si>
    <t>Horror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</si>
  <si>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</si>
  <si>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</si>
  <si>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</si>
  <si>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</si>
  <si>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</si>
  <si>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</si>
  <si>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</si>
  <si>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</si>
  <si>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</si>
  <si>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</si>
  <si>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Music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</si>
  <si>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</si>
  <si>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</si>
  <si>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</si>
  <si>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</si>
  <si>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</si>
  <si>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</si>
  <si>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New Zealand</t>
  </si>
  <si>
    <t>The Hobbit: The Battle of the Five Armies 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</si>
  <si>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</si>
  <si>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</si>
  <si>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</si>
  <si>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</si>
  <si>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</si>
  <si>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</si>
  <si>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</si>
  <si>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</si>
  <si>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</si>
  <si>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</si>
  <si>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</si>
  <si>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</si>
  <si>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</si>
  <si>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</si>
  <si>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</si>
  <si>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</si>
  <si>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</si>
  <si>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</si>
  <si>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</si>
  <si>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</si>
  <si>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</si>
  <si>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</si>
  <si>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</si>
  <si>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</si>
  <si>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</si>
  <si>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</si>
  <si>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</si>
  <si>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</si>
  <si>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</si>
  <si>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Canada</t>
  </si>
  <si>
    <t>X-Men: The Last Stand 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</si>
  <si>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</si>
  <si>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</si>
  <si>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</si>
  <si>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</si>
  <si>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</si>
  <si>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Operation</t>
  </si>
  <si>
    <t>Value</t>
  </si>
  <si>
    <t>Transformers: Age of Extinction </t>
  </si>
  <si>
    <t>Mean</t>
  </si>
  <si>
    <t>Oz the Great and Powerful </t>
  </si>
  <si>
    <t>Median</t>
  </si>
  <si>
    <t>The Amazing Spider-Man 2 </t>
  </si>
  <si>
    <t>Mode</t>
  </si>
  <si>
    <t>Joseph Kosinski</t>
  </si>
  <si>
    <t>TRON: Legacy </t>
  </si>
  <si>
    <t>Variance</t>
  </si>
  <si>
    <t>John Lasseter</t>
  </si>
  <si>
    <t>Adventure|Animation|Comedy|Family|Sport</t>
  </si>
  <si>
    <t>Cars 2 </t>
  </si>
  <si>
    <t>Standard Deviation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</si>
  <si>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</si>
  <si>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</si>
  <si>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</si>
  <si>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</si>
  <si>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</si>
  <si>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</si>
  <si>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</si>
  <si>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</si>
  <si>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</si>
  <si>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</si>
  <si>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</si>
  <si>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</si>
  <si>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</si>
  <si>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</si>
  <si>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</si>
  <si>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</si>
  <si>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Australia</t>
  </si>
  <si>
    <t>The Great Gatsby 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</si>
  <si>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</si>
  <si>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</si>
  <si>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</si>
  <si>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</si>
  <si>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</si>
  <si>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</si>
  <si>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</si>
  <si>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</si>
  <si>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</si>
  <si>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</si>
  <si>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</si>
  <si>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</si>
  <si>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</si>
  <si>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</si>
  <si>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</si>
  <si>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</si>
  <si>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</si>
  <si>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</si>
  <si>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</si>
  <si>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</si>
  <si>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</si>
  <si>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</si>
  <si>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</si>
  <si>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</si>
  <si>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</si>
  <si>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</si>
  <si>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</si>
  <si>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</si>
  <si>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</si>
  <si>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</si>
  <si>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</si>
  <si>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</si>
  <si>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</si>
  <si>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</si>
  <si>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</si>
  <si>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</si>
  <si>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</si>
  <si>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</si>
  <si>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Language</t>
  </si>
  <si>
    <t>movie_count</t>
  </si>
  <si>
    <t>avg_imdb</t>
  </si>
  <si>
    <t>median_imdb</t>
  </si>
  <si>
    <t>var_imdb</t>
  </si>
  <si>
    <t>StdDev_imdb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</si>
  <si>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</si>
  <si>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</si>
  <si>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</si>
  <si>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</si>
  <si>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</si>
  <si>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</si>
  <si>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</si>
  <si>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</si>
  <si>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</si>
  <si>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</si>
  <si>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</si>
  <si>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</si>
  <si>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</si>
  <si>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</si>
  <si>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</si>
  <si>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</si>
  <si>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</si>
  <si>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</si>
  <si>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</si>
  <si>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</si>
  <si>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</si>
  <si>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</si>
  <si>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</si>
  <si>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</si>
  <si>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</si>
  <si>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</si>
  <si>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</si>
  <si>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</si>
  <si>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</si>
  <si>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</si>
  <si>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</si>
  <si>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</si>
  <si>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</si>
  <si>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</si>
  <si>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</si>
  <si>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</si>
  <si>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</si>
  <si>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</si>
  <si>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</si>
  <si>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</si>
  <si>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</si>
  <si>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</si>
  <si>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</si>
  <si>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</si>
  <si>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</si>
  <si>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</si>
  <si>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</si>
  <si>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</si>
  <si>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</si>
  <si>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</si>
  <si>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</si>
  <si>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</si>
  <si>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</si>
  <si>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</si>
  <si>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</si>
  <si>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</si>
  <si>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</si>
  <si>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</si>
  <si>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</si>
  <si>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</si>
  <si>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</si>
  <si>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</si>
  <si>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</si>
  <si>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</si>
  <si>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</si>
  <si>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</si>
  <si>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</si>
  <si>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</si>
  <si>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</si>
  <si>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</si>
  <si>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</si>
  <si>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</si>
  <si>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</si>
  <si>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</si>
  <si>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</si>
  <si>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</si>
  <si>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</si>
  <si>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</si>
  <si>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</si>
  <si>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</si>
  <si>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</si>
  <si>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</si>
  <si>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</si>
  <si>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</si>
  <si>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</si>
  <si>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</si>
  <si>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</si>
  <si>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</si>
  <si>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Germany</t>
  </si>
  <si>
    <t>Alexander 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</si>
  <si>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</si>
  <si>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</si>
  <si>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</si>
  <si>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</si>
  <si>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</si>
  <si>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</si>
  <si>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</si>
  <si>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</si>
  <si>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</si>
  <si>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</si>
  <si>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90th percentile</t>
  </si>
  <si>
    <t>number of movies of the director &gt; 7.5 imdb score</t>
  </si>
  <si>
    <t>Movie_Title</t>
  </si>
  <si>
    <t>profit_margin</t>
  </si>
  <si>
    <t>highest profit margin</t>
  </si>
  <si>
    <t>correl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</si>
  <si>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</si>
  <si>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</si>
  <si>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</si>
  <si>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</si>
  <si>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</si>
  <si>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</si>
  <si>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</si>
  <si>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</si>
  <si>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</si>
  <si>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</si>
  <si>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</si>
  <si>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</si>
  <si>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</si>
  <si>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</si>
  <si>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</si>
  <si>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</si>
  <si>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</si>
  <si>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</si>
  <si>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</si>
  <si>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</si>
  <si>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</si>
  <si>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</si>
  <si>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</si>
  <si>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</si>
  <si>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</si>
  <si>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</si>
  <si>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</si>
  <si>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</si>
  <si>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</si>
  <si>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</si>
  <si>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</si>
  <si>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</si>
  <si>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China</t>
  </si>
  <si>
    <t>Mission: Impossible - Rogue Nation 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</si>
  <si>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</si>
  <si>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</si>
  <si>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</si>
  <si>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</si>
  <si>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</si>
  <si>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</si>
  <si>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</si>
  <si>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</si>
  <si>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</si>
  <si>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</si>
  <si>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</si>
  <si>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</si>
  <si>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</si>
  <si>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</si>
  <si>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</si>
  <si>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</si>
  <si>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</si>
  <si>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</si>
  <si>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</si>
  <si>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</si>
  <si>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</si>
  <si>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</si>
  <si>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</si>
  <si>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</si>
  <si>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</si>
  <si>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</si>
  <si>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</si>
  <si>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</si>
  <si>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</si>
  <si>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</si>
  <si>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</si>
  <si>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</si>
  <si>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</si>
  <si>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</si>
  <si>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</si>
  <si>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</si>
  <si>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</si>
  <si>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</si>
  <si>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</si>
  <si>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</si>
  <si>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</si>
  <si>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</si>
  <si>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</si>
  <si>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</si>
  <si>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</si>
  <si>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</si>
  <si>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</si>
  <si>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</si>
  <si>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</si>
  <si>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</si>
  <si>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</si>
  <si>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</si>
  <si>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</si>
  <si>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</si>
  <si>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</si>
  <si>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</si>
  <si>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</si>
  <si>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</si>
  <si>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</si>
  <si>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</si>
  <si>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</si>
  <si>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</si>
  <si>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</si>
  <si>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</si>
  <si>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</si>
  <si>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</si>
  <si>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</si>
  <si>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</si>
  <si>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</si>
  <si>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</si>
  <si>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</si>
  <si>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</si>
  <si>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</si>
  <si>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</si>
  <si>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</si>
  <si>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</si>
  <si>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</si>
  <si>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</si>
  <si>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</si>
  <si>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</si>
  <si>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</si>
  <si>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</si>
  <si>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</si>
  <si>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</si>
  <si>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</si>
  <si>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</si>
  <si>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</si>
  <si>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</si>
  <si>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</si>
  <si>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</si>
  <si>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</si>
  <si>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</si>
  <si>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</si>
  <si>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</si>
  <si>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</si>
  <si>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</si>
  <si>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</si>
  <si>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</si>
  <si>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</si>
  <si>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</si>
  <si>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</si>
  <si>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</si>
  <si>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</si>
  <si>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</si>
  <si>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</si>
  <si>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</si>
  <si>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</si>
  <si>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</si>
  <si>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</si>
  <si>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</si>
  <si>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</si>
  <si>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</si>
  <si>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</si>
  <si>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</si>
  <si>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</si>
  <si>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</si>
  <si>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</si>
  <si>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</si>
  <si>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</si>
  <si>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</si>
  <si>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</si>
  <si>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</si>
  <si>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</si>
  <si>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</si>
  <si>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</si>
  <si>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</si>
  <si>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</si>
  <si>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</si>
  <si>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</si>
  <si>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</si>
  <si>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</si>
  <si>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</si>
  <si>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</si>
  <si>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</si>
  <si>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</si>
  <si>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</si>
  <si>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</si>
  <si>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</si>
  <si>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</si>
  <si>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</si>
  <si>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</si>
  <si>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</si>
  <si>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</si>
  <si>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</si>
  <si>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</si>
  <si>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</si>
  <si>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</si>
  <si>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</si>
  <si>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</si>
  <si>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</si>
  <si>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</si>
  <si>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</si>
  <si>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</si>
  <si>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</si>
  <si>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</si>
  <si>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</si>
  <si>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</si>
  <si>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</si>
  <si>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</si>
  <si>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</si>
  <si>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</si>
  <si>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</si>
  <si>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</si>
  <si>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</si>
  <si>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</si>
  <si>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</si>
  <si>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</si>
  <si>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</si>
  <si>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</si>
  <si>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</si>
  <si>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</si>
  <si>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</si>
  <si>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</si>
  <si>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</si>
  <si>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</si>
  <si>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</si>
  <si>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</si>
  <si>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</si>
  <si>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</si>
  <si>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</si>
  <si>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</si>
  <si>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</si>
  <si>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</si>
  <si>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</si>
  <si>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</si>
  <si>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</si>
  <si>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</si>
  <si>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</si>
  <si>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</si>
  <si>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</si>
  <si>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</si>
  <si>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</si>
  <si>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</si>
  <si>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</si>
  <si>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</si>
  <si>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</si>
  <si>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</si>
  <si>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</si>
  <si>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</si>
  <si>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</si>
  <si>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</si>
  <si>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</si>
  <si>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</si>
  <si>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</si>
  <si>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</si>
  <si>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</si>
  <si>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</si>
  <si>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</si>
  <si>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</si>
  <si>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</si>
  <si>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</si>
  <si>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</si>
  <si>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</si>
  <si>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</si>
  <si>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</si>
  <si>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</si>
  <si>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</si>
  <si>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</si>
  <si>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</si>
  <si>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</si>
  <si>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</si>
  <si>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</si>
  <si>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</si>
  <si>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</si>
  <si>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</si>
  <si>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</si>
  <si>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</si>
  <si>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</si>
  <si>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</si>
  <si>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</si>
  <si>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</si>
  <si>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</si>
  <si>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</si>
  <si>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</si>
  <si>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</si>
  <si>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</si>
  <si>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</si>
  <si>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</si>
  <si>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</si>
  <si>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</si>
  <si>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</si>
  <si>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</si>
  <si>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</si>
  <si>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</si>
  <si>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</si>
  <si>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</si>
  <si>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</si>
  <si>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</si>
  <si>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</si>
  <si>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</si>
  <si>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</si>
  <si>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</si>
  <si>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</si>
  <si>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</si>
  <si>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</si>
  <si>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</si>
  <si>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</si>
  <si>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</si>
  <si>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</si>
  <si>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</si>
  <si>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</si>
  <si>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</si>
  <si>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</si>
  <si>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New Line</t>
  </si>
  <si>
    <t>Town &amp; Country 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</si>
  <si>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</si>
  <si>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</si>
  <si>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</si>
  <si>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</si>
  <si>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</si>
  <si>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</si>
  <si>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</si>
  <si>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Tony Scott</t>
  </si>
  <si>
    <t>Planet of the Apes </t>
  </si>
  <si>
    <t>Paul Weitz</t>
  </si>
  <si>
    <t>Terminator 2: Judgment Day </t>
  </si>
  <si>
    <t>Adam McKay</t>
  </si>
  <si>
    <t>Biography|Crime|Drama|History|Romance</t>
  </si>
  <si>
    <t>Public Enemies </t>
  </si>
  <si>
    <t>Chuck Russell</t>
  </si>
  <si>
    <t>Biography|Crime|Drama</t>
  </si>
  <si>
    <t>American Gangster </t>
  </si>
  <si>
    <t>Quentin Tarantino</t>
  </si>
  <si>
    <t>Action|Comedy|Thriller</t>
  </si>
  <si>
    <t>True Lies </t>
  </si>
  <si>
    <t>Gary Trousdale</t>
  </si>
  <si>
    <t>The Taking of Pelham 1 2 3 </t>
  </si>
  <si>
    <t>Mark Dindal</t>
  </si>
  <si>
    <t>Little Fockers </t>
  </si>
  <si>
    <t>Simon West</t>
  </si>
  <si>
    <t>Action|Comedy|Crime</t>
  </si>
  <si>
    <t>The Other Guys </t>
  </si>
  <si>
    <t>Stefen Fangmeier</t>
  </si>
  <si>
    <t>Action|Drama|Mystery|Thriller</t>
  </si>
  <si>
    <t>Eraser </t>
  </si>
  <si>
    <t>Spike Jonze</t>
  </si>
  <si>
    <t>Drama|Western</t>
  </si>
  <si>
    <t>Django Unchained </t>
  </si>
  <si>
    <t>Chris Wedge</t>
  </si>
  <si>
    <t>Animation|Drama|Family|Musical|Romance</t>
  </si>
  <si>
    <t>The Hunchback of Notre Dame </t>
  </si>
  <si>
    <t>Florian Henckel von Donnersmarck</t>
  </si>
  <si>
    <t>The Emperor's New Groove </t>
  </si>
  <si>
    <t>Peter Hyams</t>
  </si>
  <si>
    <t>The Expendables 2 </t>
  </si>
  <si>
    <t>Tom Tykwer</t>
  </si>
  <si>
    <t>Action|Adventure|Comedy|Family|Mystery</t>
  </si>
  <si>
    <t>National Treasure </t>
  </si>
  <si>
    <t>Pitof</t>
  </si>
  <si>
    <t>Eragon </t>
  </si>
  <si>
    <t>Brad Silberling</t>
  </si>
  <si>
    <t>Where the Wild Things Are </t>
  </si>
  <si>
    <t>Patrick Hughes</t>
  </si>
  <si>
    <t>Epic </t>
  </si>
  <si>
    <t>Ericson Core</t>
  </si>
  <si>
    <t>Action|Romance|Thriller</t>
  </si>
  <si>
    <t>The Tourist </t>
  </si>
  <si>
    <t>Lawrence Guterman</t>
  </si>
  <si>
    <t>Action|Fantasy|Horror|Mystery</t>
  </si>
  <si>
    <t>End of Days </t>
  </si>
  <si>
    <t>Ron Underwood</t>
  </si>
  <si>
    <t>Adventure|Drama|Thriller</t>
  </si>
  <si>
    <t>Blood Diamond </t>
  </si>
  <si>
    <t>Steve Martino</t>
  </si>
  <si>
    <t>Biography|Comedy|Crime|Drama</t>
  </si>
  <si>
    <t>The Wolf of Wall Street </t>
  </si>
  <si>
    <t>David Mamet</t>
  </si>
  <si>
    <t>Batman Forever </t>
  </si>
  <si>
    <t>Yimou Zhang</t>
  </si>
  <si>
    <t>Action|Sci-Fi|War</t>
  </si>
  <si>
    <t>Starship Troopers </t>
  </si>
  <si>
    <t>Ash Brannon</t>
  </si>
  <si>
    <t>Drama|Sci-Fi</t>
  </si>
  <si>
    <t>Cloud Atlas </t>
  </si>
  <si>
    <t>Frank Oz</t>
  </si>
  <si>
    <t>Action|Adventure|Animation|Family|Fantasy</t>
  </si>
  <si>
    <t>Legend of the Guardians: The Owls of Ga'Hoole </t>
  </si>
  <si>
    <t>Jay Roach</t>
  </si>
  <si>
    <t>Action|Crime|Fantasy|Romance|Thriller</t>
  </si>
  <si>
    <t>Catwoman </t>
  </si>
  <si>
    <t>Luc Besson</t>
  </si>
  <si>
    <t>Hercules </t>
  </si>
  <si>
    <t>Michael Patrick King</t>
  </si>
  <si>
    <t>Treasure Planet </t>
  </si>
  <si>
    <t>Bibo Bergeron</t>
  </si>
  <si>
    <t>Adventure|Comedy|Sci-Fi</t>
  </si>
  <si>
    <t>Land of the Lost </t>
  </si>
  <si>
    <t>Sergey Bodrov</t>
  </si>
  <si>
    <t>The Expendables 3 </t>
  </si>
  <si>
    <t>Wally Pfister</t>
  </si>
  <si>
    <t>Action|Crime|Sport|Thriller</t>
  </si>
  <si>
    <t>Point Break </t>
  </si>
  <si>
    <t>Rupert Wyatt</t>
  </si>
  <si>
    <t>Son of the Mask </t>
  </si>
  <si>
    <t>Mark Waters</t>
  </si>
  <si>
    <t>Action|Adventure|Biography|Drama|History|Thriller</t>
  </si>
  <si>
    <t>In the Heart of the Sea </t>
  </si>
  <si>
    <t>John Moore</t>
  </si>
  <si>
    <t>Action|Comedy|Sci-Fi</t>
  </si>
  <si>
    <t>The Adventures of Pluto Nash </t>
  </si>
  <si>
    <t>John Lee Hancock</t>
  </si>
  <si>
    <t>Action|Drama|Thriller|War</t>
  </si>
  <si>
    <t>France</t>
  </si>
  <si>
    <t>Green Zone </t>
  </si>
  <si>
    <t>Renny Harlin</t>
  </si>
  <si>
    <t>The Peanuts Movie </t>
  </si>
  <si>
    <t>Phil Lord</t>
  </si>
  <si>
    <t>Drama|Mystery|Thriller</t>
  </si>
  <si>
    <t>The Spanish Prisoner </t>
  </si>
  <si>
    <t>Ben Stiller</t>
  </si>
  <si>
    <t>Action|Adventure|Fantasy|Thriller</t>
  </si>
  <si>
    <t>The Mummy Returns </t>
  </si>
  <si>
    <t>Tony Bancroft</t>
  </si>
  <si>
    <t>Crime|Drama</t>
  </si>
  <si>
    <t>Gangs of New York </t>
  </si>
  <si>
    <t>Walt Becker</t>
  </si>
  <si>
    <t>Drama|History|Romance|War</t>
  </si>
  <si>
    <t>Mandarin</t>
  </si>
  <si>
    <t>The Flowers of War </t>
  </si>
  <si>
    <t>Dennis Dugan</t>
  </si>
  <si>
    <t>Animation|Comedy|Family|Sport</t>
  </si>
  <si>
    <t>Surf's Up </t>
  </si>
  <si>
    <t>Sydney Pollack</t>
  </si>
  <si>
    <t>Comedy|Sci-Fi|Thriller</t>
  </si>
  <si>
    <t>The Stepford Wives </t>
  </si>
  <si>
    <t>Thor Freudenthal</t>
  </si>
  <si>
    <t>Drama|History|War</t>
  </si>
  <si>
    <t>Black Hawk Down </t>
  </si>
  <si>
    <t>Brian De Palma</t>
  </si>
  <si>
    <t>The Campaign </t>
  </si>
  <si>
    <t>Mick Jackson</t>
  </si>
  <si>
    <t>The Fifth Element </t>
  </si>
  <si>
    <t>Alan J. Pakula</t>
  </si>
  <si>
    <t>Sex and the City 2 </t>
  </si>
  <si>
    <t>Kathryn Bigelow</t>
  </si>
  <si>
    <t>Adventure|Animation|Comedy|Family|Romance</t>
  </si>
  <si>
    <t>The Road to El Dorado </t>
  </si>
  <si>
    <t>John Milius</t>
  </si>
  <si>
    <t>Ice Age: Continental Drift </t>
  </si>
  <si>
    <t>Andrey Konchalovskiy</t>
  </si>
  <si>
    <t>Drama|Family|Fantasy|Romance</t>
  </si>
  <si>
    <t>Cinderella </t>
  </si>
  <si>
    <t>Gary Ross</t>
  </si>
  <si>
    <t>Drama|Fantasy|Thriller</t>
  </si>
  <si>
    <t>The Lovely Bones </t>
  </si>
  <si>
    <t>Paul W.S. Anderson</t>
  </si>
  <si>
    <t>Finding Nemo </t>
  </si>
  <si>
    <t>Genndy Tartakovsky</t>
  </si>
  <si>
    <t>The Lord of the Rings: The Return of the King </t>
  </si>
  <si>
    <t>Kevin Lima</t>
  </si>
  <si>
    <t>The Lord of the Rings: The Two Towers </t>
  </si>
  <si>
    <t>Daniel Espinosa</t>
  </si>
  <si>
    <t>Seventh Son </t>
  </si>
  <si>
    <t>Nancy Meyers</t>
  </si>
  <si>
    <t>Lara Croft: Tomb Raider </t>
  </si>
  <si>
    <t>Roger Allers</t>
  </si>
  <si>
    <t>Drama|Mystery|Romance|Sci-Fi|Thriller</t>
  </si>
  <si>
    <t>Transcendence </t>
  </si>
  <si>
    <t>Neil Burger</t>
  </si>
  <si>
    <t>Jurassic Park III </t>
  </si>
  <si>
    <t>Jean-Jacques Annaud</t>
  </si>
  <si>
    <t>Rise of the Planet of the Apes </t>
  </si>
  <si>
    <t>Sarah Smith</t>
  </si>
  <si>
    <t>The Spiderwick Chronicles </t>
  </si>
  <si>
    <t>Martin Brest</t>
  </si>
  <si>
    <t>A Good Day to Die Hard </t>
  </si>
  <si>
    <t>Andrew Davis</t>
  </si>
  <si>
    <t>Drama|History|War|Western</t>
  </si>
  <si>
    <t>The Alamo </t>
  </si>
  <si>
    <t>Tarsem Singh</t>
  </si>
  <si>
    <t>Action|Adventure|Animation|Family</t>
  </si>
  <si>
    <t>The Incredibles </t>
  </si>
  <si>
    <t>Edgar Wright</t>
  </si>
  <si>
    <t>Cutthroat Island </t>
  </si>
  <si>
    <t>Jon Amiel</t>
  </si>
  <si>
    <t>Percy Jackson &amp; the Olympians: The Lightning Thief </t>
  </si>
  <si>
    <t>Peter Segal</t>
  </si>
  <si>
    <t>Adventure|Comedy|Family|Mystery|Sci-Fi</t>
  </si>
  <si>
    <t>Men in Black </t>
  </si>
  <si>
    <t>Pete Travis</t>
  </si>
  <si>
    <t>Toy Story 2 </t>
  </si>
  <si>
    <t>Sylvester Stallone</t>
  </si>
  <si>
    <t>Unstoppable </t>
  </si>
  <si>
    <t>Todd Phillips</t>
  </si>
  <si>
    <t>Rush Hour 2 </t>
  </si>
  <si>
    <t>Mimi Leder</t>
  </si>
  <si>
    <t>Drama|Fantasy|Horror|Mystery|Thriller</t>
  </si>
  <si>
    <t>What Lies Beneath </t>
  </si>
  <si>
    <t>Seth Gordon</t>
  </si>
  <si>
    <t>Animation|Comedy|Family|Sci-Fi</t>
  </si>
  <si>
    <t>Cloudy with a Chance of Meatballs </t>
  </si>
  <si>
    <t>Adam Shankman</t>
  </si>
  <si>
    <t>Ice Age: Dawn of the Dinosaurs </t>
  </si>
  <si>
    <t>D.J. Caruso</t>
  </si>
  <si>
    <t>Adventure|Comedy|Drama|Fantasy|Romance</t>
  </si>
  <si>
    <t>The Secret Life of Walter Mitty </t>
  </si>
  <si>
    <t>Anthony Minghella</t>
  </si>
  <si>
    <t>Action|Adventure|Comedy|Crime|Thriller</t>
  </si>
  <si>
    <t>Charlie's Angels </t>
  </si>
  <si>
    <t>Albert Hughes</t>
  </si>
  <si>
    <t>Crime|Drama|Thriller</t>
  </si>
  <si>
    <t>The Departed </t>
  </si>
  <si>
    <t>Les Mayfield</t>
  </si>
  <si>
    <t>Adventure|Animation|Family|Fantasy|Musical|War</t>
  </si>
  <si>
    <t>Mulan </t>
  </si>
  <si>
    <t>Joe Pytka</t>
  </si>
  <si>
    <t>Action|Comedy</t>
  </si>
  <si>
    <t>Tropic Thunder </t>
  </si>
  <si>
    <t>Scott Derrickson</t>
  </si>
  <si>
    <t>Crime|Drama|Mystery|Thriller</t>
  </si>
  <si>
    <t>The Girl with the Dragon Tattoo </t>
  </si>
  <si>
    <t>Ivan Reitman</t>
  </si>
  <si>
    <t>Die Hard with a Vengeance </t>
  </si>
  <si>
    <t>Eric Brevig</t>
  </si>
  <si>
    <t>Sherlock Holmes </t>
  </si>
  <si>
    <t>Kelly Asbury</t>
  </si>
  <si>
    <t>Action|Adventure|Animation|Family|Fantasy|Sci-Fi</t>
  </si>
  <si>
    <t>Atlantis: The Lost Empire </t>
  </si>
  <si>
    <t>Stephen Hopkins</t>
  </si>
  <si>
    <t>Adventure|Animation|Comedy|Family|Fantasy|Music</t>
  </si>
  <si>
    <t>Alvin and the Chipmunks: The Road Chip </t>
  </si>
  <si>
    <t>Jonathan Demme</t>
  </si>
  <si>
    <t>Drama|History|Thriller|War</t>
  </si>
  <si>
    <t>Valkyrie </t>
  </si>
  <si>
    <t>James Algar</t>
  </si>
  <si>
    <t>You Don't Mess with the Zohan </t>
  </si>
  <si>
    <t>Vincent Ward</t>
  </si>
  <si>
    <t>Action|Animation|Comedy|Sci-Fi</t>
  </si>
  <si>
    <t>Pixels </t>
  </si>
  <si>
    <t>Steven Brill</t>
  </si>
  <si>
    <t>A.I. Artificial Intelligence </t>
  </si>
  <si>
    <t>Terry Gilliam</t>
  </si>
  <si>
    <t>Comedy|Family|Fantasy|Horror|Mystery</t>
  </si>
  <si>
    <t>The Haunted Mansion </t>
  </si>
  <si>
    <t>Barry Cook</t>
  </si>
  <si>
    <t>Drama|Mystery|Sci-Fi|Thriller</t>
  </si>
  <si>
    <t>Contact </t>
  </si>
  <si>
    <t>Roger Christian</t>
  </si>
  <si>
    <t>Action|Horror|Sci-Fi|Thriller</t>
  </si>
  <si>
    <t>Hollow Man </t>
  </si>
  <si>
    <t>Joe Dante</t>
  </si>
  <si>
    <t>Crime|Mystery|Thriller</t>
  </si>
  <si>
    <t>Aboriginal</t>
  </si>
  <si>
    <t>The Interpreter </t>
  </si>
  <si>
    <t>Kevin Costner</t>
  </si>
  <si>
    <t>Percy Jackson: Sea of Monsters </t>
  </si>
  <si>
    <t>Antony Hoffman</t>
  </si>
  <si>
    <t>Short</t>
  </si>
  <si>
    <t>Lara Croft Tomb Raider: The Cradle of Life </t>
  </si>
  <si>
    <t>Jacques Perrin</t>
  </si>
  <si>
    <t>Action|Adventure|Comedy|Crime|Mystery|Thriller</t>
  </si>
  <si>
    <t>Now You See Me 2 </t>
  </si>
  <si>
    <t>Cody Cameron</t>
  </si>
  <si>
    <t>The Saint </t>
  </si>
  <si>
    <t>John Singleton</t>
  </si>
  <si>
    <t>Spy Game </t>
  </si>
  <si>
    <t>Oliver Hirschbiegel</t>
  </si>
  <si>
    <t>Mission to Mars </t>
  </si>
  <si>
    <t>Des McAnuff</t>
  </si>
  <si>
    <t>Rio </t>
  </si>
  <si>
    <t>Yarrow Cheney</t>
  </si>
  <si>
    <t>Comedy|Drama|Sci-Fi</t>
  </si>
  <si>
    <t>Bicentennial Man </t>
  </si>
  <si>
    <t>Stephen Norrington</t>
  </si>
  <si>
    <t>Volcano </t>
  </si>
  <si>
    <t>Pierre Coffin</t>
  </si>
  <si>
    <t>The Devil's Own </t>
  </si>
  <si>
    <t>Timur Bekmambetov</t>
  </si>
  <si>
    <t>K-19: The Widowmaker </t>
  </si>
  <si>
    <t>David Kellogg</t>
  </si>
  <si>
    <t>Conan the Barbarian </t>
  </si>
  <si>
    <t>Mike Nichols</t>
  </si>
  <si>
    <t>Cinderella Man </t>
  </si>
  <si>
    <t>F. Gary Gray</t>
  </si>
  <si>
    <t>Action|Family|Fantasy|Musical</t>
  </si>
  <si>
    <t>The Nutcracker in 3D </t>
  </si>
  <si>
    <t>Antoine Fuqua</t>
  </si>
  <si>
    <t>Drama|History|Sport</t>
  </si>
  <si>
    <t>Seabiscuit </t>
  </si>
  <si>
    <t>Robert Luketic</t>
  </si>
  <si>
    <t>Twister </t>
  </si>
  <si>
    <t>Gil Kenan</t>
  </si>
  <si>
    <t>Adventure|Drama|Romance</t>
  </si>
  <si>
    <t>Cast Away </t>
  </si>
  <si>
    <t>Barry Levinson</t>
  </si>
  <si>
    <t>Animation|Comedy|Family|Music|Romance</t>
  </si>
  <si>
    <t>Happy Feet </t>
  </si>
  <si>
    <t>Jerry Zucker</t>
  </si>
  <si>
    <t>The Bourne Supremacy </t>
  </si>
  <si>
    <t>Andy Tennant</t>
  </si>
  <si>
    <t>Air Force One </t>
  </si>
  <si>
    <t>Florent-Emilio Siri</t>
  </si>
  <si>
    <t>Ocean's Eleven </t>
  </si>
  <si>
    <t>Don Bluth</t>
  </si>
  <si>
    <t>The Three Musketeers </t>
  </si>
  <si>
    <t>Ron Shelton</t>
  </si>
  <si>
    <t>Hotel Transylvania </t>
  </si>
  <si>
    <t>Henry Selick</t>
  </si>
  <si>
    <t>Animation|Comedy|Family|Fantasy|Musical|Romance</t>
  </si>
  <si>
    <t>Enchanted </t>
  </si>
  <si>
    <t>Kyle Balda</t>
  </si>
  <si>
    <t>Safe House </t>
  </si>
  <si>
    <t>Clay Kaytis</t>
  </si>
  <si>
    <t>Adventure|Comedy|Family</t>
  </si>
  <si>
    <t>102 Dalmatians </t>
  </si>
  <si>
    <t>Judd Apatow</t>
  </si>
  <si>
    <t>Tower Heist </t>
  </si>
  <si>
    <t>Steve Carr</t>
  </si>
  <si>
    <t>The Holiday </t>
  </si>
  <si>
    <t>Mel Gibson</t>
  </si>
  <si>
    <t>Action|Crime|Drama|Mystery|Thriller</t>
  </si>
  <si>
    <t>Enemy of the State </t>
  </si>
  <si>
    <t>David Silverman</t>
  </si>
  <si>
    <t>It's Complicated </t>
  </si>
  <si>
    <t>Frank Darabont</t>
  </si>
  <si>
    <t>Ocean's Thirteen </t>
  </si>
  <si>
    <t>Betty Thomas</t>
  </si>
  <si>
    <t>Open Season </t>
  </si>
  <si>
    <t>Garry Marshall</t>
  </si>
  <si>
    <t>Divergent </t>
  </si>
  <si>
    <t>Paul Tibbitt</t>
  </si>
  <si>
    <t>Enemy at the Gates </t>
  </si>
  <si>
    <t>Clark Johnson</t>
  </si>
  <si>
    <t>The Rundown </t>
  </si>
  <si>
    <t>Cameron Crowe</t>
  </si>
  <si>
    <t>Action|Adventure|Comedy|Fantasy</t>
  </si>
  <si>
    <t>Last Action Hero </t>
  </si>
  <si>
    <t>Randall Wallace</t>
  </si>
  <si>
    <t>Memoirs of a Geisha </t>
  </si>
  <si>
    <t>Jonathan Frakes</t>
  </si>
  <si>
    <t>The Fast and the Furious: Tokyo Drift </t>
  </si>
  <si>
    <t>George Clooney</t>
  </si>
  <si>
    <t>Arthur Christmas </t>
  </si>
  <si>
    <t>Gary Shore</t>
  </si>
  <si>
    <t>Meet Joe Black </t>
  </si>
  <si>
    <t>Andrzej Bartkowiak</t>
  </si>
  <si>
    <t>Collateral Damage </t>
  </si>
  <si>
    <t>Måns Mårlind</t>
  </si>
  <si>
    <t>Adventure|Comedy|Drama|Family|Fantasy</t>
  </si>
  <si>
    <t>Mirror Mirror </t>
  </si>
  <si>
    <t>Gregory Hoblit</t>
  </si>
  <si>
    <t>Action|Comedy|Fantasy|Romance</t>
  </si>
  <si>
    <t>Scott Pilgrim vs. the World </t>
  </si>
  <si>
    <t>Gary McKendry</t>
  </si>
  <si>
    <t>The Core </t>
  </si>
  <si>
    <t>Wych Kaosayananda</t>
  </si>
  <si>
    <t>Comedy|Romance|Sci-Fi</t>
  </si>
  <si>
    <t>Nutty Professor II: The Klumps </t>
  </si>
  <si>
    <t>Mikael Salomon</t>
  </si>
  <si>
    <t>Adventure|Comedy|Mystery</t>
  </si>
  <si>
    <t>Scooby-Doo </t>
  </si>
  <si>
    <t>Bobby Farrelly</t>
  </si>
  <si>
    <t>Dredd </t>
  </si>
  <si>
    <t>Kerry Conran</t>
  </si>
  <si>
    <t>Comedy|Drama|Fantasy|Romance</t>
  </si>
  <si>
    <t>Click </t>
  </si>
  <si>
    <t>Michael Caton-Jones</t>
  </si>
  <si>
    <t>Action|Comedy|Family|Fantasy</t>
  </si>
  <si>
    <t>Cats &amp; Dogs: The Revenge of Kitty Galore </t>
  </si>
  <si>
    <t>Mikael Håfström</t>
  </si>
  <si>
    <t>Jumper </t>
  </si>
  <si>
    <t>Phil Alden Robinson</t>
  </si>
  <si>
    <t>Action|Adventure|Fantasy|Horror|Sci-Fi</t>
  </si>
  <si>
    <t>Hellboy II: The Golden Army </t>
  </si>
  <si>
    <t>David Slade</t>
  </si>
  <si>
    <t>Crime|Drama|History|Mystery|Thriller</t>
  </si>
  <si>
    <t>Zodiac </t>
  </si>
  <si>
    <t>Joseph Ruben</t>
  </si>
  <si>
    <t>The 6th Day </t>
  </si>
  <si>
    <t>Seth MacFarlane</t>
  </si>
  <si>
    <t>Comedy|Drama</t>
  </si>
  <si>
    <t>Bruce Almighty </t>
  </si>
  <si>
    <t>Alejandro Amenábar</t>
  </si>
  <si>
    <t>The Expendables </t>
  </si>
  <si>
    <t>Kinka Usher</t>
  </si>
  <si>
    <t>Mission: Impossible </t>
  </si>
  <si>
    <t>Rob Bowman</t>
  </si>
  <si>
    <t>The Hunger Games </t>
  </si>
  <si>
    <t>Doug Lefler</t>
  </si>
  <si>
    <t>The Hangover Part II </t>
  </si>
  <si>
    <t>Scott Waugh</t>
  </si>
  <si>
    <t>Batman Returns </t>
  </si>
  <si>
    <t>Lawrence Kasdan</t>
  </si>
  <si>
    <t>Over the Hedge </t>
  </si>
  <si>
    <t>Michael Lembeck</t>
  </si>
  <si>
    <t>Adventure|Animation|Comedy|Drama|Family|Fantasy|Sci-Fi</t>
  </si>
  <si>
    <t>Lilo &amp; Stitch </t>
  </si>
  <si>
    <t>Tom Hooper</t>
  </si>
  <si>
    <t>Action|Drama|Romance|Sci-Fi|Thriller</t>
  </si>
  <si>
    <t>Deep Impact </t>
  </si>
  <si>
    <t>Nora Ephron</t>
  </si>
  <si>
    <t>RED 2 </t>
  </si>
  <si>
    <t>Angelina Jolie Pitt</t>
  </si>
  <si>
    <t>Comedy|Crime|Sport</t>
  </si>
  <si>
    <t>The Longest Yard </t>
  </si>
  <si>
    <t>Clint Eastwood</t>
  </si>
  <si>
    <t>Alvin and the Chipmunks: Chipwrecked </t>
  </si>
  <si>
    <t>Larry Charles</t>
  </si>
  <si>
    <t>Grown Ups 2 </t>
  </si>
  <si>
    <t>Stanley Kubrick</t>
  </si>
  <si>
    <t>Get Smart </t>
  </si>
  <si>
    <t>Will Gluck</t>
  </si>
  <si>
    <t>Something's Gotta Give </t>
  </si>
  <si>
    <t>Glenn Ficarra</t>
  </si>
  <si>
    <t>Shutter Island </t>
  </si>
  <si>
    <t>David S. Goyer</t>
  </si>
  <si>
    <t>Four Christmases </t>
  </si>
  <si>
    <t>Taylor Hackford</t>
  </si>
  <si>
    <t>Robots </t>
  </si>
  <si>
    <t>Michael Lehmann</t>
  </si>
  <si>
    <t>Face/Off </t>
  </si>
  <si>
    <t>Stuart Beattie</t>
  </si>
  <si>
    <t>Comedy|Family|Fantasy|Romance</t>
  </si>
  <si>
    <t>Bedtime Stories </t>
  </si>
  <si>
    <t>Roman Polanski</t>
  </si>
  <si>
    <t>Road to Perdition </t>
  </si>
  <si>
    <t>Frank Miller</t>
  </si>
  <si>
    <t>Just Go with It </t>
  </si>
  <si>
    <t>Baltasar Kormákur</t>
  </si>
  <si>
    <t>Con Air </t>
  </si>
  <si>
    <t>Daniel Lee</t>
  </si>
  <si>
    <t>Eagle Eye </t>
  </si>
  <si>
    <t>Keenen Ivory Wayans</t>
  </si>
  <si>
    <t>Adventure|Drama|History|Romance|War</t>
  </si>
  <si>
    <t>Cold Mountain </t>
  </si>
  <si>
    <t>Rob Reiner</t>
  </si>
  <si>
    <t>The Book of Eli </t>
  </si>
  <si>
    <t>Marco Schnabel</t>
  </si>
  <si>
    <t>Comedy|Family|Sci-Fi</t>
  </si>
  <si>
    <t>Flubber </t>
  </si>
  <si>
    <t>Demian Lichtenstein</t>
  </si>
  <si>
    <t>Fantasy|Horror|Mystery|Thriller</t>
  </si>
  <si>
    <t>The Haunting </t>
  </si>
  <si>
    <t>Josh Gordon</t>
  </si>
  <si>
    <t>Adventure|Animation|Comedy|Family|Fantasy|Sci-Fi|Sport</t>
  </si>
  <si>
    <t>Space Jam </t>
  </si>
  <si>
    <t>Tim Hill</t>
  </si>
  <si>
    <t>Adventure|Comedy|Crime|Family|Mystery</t>
  </si>
  <si>
    <t>The Pink Panther </t>
  </si>
  <si>
    <t>David Frankel</t>
  </si>
  <si>
    <t>Drama|Sci-Fi|Thriller</t>
  </si>
  <si>
    <t>The Day the Earth Stood Still </t>
  </si>
  <si>
    <t>Brenda Chapman</t>
  </si>
  <si>
    <t>Action|Crime|Mystery|Romance|Thriller</t>
  </si>
  <si>
    <t>Conspiracy Theory </t>
  </si>
  <si>
    <t>Marc Lawrence</t>
  </si>
  <si>
    <t>Fury </t>
  </si>
  <si>
    <t>Peter Billingsley</t>
  </si>
  <si>
    <t>Action|Adventure|Comedy|Romance</t>
  </si>
  <si>
    <t>Six Days Seven Nights </t>
  </si>
  <si>
    <t>Wes Ball</t>
  </si>
  <si>
    <t>Yogi Bear </t>
  </si>
  <si>
    <t>Ryan Murphy</t>
  </si>
  <si>
    <t>Adventure|Animation|Family|Western</t>
  </si>
  <si>
    <t>Spirit: Stallion of the Cimarron </t>
  </si>
  <si>
    <t>Robert Redford</t>
  </si>
  <si>
    <t>Comedy|Family|Romance</t>
  </si>
  <si>
    <t>Zookeeper </t>
  </si>
  <si>
    <t>Jay Russell</t>
  </si>
  <si>
    <t>Action|Adventure|Family|Sci-Fi|Thriller</t>
  </si>
  <si>
    <t>Lost in Space </t>
  </si>
  <si>
    <t>Kenny Ortega</t>
  </si>
  <si>
    <t>The Manchurian Candidate </t>
  </si>
  <si>
    <t>David McNally</t>
  </si>
  <si>
    <t>Hotel Transylvania 2 </t>
  </si>
  <si>
    <t>Brian Robbins</t>
  </si>
  <si>
    <t>Animation|Family|Fantasy|Music</t>
  </si>
  <si>
    <t>Fantasia 2000 </t>
  </si>
  <si>
    <t>Brian Levant</t>
  </si>
  <si>
    <t>The Time Machine </t>
  </si>
  <si>
    <t>Steven Zaillian</t>
  </si>
  <si>
    <t>Action|Adventure|Family|Fantasy|Thriller</t>
  </si>
  <si>
    <t>Mighty Joe Young </t>
  </si>
  <si>
    <t>Chris Butler</t>
  </si>
  <si>
    <t>Swordfish </t>
  </si>
  <si>
    <t>Jon Avnet</t>
  </si>
  <si>
    <t>Spanish</t>
  </si>
  <si>
    <t>The Legend of Zorro </t>
  </si>
  <si>
    <t>Sam Fell</t>
  </si>
  <si>
    <t>What Dreams May Come </t>
  </si>
  <si>
    <t>Kevin Donovan</t>
  </si>
  <si>
    <t>Comedy|Fantasy</t>
  </si>
  <si>
    <t>Little Nicky </t>
  </si>
  <si>
    <t>Geoff Murphy</t>
  </si>
  <si>
    <t>Action|Adventure|Comedy|Fantasy|Thriller</t>
  </si>
  <si>
    <t>The Brothers Grimm </t>
  </si>
  <si>
    <t>David O. Russell</t>
  </si>
  <si>
    <t>Mars Attacks! </t>
  </si>
  <si>
    <t>Babak Najafi</t>
  </si>
  <si>
    <t>Action|Sci-Fi|Thriller</t>
  </si>
  <si>
    <t>Surrogates </t>
  </si>
  <si>
    <t>Jean-Pierre Jeunet</t>
  </si>
  <si>
    <t>Drama|History|Thriller</t>
  </si>
  <si>
    <t>Thirteen Days </t>
  </si>
  <si>
    <t>Graham Annable</t>
  </si>
  <si>
    <t>Daylight </t>
  </si>
  <si>
    <t>Griffin Dunne</t>
  </si>
  <si>
    <t>Adventure|Animation|Family</t>
  </si>
  <si>
    <t>Walking with Dinosaurs 3D </t>
  </si>
  <si>
    <t>John Pasquin</t>
  </si>
  <si>
    <t>Battlefield Earth </t>
  </si>
  <si>
    <t>Ruben Fleischer</t>
  </si>
  <si>
    <t>Looney Tunes: Back in Action </t>
  </si>
  <si>
    <t>Harold Ramis</t>
  </si>
  <si>
    <t>Drama|Musical|Romance</t>
  </si>
  <si>
    <t>Nine </t>
  </si>
  <si>
    <t>Donald Petrie</t>
  </si>
  <si>
    <t>Timeline </t>
  </si>
  <si>
    <t>Jorge Blanco</t>
  </si>
  <si>
    <t>The Postman </t>
  </si>
  <si>
    <t>Stuart Baird</t>
  </si>
  <si>
    <t>Babe: Pig in the City </t>
  </si>
  <si>
    <t>Joel Coen</t>
  </si>
  <si>
    <t>The Last Witch Hunter </t>
  </si>
  <si>
    <t>Harold Becker</t>
  </si>
  <si>
    <t>Red Planet </t>
  </si>
  <si>
    <t>Scott Stewart</t>
  </si>
  <si>
    <t>Arthur and the Invisibles </t>
  </si>
  <si>
    <t>Patrick Gilmore</t>
  </si>
  <si>
    <t>Documentary|Drama</t>
  </si>
  <si>
    <t>French</t>
  </si>
  <si>
    <t>Oceans </t>
  </si>
  <si>
    <t>Tony Bill</t>
  </si>
  <si>
    <t>A Sound of Thunder </t>
  </si>
  <si>
    <t>Rod Lurie</t>
  </si>
  <si>
    <t>Action|Adventure|Drama|History|Romance</t>
  </si>
  <si>
    <t>Pompeii </t>
  </si>
  <si>
    <t>Walter Hill</t>
  </si>
  <si>
    <t>A Beautiful Mind </t>
  </si>
  <si>
    <t>Akiva Goldsman</t>
  </si>
  <si>
    <t>Adventure|Animation|Drama|Family|Musical</t>
  </si>
  <si>
    <t>The Lion King </t>
  </si>
  <si>
    <t>Harald Zwart</t>
  </si>
  <si>
    <t>Journey 2: The Mysterious Island </t>
  </si>
  <si>
    <t>Walter Salles</t>
  </si>
  <si>
    <t>Animation|Comedy|Family|Fantasy|Sci-Fi</t>
  </si>
  <si>
    <t>Cloudy with a Chance of Meatballs 2 </t>
  </si>
  <si>
    <t>Iain Softley</t>
  </si>
  <si>
    <t>Red Dragon </t>
  </si>
  <si>
    <t>David Koepp</t>
  </si>
  <si>
    <t>Hidalgo </t>
  </si>
  <si>
    <t>Uwe Boll</t>
  </si>
  <si>
    <t>Jack and Jill </t>
  </si>
  <si>
    <t>John Dahl</t>
  </si>
  <si>
    <t>2 Fast 2 Furious </t>
  </si>
  <si>
    <t>Tim Miller</t>
  </si>
  <si>
    <t>Adventure|Animation|Drama|Family|Fantasy</t>
  </si>
  <si>
    <t>The Little Prince </t>
  </si>
  <si>
    <t>Stephen Herek</t>
  </si>
  <si>
    <t>Sci-Fi|Thriller</t>
  </si>
  <si>
    <t>The Invasion </t>
  </si>
  <si>
    <t>Peter MacDonald</t>
  </si>
  <si>
    <t>The Adventures of Rocky &amp; Bullwinkle </t>
  </si>
  <si>
    <t>Anthony Hemingway</t>
  </si>
  <si>
    <t>Animation|Comedy|Family</t>
  </si>
  <si>
    <t>Japan</t>
  </si>
  <si>
    <t>The Secret Life of Pets </t>
  </si>
  <si>
    <t>Sean Anders</t>
  </si>
  <si>
    <t>The League of Extraordinary Gentlemen </t>
  </si>
  <si>
    <t>Mark Neveldine</t>
  </si>
  <si>
    <t>Despicable Me 2 </t>
  </si>
  <si>
    <t>John Madden</t>
  </si>
  <si>
    <t>Independence Day </t>
  </si>
  <si>
    <t>Kevin Bray</t>
  </si>
  <si>
    <t>The Lost World: Jurassic Park </t>
  </si>
  <si>
    <t>Mike Gabriel</t>
  </si>
  <si>
    <t>Madagascar </t>
  </si>
  <si>
    <t>Sam Weisman</t>
  </si>
  <si>
    <t>Children of Men </t>
  </si>
  <si>
    <t>Jesse Dylan</t>
  </si>
  <si>
    <t>X-Men </t>
  </si>
  <si>
    <t>Wayne Wang</t>
  </si>
  <si>
    <t>Action|Crime|Fantasy|Thriller</t>
  </si>
  <si>
    <t>Wanted </t>
  </si>
  <si>
    <t>Gabriele Muccino</t>
  </si>
  <si>
    <t>The Rock </t>
  </si>
  <si>
    <t>Tom Dey</t>
  </si>
  <si>
    <t>Ice Age: The Meltdown </t>
  </si>
  <si>
    <t>Jimmy Hayward</t>
  </si>
  <si>
    <t>50 First Dates </t>
  </si>
  <si>
    <t>Alan Parker</t>
  </si>
  <si>
    <t>Comedy|Drama|Family|Music|Musical|Romance</t>
  </si>
  <si>
    <t>Hairspray </t>
  </si>
  <si>
    <t>John Frankenheimer</t>
  </si>
  <si>
    <t>Horror|Mystery|Thriller</t>
  </si>
  <si>
    <t>Exorcist: The Beginning </t>
  </si>
  <si>
    <t>Paul King</t>
  </si>
  <si>
    <t>Action|Adventure|Comedy|Family|Sci-Fi</t>
  </si>
  <si>
    <t>Inspector Gadget </t>
  </si>
  <si>
    <t>Akiva Schaffer</t>
  </si>
  <si>
    <t>Now You See Me </t>
  </si>
  <si>
    <t>William Friedkin</t>
  </si>
  <si>
    <t>Grown Ups </t>
  </si>
  <si>
    <t>Kent Alterman</t>
  </si>
  <si>
    <t>The Terminal </t>
  </si>
  <si>
    <t>Peter Lord</t>
  </si>
  <si>
    <t>Comedy|Family</t>
  </si>
  <si>
    <t>Hotel for Dogs </t>
  </si>
  <si>
    <t>Shekhar Kapur</t>
  </si>
  <si>
    <t>Vertical Limit </t>
  </si>
  <si>
    <t>Karyn Kusama</t>
  </si>
  <si>
    <t>Biography|Comedy|Drama|History</t>
  </si>
  <si>
    <t>Charlie Wilson's War </t>
  </si>
  <si>
    <t>Ron Maxwell</t>
  </si>
  <si>
    <t>Shark Tale </t>
  </si>
  <si>
    <t>Robert Butler</t>
  </si>
  <si>
    <t>Drama|Music|Musical</t>
  </si>
  <si>
    <t>Dreamgirls </t>
  </si>
  <si>
    <t>Karey Kirkpatrick</t>
  </si>
  <si>
    <t>Comedy|Crime|Music</t>
  </si>
  <si>
    <t>Be Cool </t>
  </si>
  <si>
    <t>Steve Antin</t>
  </si>
  <si>
    <t>Munich </t>
  </si>
  <si>
    <t>Francis Ford Coppola</t>
  </si>
  <si>
    <t>Tears of the Sun </t>
  </si>
  <si>
    <t>Richard Lester</t>
  </si>
  <si>
    <t>Action|Comedy|Romance|Thriller</t>
  </si>
  <si>
    <t>Killers </t>
  </si>
  <si>
    <t>Scott Cooper</t>
  </si>
  <si>
    <t>The Man from U.N.C.L.E. </t>
  </si>
  <si>
    <t>Robert Rodriguez</t>
  </si>
  <si>
    <t>Spanglish </t>
  </si>
  <si>
    <t>Curtis Hanson</t>
  </si>
  <si>
    <t>Animation|Comedy|Family|Fantasy|Mystery</t>
  </si>
  <si>
    <t>Monster House </t>
  </si>
  <si>
    <t>Phyllida Lloyd</t>
  </si>
  <si>
    <t>Comedy|Crime|Drama|Romance</t>
  </si>
  <si>
    <t>Bandits </t>
  </si>
  <si>
    <t>Jay Chandrasekhar</t>
  </si>
  <si>
    <t>Action|Adventure|Romance|Thriller</t>
  </si>
  <si>
    <t>First Knight </t>
  </si>
  <si>
    <t>Terrence Malick</t>
  </si>
  <si>
    <t>Drama|History|Romance</t>
  </si>
  <si>
    <t>Anna and the King </t>
  </si>
  <si>
    <t>David Dobkin</t>
  </si>
  <si>
    <t>Action|Drama|Fantasy|Romance</t>
  </si>
  <si>
    <t>Immortals </t>
  </si>
  <si>
    <t>Milos Forman</t>
  </si>
  <si>
    <t>Hostage </t>
  </si>
  <si>
    <t>Pierre Morel</t>
  </si>
  <si>
    <t>Action|Adventure|Animation|Family|Sci-Fi</t>
  </si>
  <si>
    <t>Titan A.E. </t>
  </si>
  <si>
    <t>Paul Hunter</t>
  </si>
  <si>
    <t>Hollywood Homicide </t>
  </si>
  <si>
    <t>Steve Oedekerk</t>
  </si>
  <si>
    <t>Action|Drama|Sci-Fi</t>
  </si>
  <si>
    <t>Soldier </t>
  </si>
  <si>
    <t>George Nolfi</t>
  </si>
  <si>
    <t>Animation|Comedy|Fantasy</t>
  </si>
  <si>
    <t>Monkeybone </t>
  </si>
  <si>
    <t>Neil Jordan</t>
  </si>
  <si>
    <t>Flight of the Phoenix </t>
  </si>
  <si>
    <t>Rawson Marshall Thurber</t>
  </si>
  <si>
    <t>Unbreakable </t>
  </si>
  <si>
    <t>Spike Lee</t>
  </si>
  <si>
    <t>Minions </t>
  </si>
  <si>
    <t>Brian Helgeland</t>
  </si>
  <si>
    <t>Action|Fantasy</t>
  </si>
  <si>
    <t>Sucker Punch </t>
  </si>
  <si>
    <t>Frank Marshall</t>
  </si>
  <si>
    <t>Snake Eyes </t>
  </si>
  <si>
    <t>Peter Hewitt</t>
  </si>
  <si>
    <t>Sphere </t>
  </si>
  <si>
    <t>Joe Roth</t>
  </si>
  <si>
    <t>Action|Animation|Comedy|Family</t>
  </si>
  <si>
    <t>The Angry Birds Movie </t>
  </si>
  <si>
    <t>Bennett Miller</t>
  </si>
  <si>
    <t>Action|Adventure|Comedy|Romance|Thriller</t>
  </si>
  <si>
    <t>Fool's Gold </t>
  </si>
  <si>
    <t>Jaume Collet-Serra</t>
  </si>
  <si>
    <t>Funny People </t>
  </si>
  <si>
    <t>Andy Fickman</t>
  </si>
  <si>
    <t>The Kingdom </t>
  </si>
  <si>
    <t>James McTeigue</t>
  </si>
  <si>
    <t>Action|Comedy|Sport</t>
  </si>
  <si>
    <t>Talladega Nights: The Ballad of Ricky Bobby </t>
  </si>
  <si>
    <t>Matthew O'Callaghan</t>
  </si>
  <si>
    <t>Dr. Dolittle 2 </t>
  </si>
  <si>
    <t>Angela Robinson</t>
  </si>
  <si>
    <t>Biography|Drama|History|War</t>
  </si>
  <si>
    <t>Braveheart </t>
  </si>
  <si>
    <t>Gary Fleder</t>
  </si>
  <si>
    <t>Jarhead </t>
  </si>
  <si>
    <t>Tommy Wirkola</t>
  </si>
  <si>
    <t>Adventure|Animation|Comedy</t>
  </si>
  <si>
    <t>The Simpsons Movie </t>
  </si>
  <si>
    <t>Adrian Lyne</t>
  </si>
  <si>
    <t>The Majestic </t>
  </si>
  <si>
    <t>Stephen Gaghan</t>
  </si>
  <si>
    <t>Action|Drama|Sport</t>
  </si>
  <si>
    <t>Driven </t>
  </si>
  <si>
    <t>Jorge R. Gutiérrez</t>
  </si>
  <si>
    <t>Adventure|Drama|Family</t>
  </si>
  <si>
    <t>Two Brothers </t>
  </si>
  <si>
    <t>Richard Loncraine</t>
  </si>
  <si>
    <t>Drama|Mystery|Romance|Thriller</t>
  </si>
  <si>
    <t>The Village </t>
  </si>
  <si>
    <t>Christophe Gans</t>
  </si>
  <si>
    <t>Doctor Dolittle </t>
  </si>
  <si>
    <t>Howard Deutch</t>
  </si>
  <si>
    <t>Signs </t>
  </si>
  <si>
    <t>Jon Hurwitz</t>
  </si>
  <si>
    <t>Adventure|Animation|Comedy|Family|Fantasy|Romance</t>
  </si>
  <si>
    <t>Shrek 2 </t>
  </si>
  <si>
    <t>Steven Quale</t>
  </si>
  <si>
    <t>Cars </t>
  </si>
  <si>
    <t>John Landis</t>
  </si>
  <si>
    <t>Runaway Bride </t>
  </si>
  <si>
    <t>Alexander Witt</t>
  </si>
  <si>
    <t>xXx </t>
  </si>
  <si>
    <t>Beeban Kidron</t>
  </si>
  <si>
    <t>The SpongeBob Movie: Sponge Out of Water </t>
  </si>
  <si>
    <t>Carl Franklin</t>
  </si>
  <si>
    <t>Ransom </t>
  </si>
  <si>
    <t>Steven Seagal</t>
  </si>
  <si>
    <t>Adventure|Drama|War</t>
  </si>
  <si>
    <t>Inglourious Basterds </t>
  </si>
  <si>
    <t>Danny Boyle</t>
  </si>
  <si>
    <t>Hook </t>
  </si>
  <si>
    <t>Andrew Bergman</t>
  </si>
  <si>
    <t>Die Hard 2 </t>
  </si>
  <si>
    <t>Barbet Schroeder</t>
  </si>
  <si>
    <t>Action|Adventure|Crime|Thriller</t>
  </si>
  <si>
    <t>S.W.A.T. </t>
  </si>
  <si>
    <t>Peter Webber</t>
  </si>
  <si>
    <t>Fantasy|Mystery|Romance|Sci-Fi|Thriller</t>
  </si>
  <si>
    <t>Vanilla Sky </t>
  </si>
  <si>
    <t>Andrew Niccol</t>
  </si>
  <si>
    <t>Drama|Fantasy|Mystery|Thriller</t>
  </si>
  <si>
    <t>Lady in the Water </t>
  </si>
  <si>
    <t>John Carpenter</t>
  </si>
  <si>
    <t>AVP: Alien vs. Predator </t>
  </si>
  <si>
    <t>Wes Anderson</t>
  </si>
  <si>
    <t>Animation|Comedy|Family|Fantasy|Music</t>
  </si>
  <si>
    <t>Alvin and the Chipmunks: The Squeakquel </t>
  </si>
  <si>
    <t>David Cronenberg</t>
  </si>
  <si>
    <t>We Were Soldiers </t>
  </si>
  <si>
    <t>John Stockwell</t>
  </si>
  <si>
    <t>Olympus Has Fallen </t>
  </si>
  <si>
    <t>David Gordon Green</t>
  </si>
  <si>
    <t>Star Trek: Insurrection </t>
  </si>
  <si>
    <t>Jim Sheridan</t>
  </si>
  <si>
    <t>Battle Los Angeles </t>
  </si>
  <si>
    <t>Costa-Gavras</t>
  </si>
  <si>
    <t>Big Fish </t>
  </si>
  <si>
    <t>Patrick Read Johnson</t>
  </si>
  <si>
    <t>Drama|Horror|Romance|Thriller</t>
  </si>
  <si>
    <t>Wolf </t>
  </si>
  <si>
    <t>Roland Joffé</t>
  </si>
  <si>
    <t>Drama|War</t>
  </si>
  <si>
    <t>War Horse </t>
  </si>
  <si>
    <t>Richard LaGravenese</t>
  </si>
  <si>
    <t>The Monuments Men </t>
  </si>
  <si>
    <t>Danny DeVito</t>
  </si>
  <si>
    <t>The Abyss </t>
  </si>
  <si>
    <t>George Armitage</t>
  </si>
  <si>
    <t>Wall Street: Money Never Sleeps </t>
  </si>
  <si>
    <t>Patrick Lussier</t>
  </si>
  <si>
    <t>Action|Drama|Fantasy|Horror|War</t>
  </si>
  <si>
    <t>Dracula Untold </t>
  </si>
  <si>
    <t>James Wong</t>
  </si>
  <si>
    <t>The Siege </t>
  </si>
  <si>
    <t>Olivier Megaton</t>
  </si>
  <si>
    <t>Adventure|Family|Fantasy|Romance</t>
  </si>
  <si>
    <t>Stardust </t>
  </si>
  <si>
    <t>Warren Beatty</t>
  </si>
  <si>
    <t>Adventure|Biography|Drama|History|War</t>
  </si>
  <si>
    <t>Seven Years in Tibet </t>
  </si>
  <si>
    <t>Penny Marshall</t>
  </si>
  <si>
    <t>The Dilemma </t>
  </si>
  <si>
    <t>Paul Bolger</t>
  </si>
  <si>
    <t>Bad Company </t>
  </si>
  <si>
    <t>Stephen Frears</t>
  </si>
  <si>
    <t>Action|Adventure|Horror|Sci-Fi</t>
  </si>
  <si>
    <t>Doom </t>
  </si>
  <si>
    <t>P.J. Hogan</t>
  </si>
  <si>
    <t>I Spy </t>
  </si>
  <si>
    <t>Brad Furman</t>
  </si>
  <si>
    <t>Action|Fantasy|Horror</t>
  </si>
  <si>
    <t>Underworld: Awakening </t>
  </si>
  <si>
    <t>David Zucker</t>
  </si>
  <si>
    <t>Comedy|Drama|Musical|Romance</t>
  </si>
  <si>
    <t>Rock of Ages </t>
  </si>
  <si>
    <t>Denis Villeneuve</t>
  </si>
  <si>
    <t>Hart's War </t>
  </si>
  <si>
    <t>Thomas Carter</t>
  </si>
  <si>
    <t>Killer Elite </t>
  </si>
  <si>
    <t>Roger Michell</t>
  </si>
  <si>
    <t>Action|Sci-Fi|Sport</t>
  </si>
  <si>
    <t>Rollerball </t>
  </si>
  <si>
    <t>Luis Llosa</t>
  </si>
  <si>
    <t>Ballistic: Ecks vs. Sever </t>
  </si>
  <si>
    <t>Richard Curtis</t>
  </si>
  <si>
    <t>Hard Rain </t>
  </si>
  <si>
    <t>Garth Jennings</t>
  </si>
  <si>
    <t>Action|Adventure|Animation|Comedy|Crime|Family|Fantasy</t>
  </si>
  <si>
    <t>Osmosis Jones </t>
  </si>
  <si>
    <t>Joel Zwick</t>
  </si>
  <si>
    <t>Adventure|Animation|Family|Fantasy|Musical</t>
  </si>
  <si>
    <t>Legends of Oz: Dorothy's Return </t>
  </si>
  <si>
    <t>Russell Mulcahy</t>
  </si>
  <si>
    <t>Blackhat </t>
  </si>
  <si>
    <t>David R. Ellis</t>
  </si>
  <si>
    <t>Sky Captain and the World of Tomorrow </t>
  </si>
  <si>
    <t>Peter Howitt</t>
  </si>
  <si>
    <t>Basic Instinct 2 </t>
  </si>
  <si>
    <t>John A. Davis</t>
  </si>
  <si>
    <t>Action|Crime|Mystery|Sci-Fi|Thriller</t>
  </si>
  <si>
    <t>Escape Plan </t>
  </si>
  <si>
    <t>David Lynch</t>
  </si>
  <si>
    <t>The Legend of Hercules </t>
  </si>
  <si>
    <t>Julie Taymor</t>
  </si>
  <si>
    <t>The Sum of All Fears </t>
  </si>
  <si>
    <t>Mathieu Kassovitz</t>
  </si>
  <si>
    <t>The Twilight Saga: Eclipse </t>
  </si>
  <si>
    <t>John Gray</t>
  </si>
  <si>
    <t>The Score </t>
  </si>
  <si>
    <t>John Schultz</t>
  </si>
  <si>
    <t>Despicable Me </t>
  </si>
  <si>
    <t>Sean Penn</t>
  </si>
  <si>
    <t>Action|Comedy|Crime|Drama|Thriller</t>
  </si>
  <si>
    <t>Money Train </t>
  </si>
  <si>
    <t>Susan Stroman</t>
  </si>
  <si>
    <t>Ted 2 </t>
  </si>
  <si>
    <t>Simon Wincer</t>
  </si>
  <si>
    <t>Adventure|Drama|History|Romance</t>
  </si>
  <si>
    <t>Spain</t>
  </si>
  <si>
    <t>Agora </t>
  </si>
  <si>
    <t>Billy Bob Thornton</t>
  </si>
  <si>
    <t>Mystery Men </t>
  </si>
  <si>
    <t>Danny Pang</t>
  </si>
  <si>
    <t>Hall Pass </t>
  </si>
  <si>
    <t>George P. Cosmatos</t>
  </si>
  <si>
    <t>Biography|Drama|Thriller</t>
  </si>
  <si>
    <t>The Insider </t>
  </si>
  <si>
    <t>Oliver Parker</t>
  </si>
  <si>
    <t>Body of Lies </t>
  </si>
  <si>
    <t>Ben Affleck</t>
  </si>
  <si>
    <t>Abraham Lincoln: Vampire Hunter </t>
  </si>
  <si>
    <t>Brian Gibson</t>
  </si>
  <si>
    <t>Entrapment </t>
  </si>
  <si>
    <t>Norman Ferguson</t>
  </si>
  <si>
    <t>The X Files </t>
  </si>
  <si>
    <t>Michael Cimino</t>
  </si>
  <si>
    <t>Action|Adventure|Fantasy|War</t>
  </si>
  <si>
    <t>The Last Legion </t>
  </si>
  <si>
    <t>Paul McGuigan</t>
  </si>
  <si>
    <t>Saving Private Ryan </t>
  </si>
  <si>
    <t>Gus Van Sant</t>
  </si>
  <si>
    <t>Need for Speed </t>
  </si>
  <si>
    <t>Roger Kumble</t>
  </si>
  <si>
    <t>Comedy|Fantasy|Romance</t>
  </si>
  <si>
    <t>What Women Want </t>
  </si>
  <si>
    <t>Burr Steers</t>
  </si>
  <si>
    <t>Ice Age </t>
  </si>
  <si>
    <t>John Hamburg</t>
  </si>
  <si>
    <t>Drama|Horror|Sci-Fi|Thriller</t>
  </si>
  <si>
    <t>Dreamcatcher </t>
  </si>
  <si>
    <t>Reginald Hudlin</t>
  </si>
  <si>
    <t>Lincoln </t>
  </si>
  <si>
    <t>Joseph L. Mankiewicz</t>
  </si>
  <si>
    <t>The Matrix </t>
  </si>
  <si>
    <t>Barbra Streisand</t>
  </si>
  <si>
    <t>Adventure|Drama|History</t>
  </si>
  <si>
    <t>Apollo 13 </t>
  </si>
  <si>
    <t>Mark Pellington</t>
  </si>
  <si>
    <t>The Santa Clause 2 </t>
  </si>
  <si>
    <t>John Glen</t>
  </si>
  <si>
    <t>Les Misérables </t>
  </si>
  <si>
    <t>Catherine Hardwicke</t>
  </si>
  <si>
    <t>You've Got Mail </t>
  </si>
  <si>
    <t>John Herzfeld</t>
  </si>
  <si>
    <t>Step Brothers </t>
  </si>
  <si>
    <t>Annabel Jankel</t>
  </si>
  <si>
    <t>Action|Adventure|Comedy|Romance|Thriller|Western</t>
  </si>
  <si>
    <t>The Mask of Zorro </t>
  </si>
  <si>
    <t>Julie Anne Robinson</t>
  </si>
  <si>
    <t>Due Date </t>
  </si>
  <si>
    <t>Evan Goldberg</t>
  </si>
  <si>
    <t>Biography|Drama|Sport|War</t>
  </si>
  <si>
    <t>Unbroken </t>
  </si>
  <si>
    <t>Sngmoo Lee</t>
  </si>
  <si>
    <t>Space Cowboys </t>
  </si>
  <si>
    <t>Gordon Chan</t>
  </si>
  <si>
    <t>Cliffhanger </t>
  </si>
  <si>
    <t>Asger Leth</t>
  </si>
  <si>
    <t>Broken Arrow </t>
  </si>
  <si>
    <t>John G. Avildsen</t>
  </si>
  <si>
    <t>The Kid </t>
  </si>
  <si>
    <t>Anne Fletcher</t>
  </si>
  <si>
    <t>World Trade Center </t>
  </si>
  <si>
    <t>Bruce Beresford</t>
  </si>
  <si>
    <t>Mona Lisa Smile </t>
  </si>
  <si>
    <t>Sam Taylor-Johnson</t>
  </si>
  <si>
    <t>The Dictator </t>
  </si>
  <si>
    <t>Ken Kwapis</t>
  </si>
  <si>
    <t>Eyes Wide Shut </t>
  </si>
  <si>
    <t>Wes Craven</t>
  </si>
  <si>
    <t>Comedy|Drama|Family|Musical</t>
  </si>
  <si>
    <t>Annie </t>
  </si>
  <si>
    <t>Etan Cohen</t>
  </si>
  <si>
    <t>Focus </t>
  </si>
  <si>
    <t>John Whitesell</t>
  </si>
  <si>
    <t>This Means War </t>
  </si>
  <si>
    <t>Nick Cassavetes</t>
  </si>
  <si>
    <t>Action|Adventure|Fantasy|Horror|Sci-Fi|Thriller</t>
  </si>
  <si>
    <t>Blade: Trinity </t>
  </si>
  <si>
    <t>Mark A.Z. Dippé</t>
  </si>
  <si>
    <t>Primary Colors </t>
  </si>
  <si>
    <t>Cal Brunker</t>
  </si>
  <si>
    <t>Resident Evil: Retribution </t>
  </si>
  <si>
    <t>Nimród Antal</t>
  </si>
  <si>
    <t>Death Race </t>
  </si>
  <si>
    <t>Alejandro Agresti</t>
  </si>
  <si>
    <t>The Long Kiss Goodnight </t>
  </si>
  <si>
    <t>Peter Hedges</t>
  </si>
  <si>
    <t>Proof of Life </t>
  </si>
  <si>
    <t>Paul Weiland</t>
  </si>
  <si>
    <t>Zathura: A Space Adventure </t>
  </si>
  <si>
    <t>Colin Strause</t>
  </si>
  <si>
    <t>Fight Club </t>
  </si>
  <si>
    <t>Joan Chen</t>
  </si>
  <si>
    <t>Drama|Sport</t>
  </si>
  <si>
    <t>We Are Marshall </t>
  </si>
  <si>
    <t>Greg Mottola</t>
  </si>
  <si>
    <t>Hudson Hawk </t>
  </si>
  <si>
    <t>Jake Kasdan</t>
  </si>
  <si>
    <t>Lucky Numbers </t>
  </si>
  <si>
    <t>Diane Keaton</t>
  </si>
  <si>
    <t>Action|Fantasy|Sci-Fi|Thriller</t>
  </si>
  <si>
    <t>I, Frankenstein </t>
  </si>
  <si>
    <t>Kelly Makin</t>
  </si>
  <si>
    <t>Oliver Twist </t>
  </si>
  <si>
    <t>Stephen Daldry</t>
  </si>
  <si>
    <t>Elektra </t>
  </si>
  <si>
    <t>Christian Duguay</t>
  </si>
  <si>
    <t>Sin City: A Dame to Kill For </t>
  </si>
  <si>
    <t>Justin Chadwick</t>
  </si>
  <si>
    <t>Drama|Mystery|Romance</t>
  </si>
  <si>
    <t>Random Hearts </t>
  </si>
  <si>
    <t>Pat O'Connor</t>
  </si>
  <si>
    <t>Adventure|Biography|Drama|History|Sport|Thriller</t>
  </si>
  <si>
    <t>Everest </t>
  </si>
  <si>
    <t>Frederik Du Chau</t>
  </si>
  <si>
    <t>Crime|Drama|Fantasy</t>
  </si>
  <si>
    <t>Perfume: The Story of a Murderer </t>
  </si>
  <si>
    <t>Irwin Winkler</t>
  </si>
  <si>
    <t>Austin Powers in Goldmember </t>
  </si>
  <si>
    <t>Joseph Kahn</t>
  </si>
  <si>
    <t>Hong Kong</t>
  </si>
  <si>
    <t>Astro Boy </t>
  </si>
  <si>
    <t>Sofia Coppola</t>
  </si>
  <si>
    <t>Jurassic Park </t>
  </si>
  <si>
    <t>Stephen Kay</t>
  </si>
  <si>
    <t>Adventure|Biography|Crime|Drama|Western</t>
  </si>
  <si>
    <t>Wyatt Earp </t>
  </si>
  <si>
    <t>J.A. Bayona</t>
  </si>
  <si>
    <t>Clear and Present Danger </t>
  </si>
  <si>
    <t>Elaine May</t>
  </si>
  <si>
    <t>Dragon Blade </t>
  </si>
  <si>
    <t>Dennie Gordon</t>
  </si>
  <si>
    <t>Littleman </t>
  </si>
  <si>
    <t>Charles Shyer</t>
  </si>
  <si>
    <t>Action|War</t>
  </si>
  <si>
    <t>U-571 </t>
  </si>
  <si>
    <t>Ulu Grosbard</t>
  </si>
  <si>
    <t>The American President </t>
  </si>
  <si>
    <t>William Malone</t>
  </si>
  <si>
    <t>Comedy|Romance|Sport</t>
  </si>
  <si>
    <t>The Love Guru </t>
  </si>
  <si>
    <t>Jerry Jameson</t>
  </si>
  <si>
    <t>3000 Miles to Graceland </t>
  </si>
  <si>
    <t>Mic Rodgers</t>
  </si>
  <si>
    <t>Crime|Drama|Mystery|Thriller|Western</t>
  </si>
  <si>
    <t>The Hateful Eight </t>
  </si>
  <si>
    <t>Christian Alvart</t>
  </si>
  <si>
    <t>Comedy|Sport</t>
  </si>
  <si>
    <t>Blades of Glory </t>
  </si>
  <si>
    <t>Jean-Marie Poiré</t>
  </si>
  <si>
    <t>Hop </t>
  </si>
  <si>
    <t>Marc F. Adler</t>
  </si>
  <si>
    <t>300 </t>
  </si>
  <si>
    <t>Geoffrey Sax</t>
  </si>
  <si>
    <t>Meet the Fockers </t>
  </si>
  <si>
    <t>Richard Shepard</t>
  </si>
  <si>
    <t>Comedy|Drama|Family</t>
  </si>
  <si>
    <t>Marley &amp; Me </t>
  </si>
  <si>
    <t>Peter Ho-Sun Chan</t>
  </si>
  <si>
    <t>Crime|Drama|Fantasy|Mystery</t>
  </si>
  <si>
    <t>The Green Mile </t>
  </si>
  <si>
    <t>Joon-ho Bong</t>
  </si>
  <si>
    <t>Chicken Little </t>
  </si>
  <si>
    <t>S.S. Rajamouli</t>
  </si>
  <si>
    <t>Gone Girl </t>
  </si>
  <si>
    <t>Charles S. Dutton</t>
  </si>
  <si>
    <t>The Bourne Identity </t>
  </si>
  <si>
    <t>Jonathan Lynn</t>
  </si>
  <si>
    <t>GoldenEye </t>
  </si>
  <si>
    <t>David Carson</t>
  </si>
  <si>
    <t>The General's Daughter </t>
  </si>
  <si>
    <t>Kar-Wai Wong</t>
  </si>
  <si>
    <t>The Truman Show </t>
  </si>
  <si>
    <t>Norman Jewison</t>
  </si>
  <si>
    <t>Adventure|Animation|Biography|Drama|Family|Fantasy|Musical</t>
  </si>
  <si>
    <t>The Prince of Egypt </t>
  </si>
  <si>
    <t>David Mirkin</t>
  </si>
  <si>
    <t>Daddy Day Care </t>
  </si>
  <si>
    <t>Luis Mandoki</t>
  </si>
  <si>
    <t>2 Guns </t>
  </si>
  <si>
    <t>Lee Daniels</t>
  </si>
  <si>
    <t>Cats &amp; Dogs </t>
  </si>
  <si>
    <t>Jeb Stuart</t>
  </si>
  <si>
    <t>The Italian Job </t>
  </si>
  <si>
    <t>Steve Miner</t>
  </si>
  <si>
    <t>Two Weeks Notice </t>
  </si>
  <si>
    <t>Paul Thomas Anderson</t>
  </si>
  <si>
    <t>Antz </t>
  </si>
  <si>
    <t>J Blakeson</t>
  </si>
  <si>
    <t>Couples Retreat </t>
  </si>
  <si>
    <t>Ryan Coogler</t>
  </si>
  <si>
    <t>Days of Thunder </t>
  </si>
  <si>
    <t>Kirk Jones</t>
  </si>
  <si>
    <t>Cheaper by the Dozen 2 </t>
  </si>
  <si>
    <t>Ethan Coen</t>
  </si>
  <si>
    <t>The Scorch Trials </t>
  </si>
  <si>
    <t>Jennifer Flackett</t>
  </si>
  <si>
    <t>Eat Pray Love </t>
  </si>
  <si>
    <t>Kevin Smith</t>
  </si>
  <si>
    <t>The Family Man </t>
  </si>
  <si>
    <t>Christian Ditter</t>
  </si>
  <si>
    <t>RED </t>
  </si>
  <si>
    <t>Charles Martin Smith</t>
  </si>
  <si>
    <t>Any Given Sunday </t>
  </si>
  <si>
    <t>Irvin Kershner</t>
  </si>
  <si>
    <t>Drama|Romance|Western</t>
  </si>
  <si>
    <t>The Horse Whisperer </t>
  </si>
  <si>
    <t>Steve Pink</t>
  </si>
  <si>
    <t>Collateral </t>
  </si>
  <si>
    <t>Scott Hicks</t>
  </si>
  <si>
    <t>The Scorpion King </t>
  </si>
  <si>
    <t>Chris Rock</t>
  </si>
  <si>
    <t>Ladder 49 </t>
  </si>
  <si>
    <t>Wilson Yip</t>
  </si>
  <si>
    <t>Jack Reacher </t>
  </si>
  <si>
    <t>Robert Wise</t>
  </si>
  <si>
    <t>Deep Blue Sea </t>
  </si>
  <si>
    <t>Kevin Rodney Sullivan</t>
  </si>
  <si>
    <t>Documentary|Music</t>
  </si>
  <si>
    <t>This Is It </t>
  </si>
  <si>
    <t>Kevin Munroe</t>
  </si>
  <si>
    <t>Drama|Thriller</t>
  </si>
  <si>
    <t>Contagion </t>
  </si>
  <si>
    <t>Michael Tollin</t>
  </si>
  <si>
    <t>Kangaroo Jack </t>
  </si>
  <si>
    <t>Nicholas Stoller</t>
  </si>
  <si>
    <t>Animation|Family|Fantasy</t>
  </si>
  <si>
    <t>Coraline </t>
  </si>
  <si>
    <t>Patrick Tatopoulos</t>
  </si>
  <si>
    <t>The Happening </t>
  </si>
  <si>
    <t>Gary David Goldberg</t>
  </si>
  <si>
    <t>Man on Fire </t>
  </si>
  <si>
    <t>Tobe Hooper</t>
  </si>
  <si>
    <t>The Shaggy Dog </t>
  </si>
  <si>
    <t>Alan Poul</t>
  </si>
  <si>
    <t>Starsky &amp; Hutch </t>
  </si>
  <si>
    <t>Luke Greenfield</t>
  </si>
  <si>
    <t>Jingle All the Way </t>
  </si>
  <si>
    <t>Gil Junger</t>
  </si>
  <si>
    <t>Action|Fantasy|Horror|Sci-Fi</t>
  </si>
  <si>
    <t>Hellboy </t>
  </si>
  <si>
    <t>Steven E. de Souza</t>
  </si>
  <si>
    <t>A Civil Action </t>
  </si>
  <si>
    <t>Alexandre Aja</t>
  </si>
  <si>
    <t>ParaNorman </t>
  </si>
  <si>
    <t>Michael Rymer</t>
  </si>
  <si>
    <t>The Jackal </t>
  </si>
  <si>
    <t>Hugh Wilson</t>
  </si>
  <si>
    <t>Paycheck </t>
  </si>
  <si>
    <t>Susanna White</t>
  </si>
  <si>
    <t>Up Close &amp; Personal </t>
  </si>
  <si>
    <t>Chris Carter</t>
  </si>
  <si>
    <t>The Tale of Despereaux </t>
  </si>
  <si>
    <t>Tommy O'Haver</t>
  </si>
  <si>
    <t>The Tuxedo </t>
  </si>
  <si>
    <t>Peter Landesman</t>
  </si>
  <si>
    <t>Under Siege 2: Dark Territory </t>
  </si>
  <si>
    <t>Gary Chapman</t>
  </si>
  <si>
    <t>Jack Ryan: Shadow Recruit </t>
  </si>
  <si>
    <t>Craig Mazin</t>
  </si>
  <si>
    <t>Biography|Comedy|Drama</t>
  </si>
  <si>
    <t>Joy </t>
  </si>
  <si>
    <t>Allen Hughes</t>
  </si>
  <si>
    <t>London Has Fallen </t>
  </si>
  <si>
    <t>Lasse Hallström</t>
  </si>
  <si>
    <t>Action|Horror|Sci-Fi</t>
  </si>
  <si>
    <t>Alien: Resurrection </t>
  </si>
  <si>
    <t>Jean-Marc Vallée</t>
  </si>
  <si>
    <t>Shooter </t>
  </si>
  <si>
    <t>Hark Tsui</t>
  </si>
  <si>
    <t>The Boxtrolls </t>
  </si>
  <si>
    <t>Lexi Alexander</t>
  </si>
  <si>
    <t>Practical Magic </t>
  </si>
  <si>
    <t>Ronny Yu</t>
  </si>
  <si>
    <t>The Lego Movie </t>
  </si>
  <si>
    <t>Bille August</t>
  </si>
  <si>
    <t>Miss Congeniality 2: Armed and Fabulous </t>
  </si>
  <si>
    <t>Ken Scott</t>
  </si>
  <si>
    <t>Reign of Fire </t>
  </si>
  <si>
    <t>Hugh Johnson</t>
  </si>
  <si>
    <t>Gangster Squad </t>
  </si>
  <si>
    <t>Hayao Miyazaki</t>
  </si>
  <si>
    <t>Adventure|Comedy</t>
  </si>
  <si>
    <t>Year One </t>
  </si>
  <si>
    <t>George Tillman Jr.</t>
  </si>
  <si>
    <t>Biography|Drama|History|Sport</t>
  </si>
  <si>
    <t>Invictus </t>
  </si>
  <si>
    <t>Rand Ravich</t>
  </si>
  <si>
    <t>Comedy|Crime|Romance|Thriller</t>
  </si>
  <si>
    <t>Duplicity </t>
  </si>
  <si>
    <t>Hugh Hudson</t>
  </si>
  <si>
    <t>My Favorite Martian </t>
  </si>
  <si>
    <t>Jeremy Degruson</t>
  </si>
  <si>
    <t>The Sentinel </t>
  </si>
  <si>
    <t>Chris Gorak</t>
  </si>
  <si>
    <t>Planet 51 </t>
  </si>
  <si>
    <t>Scott Speer</t>
  </si>
  <si>
    <t>Star Trek: Nemesis </t>
  </si>
  <si>
    <t>Joe Charbanic</t>
  </si>
  <si>
    <t>Comedy|Crime|Romance</t>
  </si>
  <si>
    <t>Intolerable Cruelty </t>
  </si>
  <si>
    <t>Jonathan Hensleigh</t>
  </si>
  <si>
    <t>Edge of Darkness </t>
  </si>
  <si>
    <t>Danny Cannon</t>
  </si>
  <si>
    <t>Horror|Mystery|Sci-Fi|Thriller</t>
  </si>
  <si>
    <t>The Relic </t>
  </si>
  <si>
    <t>Boaz Yakin</t>
  </si>
  <si>
    <t>Analyze That </t>
  </si>
  <si>
    <t>Richard Marquand</t>
  </si>
  <si>
    <t>Righteous Kill </t>
  </si>
  <si>
    <t>Neil Marshall</t>
  </si>
  <si>
    <t>Mercury Rising </t>
  </si>
  <si>
    <t>Jared Hess</t>
  </si>
  <si>
    <t>Biography|Drama|Music</t>
  </si>
  <si>
    <t>The Soloist </t>
  </si>
  <si>
    <t>Rupert Wainwright</t>
  </si>
  <si>
    <t>Drama|Fantasy|Sport</t>
  </si>
  <si>
    <t>The Legend of Bagger Vance </t>
  </si>
  <si>
    <t>John Luessenhop</t>
  </si>
  <si>
    <t>Adventure|Comedy|Drama|Music</t>
  </si>
  <si>
    <t>Almost Famous </t>
  </si>
  <si>
    <t>Justin Zackham</t>
  </si>
  <si>
    <t>xXx: State of the Union </t>
  </si>
  <si>
    <t>John Gatins</t>
  </si>
  <si>
    <t>Action|Fantasy|Horror|Sci-Fi|Thriller</t>
  </si>
  <si>
    <t>Priest </t>
  </si>
  <si>
    <t>Miguel Sapochnik</t>
  </si>
  <si>
    <t>Adventure|Animation|Comedy|Drama|Family|Fantasy|Romance</t>
  </si>
  <si>
    <t>Sinbad: Legend of the Seven Seas </t>
  </si>
  <si>
    <t>Hyung-rae Shim</t>
  </si>
  <si>
    <t>Horror|Sci-Fi|Thriller</t>
  </si>
  <si>
    <t>Event Horizon </t>
  </si>
  <si>
    <t>Don Scardino</t>
  </si>
  <si>
    <t>Drama|Fantasy|Mystery|Romance|Thriller</t>
  </si>
  <si>
    <t>Dragonfly </t>
  </si>
  <si>
    <t>Tim Robbins</t>
  </si>
  <si>
    <t>The Black Dahlia </t>
  </si>
  <si>
    <t>Nanette Burstein</t>
  </si>
  <si>
    <t>Action|Adventure|Drama|History|Romance|War</t>
  </si>
  <si>
    <t>Flyboys </t>
  </si>
  <si>
    <t>Ariel Vromen</t>
  </si>
  <si>
    <t>The Last Castle </t>
  </si>
  <si>
    <t>Lewis Gilbert</t>
  </si>
  <si>
    <t>Supernova </t>
  </si>
  <si>
    <t>John Francis Daley</t>
  </si>
  <si>
    <t>Drama|Fantasy|Mystery|Romance</t>
  </si>
  <si>
    <t>Winter's Tale </t>
  </si>
  <si>
    <t>J.B. Rogers</t>
  </si>
  <si>
    <t>Fantasy|Horror|Mystery|Romance</t>
  </si>
  <si>
    <t>The Mortal Instruments: City of Bones </t>
  </si>
  <si>
    <t>Michael Sucsy</t>
  </si>
  <si>
    <t>Adventure|Comedy|Family|Romance|Sci-Fi</t>
  </si>
  <si>
    <t>Meet Dave </t>
  </si>
  <si>
    <t>Tom Vaughan</t>
  </si>
  <si>
    <t>Drama|Horror|Thriller</t>
  </si>
  <si>
    <t>Dark Water </t>
  </si>
  <si>
    <t>Stephen Hillenburg</t>
  </si>
  <si>
    <t>Edtv </t>
  </si>
  <si>
    <t>Stig Bergqvist</t>
  </si>
  <si>
    <t>Inkheart </t>
  </si>
  <si>
    <t>Jason Reitman</t>
  </si>
  <si>
    <t>The Spirit </t>
  </si>
  <si>
    <t>Alexander Payne</t>
  </si>
  <si>
    <t>Action|Comedy|Mystery|Romance</t>
  </si>
  <si>
    <t>Mortdecai </t>
  </si>
  <si>
    <t>Jonathan Levine</t>
  </si>
  <si>
    <t>In the Name of the King: A Dungeon Siege Tale </t>
  </si>
  <si>
    <t>Rian Johnson</t>
  </si>
  <si>
    <t>Beyond Borders </t>
  </si>
  <si>
    <t>Chris Noonan</t>
  </si>
  <si>
    <t>Filipino</t>
  </si>
  <si>
    <t>The Great Raid </t>
  </si>
  <si>
    <t>Michael McCullers</t>
  </si>
  <si>
    <t>Action|Adventure|Comedy|Romance|Sci-Fi</t>
  </si>
  <si>
    <t>Deadpool </t>
  </si>
  <si>
    <t>Forest Whitaker</t>
  </si>
  <si>
    <t>Holy Man </t>
  </si>
  <si>
    <t>Gary Winick</t>
  </si>
  <si>
    <t>Action|Biography|Drama|History|Thriller|War</t>
  </si>
  <si>
    <t>American Sniper </t>
  </si>
  <si>
    <t>Woody Allen</t>
  </si>
  <si>
    <t>Adventure|Comedy|Family|Fantasy|Horror</t>
  </si>
  <si>
    <t>Goosebumps </t>
  </si>
  <si>
    <t>Peter Lepeniotis</t>
  </si>
  <si>
    <t>Just Like Heaven </t>
  </si>
  <si>
    <t>Ted Demme</t>
  </si>
  <si>
    <t>Comedy|Family|Romance|Sci-Fi</t>
  </si>
  <si>
    <t>The Flintstones in Viva Rock Vegas </t>
  </si>
  <si>
    <t>William Shatner</t>
  </si>
  <si>
    <t>Action|Adventure|Thriller|War</t>
  </si>
  <si>
    <t>Rambo III </t>
  </si>
  <si>
    <t>Steve Box</t>
  </si>
  <si>
    <t>Comedy|Drama|Romance|Sport</t>
  </si>
  <si>
    <t>Leatherheads </t>
  </si>
  <si>
    <t>Lee Toland Krieger</t>
  </si>
  <si>
    <t>Did You Hear About the Morgans? </t>
  </si>
  <si>
    <t>Tim McCanlies</t>
  </si>
  <si>
    <t>The Internship </t>
  </si>
  <si>
    <t>Drew Goddard</t>
  </si>
  <si>
    <t>Resident Evil: Afterlife </t>
  </si>
  <si>
    <t>Jason Friedberg</t>
  </si>
  <si>
    <t>Red Tails </t>
  </si>
  <si>
    <t>Paul Michael Glaser</t>
  </si>
  <si>
    <t>The Devil's Advocate </t>
  </si>
  <si>
    <t>John R. Leonetti</t>
  </si>
  <si>
    <t>That's My Boy </t>
  </si>
  <si>
    <t>Tom Hanks</t>
  </si>
  <si>
    <t>DragonHeart </t>
  </si>
  <si>
    <t>Kimberly Peirce</t>
  </si>
  <si>
    <t>Action|Comedy|Crime|Drama</t>
  </si>
  <si>
    <t>After the Sunset </t>
  </si>
  <si>
    <t>Liz Friedlander</t>
  </si>
  <si>
    <t>Ghost Rider: Spirit of Vengeance </t>
  </si>
  <si>
    <t>Phil Joanou</t>
  </si>
  <si>
    <t>Drama|Music|Romance|War</t>
  </si>
  <si>
    <t>Captain Corelli's Mandolin </t>
  </si>
  <si>
    <t>Shane Acker</t>
  </si>
  <si>
    <t>Action|Comedy|Drama|Family|Thriller</t>
  </si>
  <si>
    <t>The Pacifier </t>
  </si>
  <si>
    <t>Stephen J. Anderson</t>
  </si>
  <si>
    <t>Action|Crime</t>
  </si>
  <si>
    <t>Walking Tall </t>
  </si>
  <si>
    <t>Troy Miller</t>
  </si>
  <si>
    <t>Forrest Gump </t>
  </si>
  <si>
    <t>Tate Taylor</t>
  </si>
  <si>
    <t>Alvin and the Chipmunks </t>
  </si>
  <si>
    <t>Brett Leonard</t>
  </si>
  <si>
    <t>Meet the Parents </t>
  </si>
  <si>
    <t>Alister Grierson</t>
  </si>
  <si>
    <t>Adventure|Animation|Drama|Family|History|Musical|Romance</t>
  </si>
  <si>
    <t>Pocahontas </t>
  </si>
  <si>
    <t>Nick Hurran</t>
  </si>
  <si>
    <t>Action|Adventure|Drama|Romance|Sci-Fi</t>
  </si>
  <si>
    <t>Superman </t>
  </si>
  <si>
    <t>Charles Stone III</t>
  </si>
  <si>
    <t>The Nutty Professor </t>
  </si>
  <si>
    <t>Paul Haggis</t>
  </si>
  <si>
    <t>Hitch </t>
  </si>
  <si>
    <t>Kurt Wimmer</t>
  </si>
  <si>
    <t>Action|Adventure|Comedy|Family|Romance</t>
  </si>
  <si>
    <t>George of the Jungle </t>
  </si>
  <si>
    <t>Jean-François Richet</t>
  </si>
  <si>
    <t>American Wedding </t>
  </si>
  <si>
    <t>Kevin Hooks</t>
  </si>
  <si>
    <t>Captain Phillips </t>
  </si>
  <si>
    <t>Ellory Elkayem</t>
  </si>
  <si>
    <t>Date Night </t>
  </si>
  <si>
    <t>Niki Caro</t>
  </si>
  <si>
    <t>Casper </t>
  </si>
  <si>
    <t>Vincenzo Natali</t>
  </si>
  <si>
    <t>The Equalizer </t>
  </si>
  <si>
    <t>Willard Huyck</t>
  </si>
  <si>
    <t>Maid in Manhattan </t>
  </si>
  <si>
    <t>Gavin O'Connor</t>
  </si>
  <si>
    <t>Crimson Tide </t>
  </si>
  <si>
    <t>Bruce Hunt</t>
  </si>
  <si>
    <t>The Pursuit of Happyness </t>
  </si>
  <si>
    <t>Craig Gillespie</t>
  </si>
  <si>
    <t>Flightplan </t>
  </si>
  <si>
    <t>Chris Roberts</t>
  </si>
  <si>
    <t>Disclosure </t>
  </si>
  <si>
    <t>Jee-woon Kim</t>
  </si>
  <si>
    <t>City of Angels </t>
  </si>
  <si>
    <t>Nick Hamm</t>
  </si>
  <si>
    <t>Kill Bill: Vol. 1 </t>
  </si>
  <si>
    <t>Andy Cadiff</t>
  </si>
  <si>
    <t>Bowfinger </t>
  </si>
  <si>
    <t>Mike Disa</t>
  </si>
  <si>
    <t>Kill Bill: Vol. 2 </t>
  </si>
  <si>
    <t>Sergio Leone</t>
  </si>
  <si>
    <t>Tango &amp; Cash </t>
  </si>
  <si>
    <t>Niels Arden Oplev</t>
  </si>
  <si>
    <t>Death Becomes Her </t>
  </si>
  <si>
    <t>Michael Radford</t>
  </si>
  <si>
    <t>Action|Adventure|Comedy|Western</t>
  </si>
  <si>
    <t>Shanghai Noon </t>
  </si>
  <si>
    <t>Kaige Chen</t>
  </si>
  <si>
    <t>Executive Decision </t>
  </si>
  <si>
    <t>Corey Yuen</t>
  </si>
  <si>
    <t>Mr. Popper's Penguins </t>
  </si>
  <si>
    <t>Andrew Dominik</t>
  </si>
  <si>
    <t>The Forbidden Kingdom </t>
  </si>
  <si>
    <t>Li Zhang</t>
  </si>
  <si>
    <t>Free Birds </t>
  </si>
  <si>
    <t>Elizabeth Banks</t>
  </si>
  <si>
    <t>Alien 3 </t>
  </si>
  <si>
    <t>Edward Norton</t>
  </si>
  <si>
    <t>Biography|Drama|History|Musical</t>
  </si>
  <si>
    <t>Evita </t>
  </si>
  <si>
    <t>Ben Falcone</t>
  </si>
  <si>
    <t>Ronin </t>
  </si>
  <si>
    <t>Richard Attenborough</t>
  </si>
  <si>
    <t>Adventure|Drama|Horror|Thriller</t>
  </si>
  <si>
    <t>The Ghost and the Darkness </t>
  </si>
  <si>
    <t>Don Mancini</t>
  </si>
  <si>
    <t>Paddington </t>
  </si>
  <si>
    <t>John Maybury</t>
  </si>
  <si>
    <t>The Watch </t>
  </si>
  <si>
    <t>Igor Kovalyov</t>
  </si>
  <si>
    <t>The Hunted </t>
  </si>
  <si>
    <t>David Wain</t>
  </si>
  <si>
    <t>Instinct </t>
  </si>
  <si>
    <t>Miguel Arteta</t>
  </si>
  <si>
    <t>Stuck on You </t>
  </si>
  <si>
    <t>James Gray</t>
  </si>
  <si>
    <t>Semi-Pro </t>
  </si>
  <si>
    <t>Janusz Kaminski</t>
  </si>
  <si>
    <t>The Pirates! Band of Misfits </t>
  </si>
  <si>
    <t>Michael Ritchie</t>
  </si>
  <si>
    <t>Changeling </t>
  </si>
  <si>
    <t>Robert B. Weide</t>
  </si>
  <si>
    <t>Chain Reaction </t>
  </si>
  <si>
    <t>Jeff Wadlow</t>
  </si>
  <si>
    <t>Action|Drama|Sport|Thriller</t>
  </si>
  <si>
    <t>The Fan </t>
  </si>
  <si>
    <t>Camille Delamarre</t>
  </si>
  <si>
    <t>Drama|Musical|Romance|Thriller</t>
  </si>
  <si>
    <t>The Phantom of the Opera </t>
  </si>
  <si>
    <t>Malcolm D. Lee</t>
  </si>
  <si>
    <t>Elizabeth: The Golden Age </t>
  </si>
  <si>
    <t>David Lean</t>
  </si>
  <si>
    <t>Æon Flux </t>
  </si>
  <si>
    <t>Richard Eyre</t>
  </si>
  <si>
    <t>Gods and Generals </t>
  </si>
  <si>
    <t>Nicholas Meyer</t>
  </si>
  <si>
    <t>Turbulence </t>
  </si>
  <si>
    <t>Callie Khouri</t>
  </si>
  <si>
    <t>Comedy|Drama|Family|Fantasy</t>
  </si>
  <si>
    <t>Imagine That </t>
  </si>
  <si>
    <t>Todd Graff</t>
  </si>
  <si>
    <t>Adventure|Comedy|Crime|Family|Musical</t>
  </si>
  <si>
    <t>Muppets Most Wanted </t>
  </si>
  <si>
    <t>Philip Kaufman</t>
  </si>
  <si>
    <t>Thunderbirds </t>
  </si>
  <si>
    <t>Saul Dibb</t>
  </si>
  <si>
    <t>Drama|Music|Musical|Romance</t>
  </si>
  <si>
    <t>Burlesque </t>
  </si>
  <si>
    <t>Richard Linklater</t>
  </si>
  <si>
    <t>Drama|Mystery|Romance|War</t>
  </si>
  <si>
    <t>A Very Long Engagement </t>
  </si>
  <si>
    <t>E. Elias Merhige</t>
  </si>
  <si>
    <t>Blade II </t>
  </si>
  <si>
    <t>Menno Meyjes</t>
  </si>
  <si>
    <t>Seven Pounds </t>
  </si>
  <si>
    <t>Jodie Foster</t>
  </si>
  <si>
    <t>Bullet to the Head </t>
  </si>
  <si>
    <t>Scott Frank</t>
  </si>
  <si>
    <t>The Godfather: Part III </t>
  </si>
  <si>
    <t>Kevin Allen</t>
  </si>
  <si>
    <t>Elizabethtown </t>
  </si>
  <si>
    <t>Michael Cristofer</t>
  </si>
  <si>
    <t>You, Me and Dupree </t>
  </si>
  <si>
    <t>Andrew Morahan</t>
  </si>
  <si>
    <t>Action|Adventure|Romance|Sci-Fi</t>
  </si>
  <si>
    <t>Superman II </t>
  </si>
  <si>
    <t>Bob Rafelson</t>
  </si>
  <si>
    <t>Gigli </t>
  </si>
  <si>
    <t>Alan Shapiro</t>
  </si>
  <si>
    <t>All the King's Men </t>
  </si>
  <si>
    <t>Fernando Meirelles</t>
  </si>
  <si>
    <t>Shaft </t>
  </si>
  <si>
    <t>Michael Hoffman</t>
  </si>
  <si>
    <t>Adventure|Animation|Drama|Family|Fantasy|Musical|Mystery|Romance</t>
  </si>
  <si>
    <t>Anastasia </t>
  </si>
  <si>
    <t>Michael Pressman</t>
  </si>
  <si>
    <t>Moulin Rouge! </t>
  </si>
  <si>
    <t>Sharon Maguire</t>
  </si>
  <si>
    <t>Domestic Disturbance </t>
  </si>
  <si>
    <t>Charles Herman-Wurmfeld</t>
  </si>
  <si>
    <t>Black Mass </t>
  </si>
  <si>
    <t>Gabor Csupo</t>
  </si>
  <si>
    <t>Flags of Our Fathers </t>
  </si>
  <si>
    <t>Tyler Perry</t>
  </si>
  <si>
    <t>Law Abiding Citizen </t>
  </si>
  <si>
    <t>Joe Carnahan</t>
  </si>
  <si>
    <t>Action|Horror|Thriller</t>
  </si>
  <si>
    <t>Grindhouse </t>
  </si>
  <si>
    <t>John Polson</t>
  </si>
  <si>
    <t>Drama|History|Horror</t>
  </si>
  <si>
    <t>Beloved </t>
  </si>
  <si>
    <t>Bernardo Bertolucci</t>
  </si>
  <si>
    <t>Drama|Romance|Sport</t>
  </si>
  <si>
    <t>Lucky You </t>
  </si>
  <si>
    <t>Cathy Malkasian</t>
  </si>
  <si>
    <t>Catch Me If You Can </t>
  </si>
  <si>
    <t>John Eng</t>
  </si>
  <si>
    <t>Zero Dark Thirty </t>
  </si>
  <si>
    <t>Chris Nahon</t>
  </si>
  <si>
    <t>The Break-Up </t>
  </si>
  <si>
    <t>Fred Wolf</t>
  </si>
  <si>
    <t>Comedy|Family|Musical|Romance</t>
  </si>
  <si>
    <t>Mamma Mia! </t>
  </si>
  <si>
    <t>Victor Salva</t>
  </si>
  <si>
    <t>Valentine's Day </t>
  </si>
  <si>
    <t>Mark Helfrich</t>
  </si>
  <si>
    <t>The Dukes of Hazzard </t>
  </si>
  <si>
    <t>Steve Bendelack</t>
  </si>
  <si>
    <t>The Thin Red Line </t>
  </si>
  <si>
    <t>Dwight H. Little</t>
  </si>
  <si>
    <t>The Change-Up </t>
  </si>
  <si>
    <t>Guillaume Canet</t>
  </si>
  <si>
    <t>Man on the Moon </t>
  </si>
  <si>
    <t>Kirsten Sheridan</t>
  </si>
  <si>
    <t>Casino </t>
  </si>
  <si>
    <t>Richard Fleischer</t>
  </si>
  <si>
    <t>From Paris with Love </t>
  </si>
  <si>
    <t>Bob Spiers</t>
  </si>
  <si>
    <t>Bulletproof Monk </t>
  </si>
  <si>
    <t>Damien Dante Wayans</t>
  </si>
  <si>
    <t>Me, Myself &amp; Irene </t>
  </si>
  <si>
    <t>John Wells</t>
  </si>
  <si>
    <t>Barnyard </t>
  </si>
  <si>
    <t>Nigel Cole</t>
  </si>
  <si>
    <t>The Twilight Saga: New Moon </t>
  </si>
  <si>
    <t>Dexter Fletcher</t>
  </si>
  <si>
    <t>Shrek </t>
  </si>
  <si>
    <t>Jeremy Leven</t>
  </si>
  <si>
    <t>Romance|Sci-Fi|Thriller</t>
  </si>
  <si>
    <t>The Adjustment Bureau </t>
  </si>
  <si>
    <t>Sylvain White</t>
  </si>
  <si>
    <t>Robin Hood: Prince of Thieves </t>
  </si>
  <si>
    <t>Troy Nixey</t>
  </si>
  <si>
    <t>Jerry Maguire </t>
  </si>
  <si>
    <t>Philip G. Atwell</t>
  </si>
  <si>
    <t>Ted </t>
  </si>
  <si>
    <t>Jeff Schaffer</t>
  </si>
  <si>
    <t>As Good as It Gets </t>
  </si>
  <si>
    <t>Don Michael Paul</t>
  </si>
  <si>
    <t>Biography|Comedy|Drama|Romance</t>
  </si>
  <si>
    <t>Patch Adams </t>
  </si>
  <si>
    <t>James Bridges</t>
  </si>
  <si>
    <t>Anchorman 2: The Legend Continues </t>
  </si>
  <si>
    <t>Steve Barron</t>
  </si>
  <si>
    <t>Mr. Deeds </t>
  </si>
  <si>
    <t>Richard Kelly</t>
  </si>
  <si>
    <t>Mystery|Sci-Fi|Thriller</t>
  </si>
  <si>
    <t>Super 8 </t>
  </si>
  <si>
    <t>Carter Smith</t>
  </si>
  <si>
    <t>Erin Brockovich </t>
  </si>
  <si>
    <t>John Schlesinger</t>
  </si>
  <si>
    <t>How to Lose a Guy in 10 Days </t>
  </si>
  <si>
    <t>Ringo Lam</t>
  </si>
  <si>
    <t>22 Jump Street </t>
  </si>
  <si>
    <t>Bruce McCulloch</t>
  </si>
  <si>
    <t>Drama|Fantasy|Horror</t>
  </si>
  <si>
    <t>Interview with the Vampire: The Vampire Chronicles </t>
  </si>
  <si>
    <t>Patricia Riggen</t>
  </si>
  <si>
    <t>Yes Man </t>
  </si>
  <si>
    <t>Jonathan Kaplan</t>
  </si>
  <si>
    <t>Central Intelligence </t>
  </si>
  <si>
    <t>Ole Bornedal</t>
  </si>
  <si>
    <t>Stepmom </t>
  </si>
  <si>
    <t>Richard Benjamin</t>
  </si>
  <si>
    <t>Daddy's Home </t>
  </si>
  <si>
    <t>Craig R. Baxley</t>
  </si>
  <si>
    <t>Adventure|Comedy|Drama|Fantasy|Musical</t>
  </si>
  <si>
    <t>Into the Woods </t>
  </si>
  <si>
    <t>John Hillcoat</t>
  </si>
  <si>
    <t>Inside Man </t>
  </si>
  <si>
    <t>Marcos Siega</t>
  </si>
  <si>
    <t>Payback </t>
  </si>
  <si>
    <t>Rachel Talalay</t>
  </si>
  <si>
    <t>Congo </t>
  </si>
  <si>
    <t>Jeffrey W. Byrd</t>
  </si>
  <si>
    <t>Knowing </t>
  </si>
  <si>
    <t>Atom Egoyan</t>
  </si>
  <si>
    <t>Failure to Launch </t>
  </si>
  <si>
    <t>Robert Towne</t>
  </si>
  <si>
    <t>Crazy, Stupid, Love. </t>
  </si>
  <si>
    <t>Giuseppe Tornatore</t>
  </si>
  <si>
    <t>Garfield </t>
  </si>
  <si>
    <t>Werner Herzog</t>
  </si>
  <si>
    <t>Christmas with the Kranks </t>
  </si>
  <si>
    <t>Teddy Chan</t>
  </si>
  <si>
    <t>Moneyball </t>
  </si>
  <si>
    <t>Leonard Nimoy</t>
  </si>
  <si>
    <t>Outbreak </t>
  </si>
  <si>
    <t>Herbert Ross</t>
  </si>
  <si>
    <t>Non-Stop </t>
  </si>
  <si>
    <t>Bonnie Hunt</t>
  </si>
  <si>
    <t>Action|Adventure|Family|Fantasy|Sci-Fi|Thriller</t>
  </si>
  <si>
    <t>Race to Witch Mountain </t>
  </si>
  <si>
    <t>Neil LaBute</t>
  </si>
  <si>
    <t>V for Vendetta </t>
  </si>
  <si>
    <t>Grant Heslov</t>
  </si>
  <si>
    <t>Shanghai Knights </t>
  </si>
  <si>
    <t>George Gallo</t>
  </si>
  <si>
    <t>Curious George </t>
  </si>
  <si>
    <t>Sidney Lumet</t>
  </si>
  <si>
    <t>Adventure|Comedy|Family|Fantasy|Romance|Sport</t>
  </si>
  <si>
    <t>Herbie Fully Loaded </t>
  </si>
  <si>
    <t>Douglas McGrath</t>
  </si>
  <si>
    <t>Don't Say a Word </t>
  </si>
  <si>
    <t>Kevin Spacey</t>
  </si>
  <si>
    <t>Hansel &amp; Gretel: Witch Hunters </t>
  </si>
  <si>
    <t>Steve Boyum</t>
  </si>
  <si>
    <t>Unfaithful </t>
  </si>
  <si>
    <t>Richard Williams</t>
  </si>
  <si>
    <t>I Am Number Four </t>
  </si>
  <si>
    <t>Mary McGuckian</t>
  </si>
  <si>
    <t>Syriana </t>
  </si>
  <si>
    <t>Tony Goldwyn</t>
  </si>
  <si>
    <t>13 Hours </t>
  </si>
  <si>
    <t>Jonathan Newman</t>
  </si>
  <si>
    <t>The Book of Life </t>
  </si>
  <si>
    <t>Michael Dinner</t>
  </si>
  <si>
    <t>Firewall </t>
  </si>
  <si>
    <t>Joseph Sargent</t>
  </si>
  <si>
    <t>Absolute Power </t>
  </si>
  <si>
    <t>Jerry Zaks</t>
  </si>
  <si>
    <t>G.I. Jane </t>
  </si>
  <si>
    <t>Fred Durst</t>
  </si>
  <si>
    <t>The Game </t>
  </si>
  <si>
    <t>Anne Fontaine</t>
  </si>
  <si>
    <t>Adventure|Horror|Mystery</t>
  </si>
  <si>
    <t>Silent Hill </t>
  </si>
  <si>
    <t>Mira Nair</t>
  </si>
  <si>
    <t>The Replacements </t>
  </si>
  <si>
    <t>Mel Brooks</t>
  </si>
  <si>
    <t>American Reunion </t>
  </si>
  <si>
    <t>Russell Crowe</t>
  </si>
  <si>
    <t>The Negotiator </t>
  </si>
  <si>
    <t>Jessie Nelson</t>
  </si>
  <si>
    <t>Into the Storm </t>
  </si>
  <si>
    <t>Christopher Spencer</t>
  </si>
  <si>
    <t>Beverly Hills Cop III </t>
  </si>
  <si>
    <t>Mike Bigelow</t>
  </si>
  <si>
    <t>Gremlins 2: The New Batch </t>
  </si>
  <si>
    <t>Daniel Sackheim</t>
  </si>
  <si>
    <t>The Judge </t>
  </si>
  <si>
    <t>Harry Elfont</t>
  </si>
  <si>
    <t>The Peacemaker </t>
  </si>
  <si>
    <t>Uli Edel</t>
  </si>
  <si>
    <t>Resident Evil: Apocalypse </t>
  </si>
  <si>
    <t>Fred Dekker</t>
  </si>
  <si>
    <t>Bridget Jones: The Edge of Reason </t>
  </si>
  <si>
    <t>Brian Trenchard-Smith</t>
  </si>
  <si>
    <t>Crime|Drama|Romance|Thriller</t>
  </si>
  <si>
    <t>Out of Time </t>
  </si>
  <si>
    <t>Blake Edwards</t>
  </si>
  <si>
    <t>On Deadly Ground </t>
  </si>
  <si>
    <t>Christian Carion</t>
  </si>
  <si>
    <t>The Adventures of Sharkboy and Lavagirl 3-D </t>
  </si>
  <si>
    <t>David Palmer</t>
  </si>
  <si>
    <t>The Beach </t>
  </si>
  <si>
    <t>Rowan Joffe</t>
  </si>
  <si>
    <t>Raising Helen </t>
  </si>
  <si>
    <t>John Curran</t>
  </si>
  <si>
    <t>Ninja Assassin </t>
  </si>
  <si>
    <t>Laurent Tirard</t>
  </si>
  <si>
    <t>For Love of the Game </t>
  </si>
  <si>
    <t>Trey Parker</t>
  </si>
  <si>
    <t>Comedy|Crime|Drama|Thriller</t>
  </si>
  <si>
    <t>Striptease </t>
  </si>
  <si>
    <t>Stuart Gillard</t>
  </si>
  <si>
    <t>Marmaduke </t>
  </si>
  <si>
    <t>Katt Shea</t>
  </si>
  <si>
    <t>Drama|Fantasy</t>
  </si>
  <si>
    <t>Hereafter </t>
  </si>
  <si>
    <t>Joshua Michael Stern</t>
  </si>
  <si>
    <t>Murder by Numbers </t>
  </si>
  <si>
    <t>Tomas Alfredson</t>
  </si>
  <si>
    <t>Assassins </t>
  </si>
  <si>
    <t>John Duigan</t>
  </si>
  <si>
    <t>Hannibal Rising </t>
  </si>
  <si>
    <t>Colin Higgins</t>
  </si>
  <si>
    <t>The Story of Us </t>
  </si>
  <si>
    <t>Jim Sonzero</t>
  </si>
  <si>
    <t>The Host </t>
  </si>
  <si>
    <t>Penelope Spheeris</t>
  </si>
  <si>
    <t>Basic </t>
  </si>
  <si>
    <t>Jeff Tremaine</t>
  </si>
  <si>
    <t>Blood Work </t>
  </si>
  <si>
    <t>Jeannot Szwarc</t>
  </si>
  <si>
    <t>The International </t>
  </si>
  <si>
    <t>Steve McQueen</t>
  </si>
  <si>
    <t>Escape from L.A. </t>
  </si>
  <si>
    <t>Thea Sharrock</t>
  </si>
  <si>
    <t>The Iron Giant </t>
  </si>
  <si>
    <t>Jon Lucas</t>
  </si>
  <si>
    <t>Adventure|Comedy|Drama</t>
  </si>
  <si>
    <t>The Life Aquatic with Steve Zissou </t>
  </si>
  <si>
    <t>Aaron Seltzer</t>
  </si>
  <si>
    <t>Action|Biography|Drama|History|War</t>
  </si>
  <si>
    <t>Free State of Jones </t>
  </si>
  <si>
    <t>Robin Budd</t>
  </si>
  <si>
    <t>The Life of David Gale </t>
  </si>
  <si>
    <t>Ava DuVernay</t>
  </si>
  <si>
    <t>Man of the House </t>
  </si>
  <si>
    <t>Steve Trenbirth</t>
  </si>
  <si>
    <t>Run All Night </t>
  </si>
  <si>
    <t>Mennan Yapo</t>
  </si>
  <si>
    <t>Eastern Promises </t>
  </si>
  <si>
    <t>Jun Falkenstein</t>
  </si>
  <si>
    <t>Into the Blue </t>
  </si>
  <si>
    <t>Tom McCarthy</t>
  </si>
  <si>
    <t>The Messenger: The Story of Joan of Arc </t>
  </si>
  <si>
    <t>Takashi Shimizu</t>
  </si>
  <si>
    <t>Adventure|Comedy|Fantasy</t>
  </si>
  <si>
    <t>Your Highness </t>
  </si>
  <si>
    <t>Anton Corbijn</t>
  </si>
  <si>
    <t>Dream House </t>
  </si>
  <si>
    <t>Gregory Nava</t>
  </si>
  <si>
    <t>Mad City </t>
  </si>
  <si>
    <t>John Patrick Shanley</t>
  </si>
  <si>
    <t>Adventure|Comedy|Crime|Drama|Family</t>
  </si>
  <si>
    <t>Baby's Day Out </t>
  </si>
  <si>
    <t>Steve Beck</t>
  </si>
  <si>
    <t>The Scarlet Letter </t>
  </si>
  <si>
    <t>Todd Strauss-Schulson</t>
  </si>
  <si>
    <t>Fair Game </t>
  </si>
  <si>
    <t>John McNaughton</t>
  </si>
  <si>
    <t>Action|Biography|Crime|Drama|Thriller</t>
  </si>
  <si>
    <t>Domino </t>
  </si>
  <si>
    <t>Eric Valette</t>
  </si>
  <si>
    <t>Jade </t>
  </si>
  <si>
    <t>Andrew Fleming</t>
  </si>
  <si>
    <t>Gamer </t>
  </si>
  <si>
    <t>Michael Spierig</t>
  </si>
  <si>
    <t>Beautiful Creatures </t>
  </si>
  <si>
    <t>Jim Field Smith</t>
  </si>
  <si>
    <t>Death to Smoochy </t>
  </si>
  <si>
    <t>Thomas Bezucha</t>
  </si>
  <si>
    <t>Zoolander 2 </t>
  </si>
  <si>
    <t>William Brent Bell</t>
  </si>
  <si>
    <t>The Big Bounce </t>
  </si>
  <si>
    <t>Anthony Bell</t>
  </si>
  <si>
    <t>Comedy|Sci-Fi</t>
  </si>
  <si>
    <t>What Planet Are You From? </t>
  </si>
  <si>
    <t>Henry Joost</t>
  </si>
  <si>
    <t>Drive Angry </t>
  </si>
  <si>
    <t>Alfred Hitchcock</t>
  </si>
  <si>
    <t>Street Fighter: The Legend of Chun-Li </t>
  </si>
  <si>
    <t>Shana Feste</t>
  </si>
  <si>
    <t>The One </t>
  </si>
  <si>
    <t>Steve Rash</t>
  </si>
  <si>
    <t>Action|Adventure|Comedy|Crime|Music|Mystery</t>
  </si>
  <si>
    <t>The Adventures of Ford Fairlane </t>
  </si>
  <si>
    <t>Mike Binder</t>
  </si>
  <si>
    <t>Traffic </t>
  </si>
  <si>
    <t>Michael J. Bassett</t>
  </si>
  <si>
    <t>Indiana Jones and the Last Crusade </t>
  </si>
  <si>
    <t>Frank Nissen</t>
  </si>
  <si>
    <t>Action|Crime|Drama|Sci-Fi|Thriller</t>
  </si>
  <si>
    <t>Chappie </t>
  </si>
  <si>
    <t>Stephen Chow</t>
  </si>
  <si>
    <t>The Bone Collector </t>
  </si>
  <si>
    <t>Peter Hastings</t>
  </si>
  <si>
    <t>Panic Room </t>
  </si>
  <si>
    <t>Paul Abascal</t>
  </si>
  <si>
    <t>Action|Adventure|Comedy|Drama|War</t>
  </si>
  <si>
    <t>Three Kings </t>
  </si>
  <si>
    <t>Chris Koch</t>
  </si>
  <si>
    <t>Czech Republic</t>
  </si>
  <si>
    <t>Child 44 </t>
  </si>
  <si>
    <t>Amy Heckerling</t>
  </si>
  <si>
    <t>Rat Race </t>
  </si>
  <si>
    <t>George Stevens</t>
  </si>
  <si>
    <t>Drama|Mystery|Sci-Fi</t>
  </si>
  <si>
    <t>K-PAX </t>
  </si>
  <si>
    <t>Mark Mylod</t>
  </si>
  <si>
    <t>Kate &amp; Leopold </t>
  </si>
  <si>
    <t>James Mather</t>
  </si>
  <si>
    <t>Bedazzled </t>
  </si>
  <si>
    <t>Michael O. Sajbel</t>
  </si>
  <si>
    <t>Crime|Drama|Music</t>
  </si>
  <si>
    <t>The Cotton Club </t>
  </si>
  <si>
    <t>Charles T. Kanganis</t>
  </si>
  <si>
    <t>Adventure|Crime|Drama|Western</t>
  </si>
  <si>
    <t>3:10 to Yuma </t>
  </si>
  <si>
    <t>Damon Santostefano</t>
  </si>
  <si>
    <t>Taken 3 </t>
  </si>
  <si>
    <t>Bob Clark</t>
  </si>
  <si>
    <t>Out of Sight </t>
  </si>
  <si>
    <t>Dave Borthwick</t>
  </si>
  <si>
    <t>Comedy|Drama|Thriller</t>
  </si>
  <si>
    <t>The Cable Guy </t>
  </si>
  <si>
    <t>Benson Lee</t>
  </si>
  <si>
    <t>Action|Comedy|Crime|Music|Romance|Thriller</t>
  </si>
  <si>
    <t>Dick Tracy </t>
  </si>
  <si>
    <t>Glen Morgan</t>
  </si>
  <si>
    <t>Crime|Romance|Thriller</t>
  </si>
  <si>
    <t>The Thomas Crown Affair </t>
  </si>
  <si>
    <t>Mike Leigh</t>
  </si>
  <si>
    <t>Riding in Cars with Boys </t>
  </si>
  <si>
    <t>Alejandro Monteverde</t>
  </si>
  <si>
    <t>Happily N'Ever After </t>
  </si>
  <si>
    <t>Jonathan Glazer</t>
  </si>
  <si>
    <t>Mary Reilly </t>
  </si>
  <si>
    <t>J.C. Chandor</t>
  </si>
  <si>
    <t>My Best Friend's Wedding </t>
  </si>
  <si>
    <t>Marc Abraham</t>
  </si>
  <si>
    <t>America's Sweethearts </t>
  </si>
  <si>
    <t>Todd Haynes</t>
  </si>
  <si>
    <t>Insomnia </t>
  </si>
  <si>
    <t>Mabrouk El Mechri</t>
  </si>
  <si>
    <t>Action|Adventure|Drama|Sci-Fi|Thriller</t>
  </si>
  <si>
    <t>Star Trek: First Contact </t>
  </si>
  <si>
    <t>Charlie Kaufman</t>
  </si>
  <si>
    <t>Action|Drama|Fantasy|Thriller|Western</t>
  </si>
  <si>
    <t>Jonah Hex </t>
  </si>
  <si>
    <t>Jean-Paul Rappeneau</t>
  </si>
  <si>
    <t>Action|Drama|Mystery|Thriller|War</t>
  </si>
  <si>
    <t>Courage Under Fire </t>
  </si>
  <si>
    <t>Nancy Walker</t>
  </si>
  <si>
    <t>Liar Liar </t>
  </si>
  <si>
    <t>Angelo Pizzo</t>
  </si>
  <si>
    <t>Biography|Crime|Drama|Thriller</t>
  </si>
  <si>
    <t>The Infiltrator </t>
  </si>
  <si>
    <t>Matthew Diamond</t>
  </si>
  <si>
    <t>The Flintstones </t>
  </si>
  <si>
    <t>Katsuhiro Ôtomo</t>
  </si>
  <si>
    <t>Taken 2 </t>
  </si>
  <si>
    <t>David Anspaugh</t>
  </si>
  <si>
    <t>Scary Movie 3 </t>
  </si>
  <si>
    <t>Daniel Algrant</t>
  </si>
  <si>
    <t>Action|Comedy|Crime|Romance</t>
  </si>
  <si>
    <t>Miss Congeniality </t>
  </si>
  <si>
    <t>Mark Rosman</t>
  </si>
  <si>
    <t>Action|Adventure|Family|Fantasy|Sci-Fi</t>
  </si>
  <si>
    <t>Journey to the Center of the Earth </t>
  </si>
  <si>
    <t>Britt Allcroft</t>
  </si>
  <si>
    <t>The Princess Diaries 2: Royal Engagement </t>
  </si>
  <si>
    <t>Brian Percival</t>
  </si>
  <si>
    <t>The Pelican Brief </t>
  </si>
  <si>
    <t>Anand Tucker</t>
  </si>
  <si>
    <t>The Client </t>
  </si>
  <si>
    <t>Michael Dowse</t>
  </si>
  <si>
    <t>The Bucket List </t>
  </si>
  <si>
    <t>Emile Ardolino</t>
  </si>
  <si>
    <t>Patriot Games </t>
  </si>
  <si>
    <t>Robert Altman</t>
  </si>
  <si>
    <t>Monster-in-Law </t>
  </si>
  <si>
    <t>Andrew Douglas</t>
  </si>
  <si>
    <t>Prisoners </t>
  </si>
  <si>
    <t>George A. Romero</t>
  </si>
  <si>
    <t>Training Day </t>
  </si>
  <si>
    <t>Ricky Gervais</t>
  </si>
  <si>
    <t>Galaxy Quest </t>
  </si>
  <si>
    <t>Vic Armstrong</t>
  </si>
  <si>
    <t>Scary Movie 2 </t>
  </si>
  <si>
    <t>Terry Zwigoff</t>
  </si>
  <si>
    <t>Adventure|Comedy|Family|Musical</t>
  </si>
  <si>
    <t>The Muppets </t>
  </si>
  <si>
    <t>Nelson McCormick</t>
  </si>
  <si>
    <t>Action|Horror</t>
  </si>
  <si>
    <t>Blade </t>
  </si>
  <si>
    <t>Audrey Wells</t>
  </si>
  <si>
    <t>Coach Carter </t>
  </si>
  <si>
    <t>Bille Woodruff</t>
  </si>
  <si>
    <t>Changing Lanes </t>
  </si>
  <si>
    <t>Rick Friedberg</t>
  </si>
  <si>
    <t>Action|Adventure|Horror|Thriller</t>
  </si>
  <si>
    <t>Anaconda </t>
  </si>
  <si>
    <t>Sean McNamara</t>
  </si>
  <si>
    <t>Comedy|Drama|Music|Romance</t>
  </si>
  <si>
    <t>Coyote Ugly </t>
  </si>
  <si>
    <t>Jody Hill</t>
  </si>
  <si>
    <t>Love Actually </t>
  </si>
  <si>
    <t>Brandon Camp</t>
  </si>
  <si>
    <t>A Bug's Life </t>
  </si>
  <si>
    <t>Kevin Tancharoen</t>
  </si>
  <si>
    <t>From Hell </t>
  </si>
  <si>
    <t>Nicholas Hytner</t>
  </si>
  <si>
    <t>Action|Crime|Drama|Romance|Thriller</t>
  </si>
  <si>
    <t>Peru</t>
  </si>
  <si>
    <t>The Specialist </t>
  </si>
  <si>
    <t>Bart Freundlich</t>
  </si>
  <si>
    <t>Tin Cup </t>
  </si>
  <si>
    <t>William A. Fraker</t>
  </si>
  <si>
    <t>Comedy|Family|Romance|Sport</t>
  </si>
  <si>
    <t>Kicking &amp; Screaming </t>
  </si>
  <si>
    <t>John Boorman</t>
  </si>
  <si>
    <t>The Hitchhiker's Guide to the Galaxy </t>
  </si>
  <si>
    <t>Courtney Solomon</t>
  </si>
  <si>
    <t>Fat Albert </t>
  </si>
  <si>
    <t>Jeff Kanew</t>
  </si>
  <si>
    <t>Resident Evil: Extinction </t>
  </si>
  <si>
    <t>István Szabó</t>
  </si>
  <si>
    <t>Blended </t>
  </si>
  <si>
    <t>Matthew Robbins</t>
  </si>
  <si>
    <t>Last Holiday </t>
  </si>
  <si>
    <t>Hal Needham</t>
  </si>
  <si>
    <t>The River Wild </t>
  </si>
  <si>
    <t>Jeff Nichols</t>
  </si>
  <si>
    <t>Drama|Family|Fantasy</t>
  </si>
  <si>
    <t>The Indian in the Cupboard </t>
  </si>
  <si>
    <t>Jonathan Teplitzky</t>
  </si>
  <si>
    <t>Savages </t>
  </si>
  <si>
    <t>Michael Haneke</t>
  </si>
  <si>
    <t>Cellular </t>
  </si>
  <si>
    <t>Mike Marvin</t>
  </si>
  <si>
    <t>Johnny English </t>
  </si>
  <si>
    <t>Lance Hool</t>
  </si>
  <si>
    <t>The Ant Bully </t>
  </si>
  <si>
    <t>Christian Volckman</t>
  </si>
  <si>
    <t>Dune </t>
  </si>
  <si>
    <t>Cory Edwards</t>
  </si>
  <si>
    <t>Drama|Fantasy|Musical|Romance</t>
  </si>
  <si>
    <t>Across the Universe </t>
  </si>
  <si>
    <t>Terry George</t>
  </si>
  <si>
    <t>Revolutionary Road </t>
  </si>
  <si>
    <t>Xavier Gens</t>
  </si>
  <si>
    <t>16 Blocks </t>
  </si>
  <si>
    <t>Kasi Lemmons</t>
  </si>
  <si>
    <t>Babylon A.D. </t>
  </si>
  <si>
    <t>Matt Dillon</t>
  </si>
  <si>
    <t>The Glimmer Man </t>
  </si>
  <si>
    <t>George Cukor</t>
  </si>
  <si>
    <t>Multiplicity </t>
  </si>
  <si>
    <t>Jim Gillespie</t>
  </si>
  <si>
    <t>Adventure|Comedy|Family|Fantasy|Sci-Fi</t>
  </si>
  <si>
    <t>Aliens in the Attic </t>
  </si>
  <si>
    <t>John Hoffman</t>
  </si>
  <si>
    <t>The Pledge </t>
  </si>
  <si>
    <t>Kevin Greutert</t>
  </si>
  <si>
    <t>Comedy|Musical</t>
  </si>
  <si>
    <t>The Producers </t>
  </si>
  <si>
    <t>John Fortenberry</t>
  </si>
  <si>
    <t>The Phantom </t>
  </si>
  <si>
    <t>Daniel Barnz</t>
  </si>
  <si>
    <t>All the Pretty Horses </t>
  </si>
  <si>
    <t>Jason Moore</t>
  </si>
  <si>
    <t>Biography|Drama|History</t>
  </si>
  <si>
    <t>Nixon </t>
  </si>
  <si>
    <t>Robert Harmon</t>
  </si>
  <si>
    <t>The Ghost Writer </t>
  </si>
  <si>
    <t>Trent Cooper</t>
  </si>
  <si>
    <t>Deep Rising </t>
  </si>
  <si>
    <t>Gary Halvorson</t>
  </si>
  <si>
    <t>Action|Crime|Drama|Thriller|War</t>
  </si>
  <si>
    <t>Miracle at St. Anna </t>
  </si>
  <si>
    <t>Fede Alvarez</t>
  </si>
  <si>
    <t>Curse of the Golden Flower </t>
  </si>
  <si>
    <t>Sidney J. Furie</t>
  </si>
  <si>
    <t>Bangkok Dangerous </t>
  </si>
  <si>
    <t>Wayne Kramer</t>
  </si>
  <si>
    <t>Comedy|Crime|Thriller</t>
  </si>
  <si>
    <t>Big Trouble </t>
  </si>
  <si>
    <t>Jim Goddard</t>
  </si>
  <si>
    <t>Love in the Time of Cholera </t>
  </si>
  <si>
    <t>Noel Marshall</t>
  </si>
  <si>
    <t>Shadow Conspiracy </t>
  </si>
  <si>
    <t>Andrea Di Stefano</t>
  </si>
  <si>
    <t>Johnny English Reborn </t>
  </si>
  <si>
    <t>Todd Lincoln</t>
  </si>
  <si>
    <t>Biography|Drama|History|Thriller</t>
  </si>
  <si>
    <t>Argo </t>
  </si>
  <si>
    <t>Howard Zieff</t>
  </si>
  <si>
    <t>Action|Adventure|Crime|Drama|Mystery|Thriller</t>
  </si>
  <si>
    <t>The Fugitive </t>
  </si>
  <si>
    <t>Steven Shainberg</t>
  </si>
  <si>
    <t>The Bounty Hunter </t>
  </si>
  <si>
    <t>Julian Jarrold</t>
  </si>
  <si>
    <t>Sleepers </t>
  </si>
  <si>
    <t>Joe Nussbaum</t>
  </si>
  <si>
    <t>Rambo: First Blood Part II </t>
  </si>
  <si>
    <t>Vadim Perelman</t>
  </si>
  <si>
    <t>The Juror </t>
  </si>
  <si>
    <t>Peter Farrelly</t>
  </si>
  <si>
    <t>Animation|Family|Fantasy|Musical</t>
  </si>
  <si>
    <t>Pinocchio </t>
  </si>
  <si>
    <t>Michel Hazanavicius</t>
  </si>
  <si>
    <t>Adventure|Drama|Western</t>
  </si>
  <si>
    <t>Heaven's Gate </t>
  </si>
  <si>
    <t>Cyrus Nowrasteh</t>
  </si>
  <si>
    <t>Underworld: Evolution </t>
  </si>
  <si>
    <t>Perry Andelin Blake</t>
  </si>
  <si>
    <t>Victor Frankenstein </t>
  </si>
  <si>
    <t>Christian E. Christiansen</t>
  </si>
  <si>
    <t>Finding Forrester </t>
  </si>
  <si>
    <t>Sheldon Lettich</t>
  </si>
  <si>
    <t>28 Days </t>
  </si>
  <si>
    <t>Diane English</t>
  </si>
  <si>
    <t>Unleashed </t>
  </si>
  <si>
    <t>Robert Iscove</t>
  </si>
  <si>
    <t>The Sweetest Thing </t>
  </si>
  <si>
    <t>Peter Kosminsky</t>
  </si>
  <si>
    <t>The Firm </t>
  </si>
  <si>
    <t>Nick Gomez</t>
  </si>
  <si>
    <t>Charlie St. Cloud </t>
  </si>
  <si>
    <t>Allen Coulter</t>
  </si>
  <si>
    <t>The Mechanic </t>
  </si>
  <si>
    <t>Clare Kilner</t>
  </si>
  <si>
    <t>21 Jump Street </t>
  </si>
  <si>
    <t>Josef Rusnak</t>
  </si>
  <si>
    <t>Notting Hill </t>
  </si>
  <si>
    <t>Bruce Paltrow</t>
  </si>
  <si>
    <t>Chicken Run </t>
  </si>
  <si>
    <t>Adam Rifkin</t>
  </si>
  <si>
    <t>Along Came Polly </t>
  </si>
  <si>
    <t>Susanne Bier</t>
  </si>
  <si>
    <t>Boomerang </t>
  </si>
  <si>
    <t>Kenneth Johnson</t>
  </si>
  <si>
    <t>The Heat </t>
  </si>
  <si>
    <t>James Ivory</t>
  </si>
  <si>
    <t>Biography|Drama|History|Romance</t>
  </si>
  <si>
    <t>Cleopatra </t>
  </si>
  <si>
    <t>Jessy Terrero</t>
  </si>
  <si>
    <t>Here Comes the Boom </t>
  </si>
  <si>
    <t>Vicente Amorim</t>
  </si>
  <si>
    <t>High Crimes </t>
  </si>
  <si>
    <t>Gaspar Noé</t>
  </si>
  <si>
    <t>The Mirror Has Two Faces </t>
  </si>
  <si>
    <t>Tommy Lee Jones</t>
  </si>
  <si>
    <t>Drama|Horror|Mystery|Thriller</t>
  </si>
  <si>
    <t>The Mothman Prophecies </t>
  </si>
  <si>
    <t>Jesse Vaughan</t>
  </si>
  <si>
    <t>Brüno </t>
  </si>
  <si>
    <t>Wayne Beach</t>
  </si>
  <si>
    <t>Licence to Kill </t>
  </si>
  <si>
    <t>Gérard Krawczyk</t>
  </si>
  <si>
    <t>Red Riding Hood </t>
  </si>
  <si>
    <t>Udayan Prasad</t>
  </si>
  <si>
    <t>15 Minutes </t>
  </si>
  <si>
    <t>Morten Tyldum</t>
  </si>
  <si>
    <t>Super Mario Bros. </t>
  </si>
  <si>
    <t>Andrés Muschietti</t>
  </si>
  <si>
    <t>Lord of War </t>
  </si>
  <si>
    <t>Gillian Armstrong</t>
  </si>
  <si>
    <t>Hero </t>
  </si>
  <si>
    <t>James Watkins</t>
  </si>
  <si>
    <t>One for the Money </t>
  </si>
  <si>
    <t>Jim Fall</t>
  </si>
  <si>
    <t>The Interview </t>
  </si>
  <si>
    <t>Ric Roman Waugh</t>
  </si>
  <si>
    <t>Action|Fantasy|Western</t>
  </si>
  <si>
    <t>The Warrior's Way </t>
  </si>
  <si>
    <t>Michael Dougherty</t>
  </si>
  <si>
    <t>Micmacs </t>
  </si>
  <si>
    <t>Joel Gallen</t>
  </si>
  <si>
    <t>Drama|Music</t>
  </si>
  <si>
    <t>8 Mile </t>
  </si>
  <si>
    <t>James Marsh</t>
  </si>
  <si>
    <t>A Knight's Tale </t>
  </si>
  <si>
    <t>Matt Williams</t>
  </si>
  <si>
    <t>The Medallion </t>
  </si>
  <si>
    <t>Rob Zombie</t>
  </si>
  <si>
    <t>The Sixth Sense </t>
  </si>
  <si>
    <t>Dennis Iliadis</t>
  </si>
  <si>
    <t>Man on a Ledge </t>
  </si>
  <si>
    <t>Rick Rosenthal</t>
  </si>
  <si>
    <t>The Big Year </t>
  </si>
  <si>
    <t>Denzel Washington</t>
  </si>
  <si>
    <t>Action|Drama|Family|Sport</t>
  </si>
  <si>
    <t>The Karate Kid </t>
  </si>
  <si>
    <t>Nicolas Winding Refn</t>
  </si>
  <si>
    <t>American Hustle </t>
  </si>
  <si>
    <t>Sara Sugarman</t>
  </si>
  <si>
    <t>The Proposal </t>
  </si>
  <si>
    <t>Juan Carlos Fresnadillo</t>
  </si>
  <si>
    <t>Double Jeopardy </t>
  </si>
  <si>
    <t>Gina Prince-Bythewood</t>
  </si>
  <si>
    <t>Back to the Future Part II </t>
  </si>
  <si>
    <t>Phil Traill</t>
  </si>
  <si>
    <t>Lucy </t>
  </si>
  <si>
    <t>Joe Berlinger</t>
  </si>
  <si>
    <t>Fifty Shades of Grey </t>
  </si>
  <si>
    <t>Elizabeth Allen Rosenbaum</t>
  </si>
  <si>
    <t>Spy Kids 3-D: Game Over </t>
  </si>
  <si>
    <t>Michael Mayer</t>
  </si>
  <si>
    <t>A Time to Kill </t>
  </si>
  <si>
    <t>Martin Weisz</t>
  </si>
  <si>
    <t>Cheaper by the Dozen </t>
  </si>
  <si>
    <t>John Ottman</t>
  </si>
  <si>
    <t>Action|Biography|Drama|Thriller|War</t>
  </si>
  <si>
    <t>Lone Survivor </t>
  </si>
  <si>
    <t>John Bonito</t>
  </si>
  <si>
    <t>Comedy|Drama|Sport</t>
  </si>
  <si>
    <t>A League of Their Own </t>
  </si>
  <si>
    <t>Peter Atencio</t>
  </si>
  <si>
    <t>The Conjuring 2 </t>
  </si>
  <si>
    <t>David Nutter</t>
  </si>
  <si>
    <t>The Social Network </t>
  </si>
  <si>
    <t>Derek Cianfrance</t>
  </si>
  <si>
    <t>He's Just Not That Into You </t>
  </si>
  <si>
    <t>Stephan Elliott</t>
  </si>
  <si>
    <t>Scary Movie 4 </t>
  </si>
  <si>
    <t>Mark L. Lester</t>
  </si>
  <si>
    <t>Horror|Mystery</t>
  </si>
  <si>
    <t>Scream 3 </t>
  </si>
  <si>
    <t>Tom Green</t>
  </si>
  <si>
    <t>Adventure|Comedy|Sci-Fi|Western</t>
  </si>
  <si>
    <t>Back to the Future Part III </t>
  </si>
  <si>
    <t>Mike Nawrocki</t>
  </si>
  <si>
    <t>Get Hard </t>
  </si>
  <si>
    <t>Douglas Aarniokoski</t>
  </si>
  <si>
    <t>Fantasy|Horror|Romance</t>
  </si>
  <si>
    <t>Bram Stoker's Dracula </t>
  </si>
  <si>
    <t>Bryan Barber</t>
  </si>
  <si>
    <t>Biography|Drama|Romance</t>
  </si>
  <si>
    <t>Julie &amp; Julia </t>
  </si>
  <si>
    <t>Lone Scherfig</t>
  </si>
  <si>
    <t>42 </t>
  </si>
  <si>
    <t>Drew Barrymore</t>
  </si>
  <si>
    <t>The Talented Mr. Ripley </t>
  </si>
  <si>
    <t>James Foley</t>
  </si>
  <si>
    <t>Dumb and Dumber To </t>
  </si>
  <si>
    <t>Albert Brooks</t>
  </si>
  <si>
    <t>Eight Below </t>
  </si>
  <si>
    <t>Steve Gomer</t>
  </si>
  <si>
    <t>The Intern </t>
  </si>
  <si>
    <t>RZA</t>
  </si>
  <si>
    <t>Ride Along 2 </t>
  </si>
  <si>
    <t>Mark Piznarski</t>
  </si>
  <si>
    <t>Action|Adventure|Drama|Romance|War</t>
  </si>
  <si>
    <t>The Last of the Mohicans </t>
  </si>
  <si>
    <t>Craig Brewer</t>
  </si>
  <si>
    <t>Ray </t>
  </si>
  <si>
    <t>Michael Winterbottom</t>
  </si>
  <si>
    <t>Sin City </t>
  </si>
  <si>
    <t>David Raynr</t>
  </si>
  <si>
    <t>Vantage Point </t>
  </si>
  <si>
    <t>Mort Nathan</t>
  </si>
  <si>
    <t>I Love You, Man </t>
  </si>
  <si>
    <t>Wil Shriner</t>
  </si>
  <si>
    <t>Shallow Hal </t>
  </si>
  <si>
    <t>Martin McDonagh</t>
  </si>
  <si>
    <t>JFK </t>
  </si>
  <si>
    <t>Tina Gordon Chism</t>
  </si>
  <si>
    <t>Big Momma's House 2 </t>
  </si>
  <si>
    <t>Peter Cattaneo</t>
  </si>
  <si>
    <t>Adventure|Comedy|Crime|Romance</t>
  </si>
  <si>
    <t>The Mexican </t>
  </si>
  <si>
    <t>Vicky Jenson</t>
  </si>
  <si>
    <t>Comedy|Drama|Family|Fantasy|Romance</t>
  </si>
  <si>
    <t>17 Again </t>
  </si>
  <si>
    <t>Mary Lambert</t>
  </si>
  <si>
    <t>The Other Woman </t>
  </si>
  <si>
    <t>Peter Kassovitz</t>
  </si>
  <si>
    <t>The Final Destination </t>
  </si>
  <si>
    <t>Rodman Flender</t>
  </si>
  <si>
    <t>Bridge of Spies </t>
  </si>
  <si>
    <t>Mark Romanek</t>
  </si>
  <si>
    <t>Behind Enemy Lines </t>
  </si>
  <si>
    <t>Brad Anderson</t>
  </si>
  <si>
    <t>Shall We Dance </t>
  </si>
  <si>
    <t>Michael Chapman</t>
  </si>
  <si>
    <t>Small Soldiers </t>
  </si>
  <si>
    <t>Antonio Banderas</t>
  </si>
  <si>
    <t>Spawn </t>
  </si>
  <si>
    <t>Fritz Lang</t>
  </si>
  <si>
    <t>Action|Adventure|Drama|Romance|Thriller</t>
  </si>
  <si>
    <t>The Count of Monte Cristo </t>
  </si>
  <si>
    <t>Hsiao-Hsien Hou</t>
  </si>
  <si>
    <t>The Lincoln Lawyer </t>
  </si>
  <si>
    <t>Gregor Jordan</t>
  </si>
  <si>
    <t>Unknown </t>
  </si>
  <si>
    <t>Tony Jaa</t>
  </si>
  <si>
    <t>The Prestige </t>
  </si>
  <si>
    <t>Ryûhei Kitamura</t>
  </si>
  <si>
    <t>Horrible Bosses 2 </t>
  </si>
  <si>
    <t>Dito Montiel</t>
  </si>
  <si>
    <t>Escape from Planet Earth </t>
  </si>
  <si>
    <t>Stefan Ruzowitzky</t>
  </si>
  <si>
    <t>Maya</t>
  </si>
  <si>
    <t>Apocalypto </t>
  </si>
  <si>
    <t>Jake Paltrow</t>
  </si>
  <si>
    <t>The Living Daylights </t>
  </si>
  <si>
    <t>Gregory Jacobs</t>
  </si>
  <si>
    <t>Predators </t>
  </si>
  <si>
    <t>Gilles Paquet-Brenner</t>
  </si>
  <si>
    <t>Legal Eagles </t>
  </si>
  <si>
    <t>Lars von Trier</t>
  </si>
  <si>
    <t>Secret Window </t>
  </si>
  <si>
    <t>John Cornell</t>
  </si>
  <si>
    <t>The Lake House </t>
  </si>
  <si>
    <t>Jamie Blanks</t>
  </si>
  <si>
    <t>The Skeleton Key </t>
  </si>
  <si>
    <t>Randal Kleiser</t>
  </si>
  <si>
    <t>The Odd Life of Timothy Green </t>
  </si>
  <si>
    <t>Rick Famuyiwa</t>
  </si>
  <si>
    <t>Made of Honor </t>
  </si>
  <si>
    <t>Alan Cohn</t>
  </si>
  <si>
    <t>Biography|Drama|Music|Musical</t>
  </si>
  <si>
    <t>Jersey Boys </t>
  </si>
  <si>
    <t>Franco Zeffirelli</t>
  </si>
  <si>
    <t>The Rainmaker </t>
  </si>
  <si>
    <t>Tom Holland</t>
  </si>
  <si>
    <t>Gothika </t>
  </si>
  <si>
    <t>James Isaac</t>
  </si>
  <si>
    <t>Drama|History</t>
  </si>
  <si>
    <t>Amistad </t>
  </si>
  <si>
    <t>Emilio Estevez</t>
  </si>
  <si>
    <t>Medicine Man </t>
  </si>
  <si>
    <t>Josh Schwartz</t>
  </si>
  <si>
    <t>Aliens vs. Predator: Requiem </t>
  </si>
  <si>
    <t>Todd Field</t>
  </si>
  <si>
    <t>Ri¢hie Ri¢h </t>
  </si>
  <si>
    <t>Davis Guggenheim</t>
  </si>
  <si>
    <t>Autumn in New York </t>
  </si>
  <si>
    <t>Stephen Carpenter</t>
  </si>
  <si>
    <t>Paul </t>
  </si>
  <si>
    <t>James Fargo</t>
  </si>
  <si>
    <t>The Guilt Trip </t>
  </si>
  <si>
    <t>Kenneth Lonergan</t>
  </si>
  <si>
    <t>Scream 4 </t>
  </si>
  <si>
    <t>Danny Leiner</t>
  </si>
  <si>
    <t>8MM </t>
  </si>
  <si>
    <t>Christopher Cain</t>
  </si>
  <si>
    <t>The Doors </t>
  </si>
  <si>
    <t>Theodore Melfi</t>
  </si>
  <si>
    <t>Sex Tape </t>
  </si>
  <si>
    <t>Ed Decter</t>
  </si>
  <si>
    <t>Hanging Up </t>
  </si>
  <si>
    <t>Gene Quintano</t>
  </si>
  <si>
    <t>Final Destination 5 </t>
  </si>
  <si>
    <t>Eric Bress</t>
  </si>
  <si>
    <t>Mickey Blue Eyes </t>
  </si>
  <si>
    <t>Preston A. Whitmore II</t>
  </si>
  <si>
    <t>Pay It Forward </t>
  </si>
  <si>
    <t>Kirk Wong</t>
  </si>
  <si>
    <t>Fever Pitch </t>
  </si>
  <si>
    <t>Bronwen Hughes</t>
  </si>
  <si>
    <t>Drillbit Taylor </t>
  </si>
  <si>
    <t>John Lafia</t>
  </si>
  <si>
    <t>Comedy|Western</t>
  </si>
  <si>
    <t>A Million Ways to Die in the West </t>
  </si>
  <si>
    <t>Sam Miller</t>
  </si>
  <si>
    <t>Action|Adventure|Crime|Fantasy|Mystery|Thriller</t>
  </si>
  <si>
    <t>The Shadow </t>
  </si>
  <si>
    <t>Alex Garland</t>
  </si>
  <si>
    <t>Adventure|Drama|Mystery</t>
  </si>
  <si>
    <t>Extremely Loud &amp; Incredibly Close </t>
  </si>
  <si>
    <t>Mark Brown</t>
  </si>
  <si>
    <t>Morning Glory </t>
  </si>
  <si>
    <t>Michael Polish</t>
  </si>
  <si>
    <t>Biography|Crime|Drama|Music</t>
  </si>
  <si>
    <t>Get Rich or Die Tryin' </t>
  </si>
  <si>
    <t>Daisy von Scherler Mayer</t>
  </si>
  <si>
    <t>The Art of War </t>
  </si>
  <si>
    <t>Lenny Abrahamson</t>
  </si>
  <si>
    <t>Rent </t>
  </si>
  <si>
    <t>Bob Saget</t>
  </si>
  <si>
    <t>Crime|Drama|Horror|Thriller</t>
  </si>
  <si>
    <t>Bless the Child </t>
  </si>
  <si>
    <t>John Waters</t>
  </si>
  <si>
    <t>The Out-of-Towners </t>
  </si>
  <si>
    <t>Craig Bolotin</t>
  </si>
  <si>
    <t>The Island of Dr. Moreau </t>
  </si>
  <si>
    <t>Mark Christopher</t>
  </si>
  <si>
    <t>The Musketeer </t>
  </si>
  <si>
    <t>Blair Hayes</t>
  </si>
  <si>
    <t>The Other Boleyn Girl </t>
  </si>
  <si>
    <t>Jez Butterworth</t>
  </si>
  <si>
    <t>Sweet November </t>
  </si>
  <si>
    <t>Olivier Assayas</t>
  </si>
  <si>
    <t>Horror|Thriller</t>
  </si>
  <si>
    <t>The Reaping </t>
  </si>
  <si>
    <t>Patrice Leconte</t>
  </si>
  <si>
    <t>Mean Streets </t>
  </si>
  <si>
    <t>Paul Mazursky</t>
  </si>
  <si>
    <t>Renaissance Man </t>
  </si>
  <si>
    <t>Stephen Chbosky</t>
  </si>
  <si>
    <t>Colombiana </t>
  </si>
  <si>
    <t>Jon Hess</t>
  </si>
  <si>
    <t>Adventure|Animation|Comedy|Drama|Family|Fantasy|Musical</t>
  </si>
  <si>
    <t>The Magic Sword: Quest for Camelot </t>
  </si>
  <si>
    <t>Joe Cornish</t>
  </si>
  <si>
    <t>City by the Sea </t>
  </si>
  <si>
    <t>John H. Lee</t>
  </si>
  <si>
    <t>At First Sight </t>
  </si>
  <si>
    <t>John Stainton</t>
  </si>
  <si>
    <t>Torque </t>
  </si>
  <si>
    <t>Stewart Hendler</t>
  </si>
  <si>
    <t>City Hall </t>
  </si>
  <si>
    <t>Mark Herman</t>
  </si>
  <si>
    <t>Showgirls </t>
  </si>
  <si>
    <t>Abel Ferrara</t>
  </si>
  <si>
    <t>Marie Antoinette </t>
  </si>
  <si>
    <t>Brian Koppelman</t>
  </si>
  <si>
    <t>Kiss of Death </t>
  </si>
  <si>
    <t>Ethan Maniquis</t>
  </si>
  <si>
    <t>Get Carter </t>
  </si>
  <si>
    <t>George Hickenlooper</t>
  </si>
  <si>
    <t>The Impossible </t>
  </si>
  <si>
    <t>Je-kyu Kang</t>
  </si>
  <si>
    <t>Action|Adventure|Comedy|Music|Thriller</t>
  </si>
  <si>
    <t>Ishtar </t>
  </si>
  <si>
    <t>William Dear</t>
  </si>
  <si>
    <t>Adventure|Animation|Comedy|Crime|Family</t>
  </si>
  <si>
    <t>Fantastic Mr. Fox </t>
  </si>
  <si>
    <t>Stéphane Aubier</t>
  </si>
  <si>
    <t>Life or Something Like It </t>
  </si>
  <si>
    <t>John Badham</t>
  </si>
  <si>
    <t>Comedy|Romance|Sci-Fi|Thriller</t>
  </si>
  <si>
    <t>Memoirs of an Invisible Man </t>
  </si>
  <si>
    <t>Mike McCoy</t>
  </si>
  <si>
    <t>Amélie </t>
  </si>
  <si>
    <t>Mike Judge</t>
  </si>
  <si>
    <t>Comedy|Crime|Family|Romance</t>
  </si>
  <si>
    <t>New York Minute </t>
  </si>
  <si>
    <t>Tamra Davis</t>
  </si>
  <si>
    <t>Alfie </t>
  </si>
  <si>
    <t>Nima Nourizadeh</t>
  </si>
  <si>
    <t>Big Miracle </t>
  </si>
  <si>
    <t>John Erick Dowdle</t>
  </si>
  <si>
    <t>The Deep End of the Ocean </t>
  </si>
  <si>
    <t>David Moreau</t>
  </si>
  <si>
    <t>Crime|Horror|Thriller</t>
  </si>
  <si>
    <t>Feardotcom </t>
  </si>
  <si>
    <t>Christopher Erskin</t>
  </si>
  <si>
    <t>Cirque du Freak: The Vampire's Assistant </t>
  </si>
  <si>
    <t>Brian Henson</t>
  </si>
  <si>
    <t>Duplex </t>
  </si>
  <si>
    <t>Dan Cutforth</t>
  </si>
  <si>
    <t>Raise the Titanic </t>
  </si>
  <si>
    <t>Josh Boone</t>
  </si>
  <si>
    <t>Universal Soldier: The Return </t>
  </si>
  <si>
    <t>Jake Schreier</t>
  </si>
  <si>
    <t>Action|Horror|Mystery|Sci-Fi|Thriller</t>
  </si>
  <si>
    <t>Pandorum </t>
  </si>
  <si>
    <t>Ernest R. Dickerson</t>
  </si>
  <si>
    <t>Impostor </t>
  </si>
  <si>
    <t>Wallace Wolodarsky</t>
  </si>
  <si>
    <t>Extreme Ops </t>
  </si>
  <si>
    <t>Nicholas Jarecki</t>
  </si>
  <si>
    <t>Comedy|Fantasy|Sci-Fi</t>
  </si>
  <si>
    <t>Just Visiting </t>
  </si>
  <si>
    <t>Dean Israelite</t>
  </si>
  <si>
    <t>Sunshine </t>
  </si>
  <si>
    <t>Darnell Martin</t>
  </si>
  <si>
    <t>A Thousand Words </t>
  </si>
  <si>
    <t>Scott Alexander</t>
  </si>
  <si>
    <t>Adventure|Animation|Comedy|Fantasy|Romance</t>
  </si>
  <si>
    <t>Delgo </t>
  </si>
  <si>
    <t>Stuart Gordon</t>
  </si>
  <si>
    <t>The Gunman </t>
  </si>
  <si>
    <t>Christopher Guest</t>
  </si>
  <si>
    <t>Action|Adventure|Family|Thriller</t>
  </si>
  <si>
    <t>Alex Rider: Operation Stormbreaker </t>
  </si>
  <si>
    <t>Jane Campion</t>
  </si>
  <si>
    <t>Disturbia </t>
  </si>
  <si>
    <t>Fred Schepisi</t>
  </si>
  <si>
    <t>Hackers </t>
  </si>
  <si>
    <t>Antonia Bird</t>
  </si>
  <si>
    <t>Adventure|Comedy|Drama|Romance|Thriller|War</t>
  </si>
  <si>
    <t>The Hunting Party </t>
  </si>
  <si>
    <t>Jon Poll</t>
  </si>
  <si>
    <t>The Hudsucker Proxy </t>
  </si>
  <si>
    <t>Paolo Sorrentino</t>
  </si>
  <si>
    <t>The Warlords </t>
  </si>
  <si>
    <t>Peter Care</t>
  </si>
  <si>
    <t>Kazakh</t>
  </si>
  <si>
    <t>Nomad: The Warrior </t>
  </si>
  <si>
    <t>Chan-wook Park</t>
  </si>
  <si>
    <t>South Korea</t>
  </si>
  <si>
    <t>Snowpiercer </t>
  </si>
  <si>
    <t>Ira Sachs</t>
  </si>
  <si>
    <t>Action|Drama|Fantasy</t>
  </si>
  <si>
    <t>The Crow </t>
  </si>
  <si>
    <t>Carroll Ballard</t>
  </si>
  <si>
    <t>Action|Adventure|Drama|Fantasy|War</t>
  </si>
  <si>
    <t>Telugu</t>
  </si>
  <si>
    <t>India</t>
  </si>
  <si>
    <t>Baahubali: The Beginning </t>
  </si>
  <si>
    <t>Takeshi Kitano</t>
  </si>
  <si>
    <t>Drama|Fantasy|Romance|Sci-Fi</t>
  </si>
  <si>
    <t>The Time Traveler's Wife </t>
  </si>
  <si>
    <t>Marco Kreuzpaintner</t>
  </si>
  <si>
    <t>Animation|Comedy|Family|Horror|Sci-Fi</t>
  </si>
  <si>
    <t>Frankenweenie </t>
  </si>
  <si>
    <t>Lajos Koltai</t>
  </si>
  <si>
    <t>Serenity </t>
  </si>
  <si>
    <t>Alan Rudolph</t>
  </si>
  <si>
    <t>Biography|Drama|Romance|Sport</t>
  </si>
  <si>
    <t>Against the Ropes </t>
  </si>
  <si>
    <t>Chuan Lu</t>
  </si>
  <si>
    <t>Superman III </t>
  </si>
  <si>
    <t>Timothy Hines</t>
  </si>
  <si>
    <t>Grudge Match </t>
  </si>
  <si>
    <t>Akira Kurosawa</t>
  </si>
  <si>
    <t>Red Cliff </t>
  </si>
  <si>
    <t>Dan Mazer</t>
  </si>
  <si>
    <t>Sweet Home Alabama </t>
  </si>
  <si>
    <t>R.J. Cutler</t>
  </si>
  <si>
    <t>The Ugly Truth </t>
  </si>
  <si>
    <t>David S. Ward</t>
  </si>
  <si>
    <t>Sgt. Bilko </t>
  </si>
  <si>
    <t>Rob Pritts</t>
  </si>
  <si>
    <t>Spy Kids 2: Island of Lost Dreams </t>
  </si>
  <si>
    <t>John Crowley</t>
  </si>
  <si>
    <t>Star Trek: Generations </t>
  </si>
  <si>
    <t>Brendan Malloy</t>
  </si>
  <si>
    <t>Action|Biography|Drama</t>
  </si>
  <si>
    <t>The Grandmaster </t>
  </si>
  <si>
    <t>Dustin Hoffman</t>
  </si>
  <si>
    <t>Water for Elephants </t>
  </si>
  <si>
    <t>Gregory Poirier</t>
  </si>
  <si>
    <t>The Hurricane </t>
  </si>
  <si>
    <t>Bill Paxton</t>
  </si>
  <si>
    <t>Enough </t>
  </si>
  <si>
    <t>Simon Curtis</t>
  </si>
  <si>
    <t>Heartbreakers </t>
  </si>
  <si>
    <t>Dewey Nicks</t>
  </si>
  <si>
    <t>Paul Blart: Mall Cop 2 </t>
  </si>
  <si>
    <t>Philip Saville</t>
  </si>
  <si>
    <t>Angel Eyes </t>
  </si>
  <si>
    <t>Tim Blake Nelson</t>
  </si>
  <si>
    <t>Joe Somebody </t>
  </si>
  <si>
    <t>William A. Graham</t>
  </si>
  <si>
    <t>The Ninth Gate </t>
  </si>
  <si>
    <t>Agnieszka Holland</t>
  </si>
  <si>
    <t>Extreme Measures </t>
  </si>
  <si>
    <t>David Hackl</t>
  </si>
  <si>
    <t>Rock Star </t>
  </si>
  <si>
    <t>Ray Lawrence</t>
  </si>
  <si>
    <t>Precious </t>
  </si>
  <si>
    <t>Karan Johar</t>
  </si>
  <si>
    <t>Adventure|Drama</t>
  </si>
  <si>
    <t>White Squall </t>
  </si>
  <si>
    <t>Ruairi Robinson</t>
  </si>
  <si>
    <t>Horror|Mystery|Sci-Fi</t>
  </si>
  <si>
    <t>The Thing </t>
  </si>
  <si>
    <t>Jaume Balagueró</t>
  </si>
  <si>
    <t>Riddick </t>
  </si>
  <si>
    <t>Jon Kasdan</t>
  </si>
  <si>
    <t>Switchback </t>
  </si>
  <si>
    <t>Floyd Mutrux</t>
  </si>
  <si>
    <t>Action|Adventure|Drama|Thriller|Western</t>
  </si>
  <si>
    <t>Texas Rangers </t>
  </si>
  <si>
    <t>Dean Wright</t>
  </si>
  <si>
    <t>Adventure|Family|Fantasy|Sci-Fi</t>
  </si>
  <si>
    <t>City of Ember </t>
  </si>
  <si>
    <t>Darren Lynn Bousman</t>
  </si>
  <si>
    <t>The Master </t>
  </si>
  <si>
    <t>James DeMonaco</t>
  </si>
  <si>
    <t>The Express </t>
  </si>
  <si>
    <t>Carol Reed</t>
  </si>
  <si>
    <t>The 5th Wave </t>
  </si>
  <si>
    <t>Chuck Sheetz</t>
  </si>
  <si>
    <t>Creed </t>
  </si>
  <si>
    <t>Marcus Raboy</t>
  </si>
  <si>
    <t>The Town </t>
  </si>
  <si>
    <t>Leigh Whannell</t>
  </si>
  <si>
    <t>What to Expect When You're Expecting </t>
  </si>
  <si>
    <t>Michael Schultz</t>
  </si>
  <si>
    <t>Burn After Reading </t>
  </si>
  <si>
    <t>Peter Sollett</t>
  </si>
  <si>
    <t>Nim's Island </t>
  </si>
  <si>
    <t>Bob Dolman</t>
  </si>
  <si>
    <t>Action|Biography|Drama|Sport</t>
  </si>
  <si>
    <t>Rush </t>
  </si>
  <si>
    <t>Rowdy Herrington</t>
  </si>
  <si>
    <t>Magnolia </t>
  </si>
  <si>
    <t>Greg Coolidge</t>
  </si>
  <si>
    <t>Cop Out </t>
  </si>
  <si>
    <t>Ciarán Foy</t>
  </si>
  <si>
    <t>How to Be Single </t>
  </si>
  <si>
    <t>Salim Akil</t>
  </si>
  <si>
    <t>Drama|Family</t>
  </si>
  <si>
    <t>Dolphin Tale </t>
  </si>
  <si>
    <t>Olatunde Osunsanmi</t>
  </si>
  <si>
    <t>Twilight </t>
  </si>
  <si>
    <t>Leon Ichaso</t>
  </si>
  <si>
    <t>John Q </t>
  </si>
  <si>
    <t>Patricia Rozema</t>
  </si>
  <si>
    <t>Blue Streak </t>
  </si>
  <si>
    <t>Rob Schmidt</t>
  </si>
  <si>
    <t>We're the Millers </t>
  </si>
  <si>
    <t>Robert Ben Garant</t>
  </si>
  <si>
    <t>Breakdown </t>
  </si>
  <si>
    <t>Morgan Spurlock</t>
  </si>
  <si>
    <t>Never Say Never Again </t>
  </si>
  <si>
    <t>Tuck Tucker</t>
  </si>
  <si>
    <t>Hot Tub Time Machine </t>
  </si>
  <si>
    <t>Theodore Witcher</t>
  </si>
  <si>
    <t>Dolphin Tale 2 </t>
  </si>
  <si>
    <t>Joel Edgerton</t>
  </si>
  <si>
    <t>Action|Adventure|Crime|Drama|Family|Fantasy|Romance|Thriller</t>
  </si>
  <si>
    <t>Reindeer Games </t>
  </si>
  <si>
    <t>Jim Hanon</t>
  </si>
  <si>
    <t>A Man Apart </t>
  </si>
  <si>
    <t>Michael Patrick Jann</t>
  </si>
  <si>
    <t>Aloha </t>
  </si>
  <si>
    <t>Jorma Taccone</t>
  </si>
  <si>
    <t>Ghosts of Mississippi </t>
  </si>
  <si>
    <t>Jeff Lowell</t>
  </si>
  <si>
    <t>Snow Falling on Cedars </t>
  </si>
  <si>
    <t>Lorene Scafaria</t>
  </si>
  <si>
    <t>The Rite </t>
  </si>
  <si>
    <t>Tony Kaye</t>
  </si>
  <si>
    <t>Gattaca </t>
  </si>
  <si>
    <t>Marcus Dunstan</t>
  </si>
  <si>
    <t>Biography|Comedy|Romance</t>
  </si>
  <si>
    <t>Isn't She Great </t>
  </si>
  <si>
    <t>Timothy Björklund</t>
  </si>
  <si>
    <t>Space Chimps </t>
  </si>
  <si>
    <t>François Girard</t>
  </si>
  <si>
    <t>Head of State </t>
  </si>
  <si>
    <t>Scott Kalvert</t>
  </si>
  <si>
    <t>The Hangover </t>
  </si>
  <si>
    <t>Jason Bateman</t>
  </si>
  <si>
    <t>Action|Biography|Drama|History</t>
  </si>
  <si>
    <t>Cantonese</t>
  </si>
  <si>
    <t>Ip Man 3 </t>
  </si>
  <si>
    <t>Eric Bross</t>
  </si>
  <si>
    <t>Austin Powers: The Spy Who Shagged Me </t>
  </si>
  <si>
    <t>Dan Fogelman</t>
  </si>
  <si>
    <t>Batman </t>
  </si>
  <si>
    <t>Jay Duplass</t>
  </si>
  <si>
    <t>Biography|Drama|War</t>
  </si>
  <si>
    <t>There Be Dragons </t>
  </si>
  <si>
    <t>Luca Guadagnino</t>
  </si>
  <si>
    <t>Lethal Weapon 3 </t>
  </si>
  <si>
    <t>John Putch</t>
  </si>
  <si>
    <t>The Blind Side </t>
  </si>
  <si>
    <t>Peter Medak</t>
  </si>
  <si>
    <t>Spy Kids </t>
  </si>
  <si>
    <t>Terence Davies</t>
  </si>
  <si>
    <t>Horrible Bosses </t>
  </si>
  <si>
    <t>Harley Cokeliss</t>
  </si>
  <si>
    <t>True Grit </t>
  </si>
  <si>
    <t>Tom Brady</t>
  </si>
  <si>
    <t>The Devil Wears Prada </t>
  </si>
  <si>
    <t>Jason Zada</t>
  </si>
  <si>
    <t>Star Trek: The Motion Picture </t>
  </si>
  <si>
    <t>Franklin J. Schaffner</t>
  </si>
  <si>
    <t>Identity Thief </t>
  </si>
  <si>
    <t>Noah Baumbach</t>
  </si>
  <si>
    <t>Cape Fear </t>
  </si>
  <si>
    <t>Eric Blakeney</t>
  </si>
  <si>
    <t>21 </t>
  </si>
  <si>
    <t>Derrick Borte</t>
  </si>
  <si>
    <t>Trainwreck </t>
  </si>
  <si>
    <t>Richard Kwietniowski</t>
  </si>
  <si>
    <t>Guess Who </t>
  </si>
  <si>
    <t>Bob Odenkirk</t>
  </si>
  <si>
    <t>Drama|Romance|War</t>
  </si>
  <si>
    <t>The English Patient </t>
  </si>
  <si>
    <t>Joshua Seftel</t>
  </si>
  <si>
    <t>L.A. Confidential </t>
  </si>
  <si>
    <t>Vincent Gallo</t>
  </si>
  <si>
    <t>Adventure|Comedy|Family|Sci-Fi</t>
  </si>
  <si>
    <t>Sky High </t>
  </si>
  <si>
    <t>Claude Chabrol</t>
  </si>
  <si>
    <t>In &amp; Out </t>
  </si>
  <si>
    <t>Jon Stewart</t>
  </si>
  <si>
    <t>Species </t>
  </si>
  <si>
    <t>Dan Harris</t>
  </si>
  <si>
    <t>A Nightmare on Elm Street </t>
  </si>
  <si>
    <t>Mel Smith</t>
  </si>
  <si>
    <t>The Cell </t>
  </si>
  <si>
    <t>Christopher Smith</t>
  </si>
  <si>
    <t>The Man in the Iron Mask </t>
  </si>
  <si>
    <t>Alan Metter</t>
  </si>
  <si>
    <t>Biography|Drama|Family|History|Sport</t>
  </si>
  <si>
    <t>Secretariat </t>
  </si>
  <si>
    <t>Rafa Lara</t>
  </si>
  <si>
    <t>TMNT </t>
  </si>
  <si>
    <t>Arthur Hiller</t>
  </si>
  <si>
    <t>Radio </t>
  </si>
  <si>
    <t>Michael Meredith</t>
  </si>
  <si>
    <t>Friends with Benefits </t>
  </si>
  <si>
    <t>Julio DePietro</t>
  </si>
  <si>
    <t>Neighbors 2: Sorority Rising </t>
  </si>
  <si>
    <t>Katherine Dieckmann</t>
  </si>
  <si>
    <t>Biography|Comedy|Drama|History|Music</t>
  </si>
  <si>
    <t>Saving Mr. Banks </t>
  </si>
  <si>
    <t>Scott Marshall</t>
  </si>
  <si>
    <t>Malcolm X </t>
  </si>
  <si>
    <t>Álex de la Iglesia</t>
  </si>
  <si>
    <t>This Is 40 </t>
  </si>
  <si>
    <t>Michael Clancy</t>
  </si>
  <si>
    <t>Old Dogs </t>
  </si>
  <si>
    <t>Benedikt Erlingsson</t>
  </si>
  <si>
    <t>Underworld: Rise of the Lycans </t>
  </si>
  <si>
    <t>Andy Garcia</t>
  </si>
  <si>
    <t>License to Wed </t>
  </si>
  <si>
    <t>Gary Sherman</t>
  </si>
  <si>
    <t>The Benchwarmers </t>
  </si>
  <si>
    <t>Stanley Kramer</t>
  </si>
  <si>
    <t>Must Love Dogs </t>
  </si>
  <si>
    <t>Anurag Basu</t>
  </si>
  <si>
    <t>Donnie Brasco </t>
  </si>
  <si>
    <t>Yash Chopra</t>
  </si>
  <si>
    <t>Resident Evil </t>
  </si>
  <si>
    <t>Floria Sigismondi</t>
  </si>
  <si>
    <t>Fantasy|Horror</t>
  </si>
  <si>
    <t>Poltergeist </t>
  </si>
  <si>
    <t>Terence Young</t>
  </si>
  <si>
    <t>The Ladykillers </t>
  </si>
  <si>
    <t>Michael Moore</t>
  </si>
  <si>
    <t>Max Payne </t>
  </si>
  <si>
    <t>Kris Isacsson</t>
  </si>
  <si>
    <t>In Time </t>
  </si>
  <si>
    <t>Ben Younger</t>
  </si>
  <si>
    <t>The Back-up Plan </t>
  </si>
  <si>
    <t>Hart Bochner</t>
  </si>
  <si>
    <t>Something Borrowed </t>
  </si>
  <si>
    <t>Chatrichalerm Yukol</t>
  </si>
  <si>
    <t>Black Knight </t>
  </si>
  <si>
    <t>Dario Argento</t>
  </si>
  <si>
    <t>Street Fighter </t>
  </si>
  <si>
    <t>Marc Forby</t>
  </si>
  <si>
    <t>The Pianist </t>
  </si>
  <si>
    <t>Ole Christian Madsen</t>
  </si>
  <si>
    <t>The Nativity Story </t>
  </si>
  <si>
    <t>Meiert Avis</t>
  </si>
  <si>
    <t>House of Wax </t>
  </si>
  <si>
    <t>Peter Faiman</t>
  </si>
  <si>
    <t>Closer </t>
  </si>
  <si>
    <t>Joby Harold</t>
  </si>
  <si>
    <t>J. Edgar </t>
  </si>
  <si>
    <t>Ekachai Uekrongtham</t>
  </si>
  <si>
    <t>Mirrors </t>
  </si>
  <si>
    <t>Mark Rydell</t>
  </si>
  <si>
    <t>Queen of the Damned </t>
  </si>
  <si>
    <t>David E. Talbert</t>
  </si>
  <si>
    <t>Predator 2 </t>
  </si>
  <si>
    <t>Ari Sandel</t>
  </si>
  <si>
    <t>Untraceable </t>
  </si>
  <si>
    <t>Vondie Curtis-Hall</t>
  </si>
  <si>
    <t>Comedy|Drama|Romance|Sci-Fi</t>
  </si>
  <si>
    <t>Blast from the Past </t>
  </si>
  <si>
    <t>John Sayles</t>
  </si>
  <si>
    <t>Jersey Girl </t>
  </si>
  <si>
    <t>Dan Gilroy</t>
  </si>
  <si>
    <t>Alex Cross </t>
  </si>
  <si>
    <t>Jonathan Dayton</t>
  </si>
  <si>
    <t>Midnight in the Garden of Good and Evil </t>
  </si>
  <si>
    <t>Chris Stokes</t>
  </si>
  <si>
    <t>Nanny McPhee Returns </t>
  </si>
  <si>
    <t>Don Siegel</t>
  </si>
  <si>
    <t>Hoffa </t>
  </si>
  <si>
    <t>Martin Lawrence</t>
  </si>
  <si>
    <t>The X Files: I Want to Believe </t>
  </si>
  <si>
    <t>Masayuki Ochiai</t>
  </si>
  <si>
    <t>Ella Enchanted </t>
  </si>
  <si>
    <t>Tom Gormican</t>
  </si>
  <si>
    <t>Concussion </t>
  </si>
  <si>
    <t>Peter R. Hunt</t>
  </si>
  <si>
    <t>Abduction </t>
  </si>
  <si>
    <t>Jonas Elmer</t>
  </si>
  <si>
    <t>Adventure|Animation|Comedy|Family|War</t>
  </si>
  <si>
    <t>Valiant </t>
  </si>
  <si>
    <t>Mary Harron</t>
  </si>
  <si>
    <t>Wonder Boys </t>
  </si>
  <si>
    <t>Troy Duffy</t>
  </si>
  <si>
    <t>Action|Comedy|Sci-Fi|Thriller</t>
  </si>
  <si>
    <t>Superhero Movie </t>
  </si>
  <si>
    <t>Nicole Holofcener</t>
  </si>
  <si>
    <t>Broken City </t>
  </si>
  <si>
    <t>Fina Torres</t>
  </si>
  <si>
    <t>Comedy|Horror</t>
  </si>
  <si>
    <t>Cursed </t>
  </si>
  <si>
    <t>Duke Johnson</t>
  </si>
  <si>
    <t>Premium Rush </t>
  </si>
  <si>
    <t>François Ozon</t>
  </si>
  <si>
    <t>Hot Pursuit </t>
  </si>
  <si>
    <t>Anna Boden</t>
  </si>
  <si>
    <t>The Four Feathers </t>
  </si>
  <si>
    <t>Steve James</t>
  </si>
  <si>
    <t>Parker </t>
  </si>
  <si>
    <t>Tomm Moore</t>
  </si>
  <si>
    <t>Wimbledon </t>
  </si>
  <si>
    <t>John Carney</t>
  </si>
  <si>
    <t>Furry Vengeance </t>
  </si>
  <si>
    <t>David Jacobson</t>
  </si>
  <si>
    <t>Drama|Thriller|War</t>
  </si>
  <si>
    <t>Lions for Lambs </t>
  </si>
  <si>
    <t>Michael Corrente</t>
  </si>
  <si>
    <t>Flight of the Intruder </t>
  </si>
  <si>
    <t>Keith Gordon</t>
  </si>
  <si>
    <t>Comedy|Music</t>
  </si>
  <si>
    <t>Walk Hard: The Dewey Cox Story </t>
  </si>
  <si>
    <t>Andrew Currie</t>
  </si>
  <si>
    <t>The Shipping News </t>
  </si>
  <si>
    <t>Andrew Wilson</t>
  </si>
  <si>
    <t>Action|Western</t>
  </si>
  <si>
    <t>American Outlaws </t>
  </si>
  <si>
    <t>Marc Schölermann</t>
  </si>
  <si>
    <t>The Young Victoria </t>
  </si>
  <si>
    <t>Robert Moresco</t>
  </si>
  <si>
    <t>Whiteout </t>
  </si>
  <si>
    <t>Thomas Vinterberg</t>
  </si>
  <si>
    <t>The Tree of Life </t>
  </si>
  <si>
    <t>Claudia Llosa</t>
  </si>
  <si>
    <t>Aruba</t>
  </si>
  <si>
    <t>Knock Off </t>
  </si>
  <si>
    <t>Ol Parker</t>
  </si>
  <si>
    <t>Sabotage </t>
  </si>
  <si>
    <t>David Webb Peoples</t>
  </si>
  <si>
    <t>The Order </t>
  </si>
  <si>
    <t>Stanley Tong</t>
  </si>
  <si>
    <t>Punisher: War Zone </t>
  </si>
  <si>
    <t>Eli Roth</t>
  </si>
  <si>
    <t>Action|Adventure|Family|Sci-Fi</t>
  </si>
  <si>
    <t>Zoom </t>
  </si>
  <si>
    <t>Tony Richardson</t>
  </si>
  <si>
    <t>Adventure|Biography|Drama|Thriller</t>
  </si>
  <si>
    <t>The Walk </t>
  </si>
  <si>
    <t>Paul Gross</t>
  </si>
  <si>
    <t>Warriors of Virtue </t>
  </si>
  <si>
    <t>Charles Robert Carner</t>
  </si>
  <si>
    <t>A Good Year </t>
  </si>
  <si>
    <t>Russell Holt</t>
  </si>
  <si>
    <t>Radio Flyer </t>
  </si>
  <si>
    <t>Claude Miller</t>
  </si>
  <si>
    <t>Blood In, Blood Out </t>
  </si>
  <si>
    <t>Rodrigo García</t>
  </si>
  <si>
    <t>Denmark</t>
  </si>
  <si>
    <t>Smilla's Sense of Snow </t>
  </si>
  <si>
    <t>Siddharth Anand</t>
  </si>
  <si>
    <t>Femme Fatale </t>
  </si>
  <si>
    <t>Vincent Paronnaud</t>
  </si>
  <si>
    <t>Drama|Romance|War|Western</t>
  </si>
  <si>
    <t>Ride with the Devil </t>
  </si>
  <si>
    <t>Daniel Barber</t>
  </si>
  <si>
    <t>The Maze Runner </t>
  </si>
  <si>
    <t>Robert Marcarelli</t>
  </si>
  <si>
    <t>Unfinished Business </t>
  </si>
  <si>
    <t>Guy Hamilton</t>
  </si>
  <si>
    <t>The Age of Innocence </t>
  </si>
  <si>
    <t>Michael Anderson</t>
  </si>
  <si>
    <t>The Fountain </t>
  </si>
  <si>
    <t>Matt Bettinelli-Olpin</t>
  </si>
  <si>
    <t>Action|Adventure|Comedy|Drama|Thriller</t>
  </si>
  <si>
    <t>Chill Factor </t>
  </si>
  <si>
    <t>Aaron Schneider</t>
  </si>
  <si>
    <t>Stolen </t>
  </si>
  <si>
    <t>Tom Ford</t>
  </si>
  <si>
    <t>Japanese</t>
  </si>
  <si>
    <t>Ponyo </t>
  </si>
  <si>
    <t>Gurinder Chadha</t>
  </si>
  <si>
    <t>The Longest Ride </t>
  </si>
  <si>
    <t>Tony Maylam</t>
  </si>
  <si>
    <t>The Astronaut's Wife </t>
  </si>
  <si>
    <t>Mitch Davis</t>
  </si>
  <si>
    <t>I Dreamed of Africa </t>
  </si>
  <si>
    <t>Kevin Brodie</t>
  </si>
  <si>
    <t>Playing for Keeps </t>
  </si>
  <si>
    <t>Paul Schrader</t>
  </si>
  <si>
    <t>Mandela: Long Walk to Freedom </t>
  </si>
  <si>
    <t>Lynne Ramsay</t>
  </si>
  <si>
    <t>A Few Good Men </t>
  </si>
  <si>
    <t>Tim Chambers</t>
  </si>
  <si>
    <t>Exit Wounds </t>
  </si>
  <si>
    <t>Dick Richards</t>
  </si>
  <si>
    <t>Big Momma's House </t>
  </si>
  <si>
    <t>Alex Zamm</t>
  </si>
  <si>
    <t>Belgium</t>
  </si>
  <si>
    <t>Thunder and the House of Magic </t>
  </si>
  <si>
    <t>Spencer Susser</t>
  </si>
  <si>
    <t>The Darkest Hour </t>
  </si>
  <si>
    <t>Thaddeus O'Sullivan</t>
  </si>
  <si>
    <t>Drama|Music|Romance</t>
  </si>
  <si>
    <t>Step Up Revolution </t>
  </si>
  <si>
    <t>Shari Springer Berman</t>
  </si>
  <si>
    <t>Action|Adventure|Crime|Drama|Thriller</t>
  </si>
  <si>
    <t>Snakes on a Plane </t>
  </si>
  <si>
    <t>Stephen Milburn Anderson</t>
  </si>
  <si>
    <t>Crime|Horror|Mystery|Thriller</t>
  </si>
  <si>
    <t>The Watcher </t>
  </si>
  <si>
    <t>Richard E. Grant</t>
  </si>
  <si>
    <t>The Punisher </t>
  </si>
  <si>
    <t>Max Färberböck</t>
  </si>
  <si>
    <t>Goal! The Dream Begins </t>
  </si>
  <si>
    <t>Arie Posin</t>
  </si>
  <si>
    <t>Safe </t>
  </si>
  <si>
    <t>Damian Nieman</t>
  </si>
  <si>
    <t>Pushing Tin </t>
  </si>
  <si>
    <t>Mark Tonderai</t>
  </si>
  <si>
    <t>Star Wars: Episode VI - Return of the Jedi </t>
  </si>
  <si>
    <t>Rachel Perkins</t>
  </si>
  <si>
    <t>Doomsday </t>
  </si>
  <si>
    <t>Luis Valdez</t>
  </si>
  <si>
    <t>The Reader </t>
  </si>
  <si>
    <t>Louis Morneau</t>
  </si>
  <si>
    <t>Elf </t>
  </si>
  <si>
    <t>Caroline Link</t>
  </si>
  <si>
    <t>Phenomenon </t>
  </si>
  <si>
    <t>Sterling Van Wagenen</t>
  </si>
  <si>
    <t>Adventure|Comedy|Family|Sport</t>
  </si>
  <si>
    <t>Snow Dogs </t>
  </si>
  <si>
    <t>Zal Batmanglij</t>
  </si>
  <si>
    <t>Comedy|Drama|Fantasy</t>
  </si>
  <si>
    <t>Scrooged </t>
  </si>
  <si>
    <t>Hans Petter Moland</t>
  </si>
  <si>
    <t>Comedy|Family|Sport</t>
  </si>
  <si>
    <t>Nacho Libre </t>
  </si>
  <si>
    <t>Oren Moverman</t>
  </si>
  <si>
    <t>Bridesmaids </t>
  </si>
  <si>
    <t>Wolfgang Becker</t>
  </si>
  <si>
    <t>This Is the End </t>
  </si>
  <si>
    <t>George Roy Hill</t>
  </si>
  <si>
    <t>Stigmata </t>
  </si>
  <si>
    <t>Robert Stevenson</t>
  </si>
  <si>
    <t>Men of Honor </t>
  </si>
  <si>
    <t>Jerome Robbins</t>
  </si>
  <si>
    <t>Takers </t>
  </si>
  <si>
    <t>Gary Hardwick</t>
  </si>
  <si>
    <t>The Big Wedding </t>
  </si>
  <si>
    <t>King Vidor</t>
  </si>
  <si>
    <t>Big Mommas: Like Father, Like Son </t>
  </si>
  <si>
    <t>Fred Savage</t>
  </si>
  <si>
    <t>Source Code </t>
  </si>
  <si>
    <t>Rusty Cundieff</t>
  </si>
  <si>
    <t>Alive </t>
  </si>
  <si>
    <t>Kevin Macdonald</t>
  </si>
  <si>
    <t>The Number 23 </t>
  </si>
  <si>
    <t>Dominique Othenin-Girard</t>
  </si>
  <si>
    <t>Action|Adventure|Drama|Family</t>
  </si>
  <si>
    <t>The Young and Prodigious T.S. Spivet </t>
  </si>
  <si>
    <t>Jean-Jacques Mantello</t>
  </si>
  <si>
    <t>Drama|Family|Sport</t>
  </si>
  <si>
    <t>Dreamer: Inspired by a True Story </t>
  </si>
  <si>
    <t>Ed Harris</t>
  </si>
  <si>
    <t>A History of Violence </t>
  </si>
  <si>
    <t>Risa Bramon Garcia</t>
  </si>
  <si>
    <t>Transporter 2 </t>
  </si>
  <si>
    <t>Brian Klugman</t>
  </si>
  <si>
    <t>Action|Thriller|Western</t>
  </si>
  <si>
    <t>The Quick and the Dead </t>
  </si>
  <si>
    <t>Matt Piedmont</t>
  </si>
  <si>
    <t>Ireland</t>
  </si>
  <si>
    <t>Laws of Attraction </t>
  </si>
  <si>
    <t>Raymond De Felitta</t>
  </si>
  <si>
    <t>Bringing Out the Dead </t>
  </si>
  <si>
    <t>John Michael McDonagh</t>
  </si>
  <si>
    <t>Repo Men </t>
  </si>
  <si>
    <t>Deb Hagan</t>
  </si>
  <si>
    <t>Action|Drama|Fantasy|Horror|Thriller</t>
  </si>
  <si>
    <t>Dragon Wars: D-War </t>
  </si>
  <si>
    <t>Zach Cregger</t>
  </si>
  <si>
    <t>Bogus </t>
  </si>
  <si>
    <t>Zach Braff</t>
  </si>
  <si>
    <t>The Incredible Burt Wonderstone </t>
  </si>
  <si>
    <t>Mark Tarlov</t>
  </si>
  <si>
    <t>Animation|Comedy|Family|Fantasy|Musical</t>
  </si>
  <si>
    <t>Cats Don't Dance </t>
  </si>
  <si>
    <t>John Cameron Mitchell</t>
  </si>
  <si>
    <t>Cradle Will Rock </t>
  </si>
  <si>
    <t>Billy Ray</t>
  </si>
  <si>
    <t>The Good German </t>
  </si>
  <si>
    <t>David Atkins</t>
  </si>
  <si>
    <t>Apocalypse Now </t>
  </si>
  <si>
    <t>Sylvio Tabet</t>
  </si>
  <si>
    <t>Going the Distance </t>
  </si>
  <si>
    <t>Rick Bieber</t>
  </si>
  <si>
    <t>Mr. Holland's Opus </t>
  </si>
  <si>
    <t>Joey Lauren Adams</t>
  </si>
  <si>
    <t>Action|Crime|Drama|Mystery|Sci-Fi|Thriller</t>
  </si>
  <si>
    <t>Criminal </t>
  </si>
  <si>
    <t>S.R. Bindler</t>
  </si>
  <si>
    <t>Out of Africa </t>
  </si>
  <si>
    <t>Cédric Klapisch</t>
  </si>
  <si>
    <t>Flight </t>
  </si>
  <si>
    <t>Kate Barker-Froyland</t>
  </si>
  <si>
    <t>Moonraker </t>
  </si>
  <si>
    <t>Martin Koolhoven</t>
  </si>
  <si>
    <t>Adventure|Comedy|Crime|Drama</t>
  </si>
  <si>
    <t>The Grand Budapest Hotel </t>
  </si>
  <si>
    <t>Prachya Pinkaew</t>
  </si>
  <si>
    <t>Drama|Mystery</t>
  </si>
  <si>
    <t>Hearts in Atlantis </t>
  </si>
  <si>
    <t>Darren Grant</t>
  </si>
  <si>
    <t>Comedy|Fantasy|Horror|Thriller</t>
  </si>
  <si>
    <t>Arachnophobia </t>
  </si>
  <si>
    <t>Joseph Gordon-Levitt</t>
  </si>
  <si>
    <t>Crime|Drama|Mystery|Sci-Fi|Thriller</t>
  </si>
  <si>
    <t>Frequency </t>
  </si>
  <si>
    <t>Christophe Barratier</t>
  </si>
  <si>
    <t>Vacation </t>
  </si>
  <si>
    <t>Émile Gaudreault</t>
  </si>
  <si>
    <t>Get Shorty </t>
  </si>
  <si>
    <t>James Cox</t>
  </si>
  <si>
    <t>Comedy|Crime|Musical</t>
  </si>
  <si>
    <t>Chicago </t>
  </si>
  <si>
    <t>James Toback</t>
  </si>
  <si>
    <t>Big Daddy </t>
  </si>
  <si>
    <t>Aki Kaurismäki</t>
  </si>
  <si>
    <t>American Pie 2 </t>
  </si>
  <si>
    <t>Hitoshi Matsumoto</t>
  </si>
  <si>
    <t>Toy Story </t>
  </si>
  <si>
    <t>George Ratliff</t>
  </si>
  <si>
    <t>Speed </t>
  </si>
  <si>
    <t>Michael McGowan</t>
  </si>
  <si>
    <t>The Vow </t>
  </si>
  <si>
    <t>Dan Trachtenberg</t>
  </si>
  <si>
    <t>Extraordinary Measures </t>
  </si>
  <si>
    <t>David F. Sandberg</t>
  </si>
  <si>
    <t>Remember the Titans </t>
  </si>
  <si>
    <t>Stiles White</t>
  </si>
  <si>
    <t>The Hunt for Red October </t>
  </si>
  <si>
    <t>Eugenio Derbez</t>
  </si>
  <si>
    <t>Lee Daniels' The Butler </t>
  </si>
  <si>
    <t>Henry Koster</t>
  </si>
  <si>
    <t>Dodgeball: A True Underdog Story </t>
  </si>
  <si>
    <t>Patty Jenkins</t>
  </si>
  <si>
    <t>The Addams Family </t>
  </si>
  <si>
    <t>Christopher Landon</t>
  </si>
  <si>
    <t>Ace Ventura: When Nature Calls </t>
  </si>
  <si>
    <t>David Gelb</t>
  </si>
  <si>
    <t>The Princess Diaries </t>
  </si>
  <si>
    <t>Mike Flanagan</t>
  </si>
  <si>
    <t>The First Wives Club </t>
  </si>
  <si>
    <t>Nat Faxon</t>
  </si>
  <si>
    <t>Se7en </t>
  </si>
  <si>
    <t>George Jackson</t>
  </si>
  <si>
    <t>South Africa</t>
  </si>
  <si>
    <t>District 9 </t>
  </si>
  <si>
    <t>Maurice Joyce</t>
  </si>
  <si>
    <t>The SpongeBob SquarePants Movie </t>
  </si>
  <si>
    <t>Robert Duvall</t>
  </si>
  <si>
    <t>Mystic River </t>
  </si>
  <si>
    <t>Jesse Peretz</t>
  </si>
  <si>
    <t>Million Dollar Baby </t>
  </si>
  <si>
    <t>Ice Cube</t>
  </si>
  <si>
    <t>Analyze This </t>
  </si>
  <si>
    <t>Richard Glatzer</t>
  </si>
  <si>
    <t>The Notebook </t>
  </si>
  <si>
    <t>Rob Hedden</t>
  </si>
  <si>
    <t>27 Dresses </t>
  </si>
  <si>
    <t>Harmony Korine</t>
  </si>
  <si>
    <t>Comedy|Drama|Family|Music|Romance</t>
  </si>
  <si>
    <t>Hannah Montana: The Movie </t>
  </si>
  <si>
    <t>Joe Chappelle</t>
  </si>
  <si>
    <t>Rugrats in Paris: The Movie </t>
  </si>
  <si>
    <t>Mickey Liddell</t>
  </si>
  <si>
    <t>The Prince of Tides </t>
  </si>
  <si>
    <t>Fred Walton</t>
  </si>
  <si>
    <t>Legends of the Fall </t>
  </si>
  <si>
    <t>Steve Carver</t>
  </si>
  <si>
    <t>Up in the Air </t>
  </si>
  <si>
    <t>Gonzalo López-Gallego</t>
  </si>
  <si>
    <t>About Schmidt </t>
  </si>
  <si>
    <t>Christine Jeffs</t>
  </si>
  <si>
    <t>Comedy|Horror|Romance</t>
  </si>
  <si>
    <t>Warm Bodies </t>
  </si>
  <si>
    <t>Michael Tiddes</t>
  </si>
  <si>
    <t>Looper </t>
  </si>
  <si>
    <t>Bill Duke</t>
  </si>
  <si>
    <t>Down to Earth </t>
  </si>
  <si>
    <t>Mamoru Hosoda</t>
  </si>
  <si>
    <t>Babe </t>
  </si>
  <si>
    <t>Brian Dannelly</t>
  </si>
  <si>
    <t>Hope Springs </t>
  </si>
  <si>
    <t>Denys Arcand</t>
  </si>
  <si>
    <t>Forgetting Sarah Marshall </t>
  </si>
  <si>
    <t>J.S. Cardone</t>
  </si>
  <si>
    <t>Four Brothers </t>
  </si>
  <si>
    <t>Jay Levey</t>
  </si>
  <si>
    <t>Baby Mama </t>
  </si>
  <si>
    <t>Tamara Jenkins</t>
  </si>
  <si>
    <t>Hope Floats </t>
  </si>
  <si>
    <t>Ronan Chapalain</t>
  </si>
  <si>
    <t>Bride Wars </t>
  </si>
  <si>
    <t>Xavier Beauvois</t>
  </si>
  <si>
    <t>Without a Paddle </t>
  </si>
  <si>
    <t>Randall Miller</t>
  </si>
  <si>
    <t>13 Going on 30 </t>
  </si>
  <si>
    <t>Dan Rush</t>
  </si>
  <si>
    <t>Midnight in Paris </t>
  </si>
  <si>
    <t>Michael Cuesta</t>
  </si>
  <si>
    <t>The Nut Job </t>
  </si>
  <si>
    <t>Fenton Bailey</t>
  </si>
  <si>
    <t>Blow </t>
  </si>
  <si>
    <t>Jeremy Saulnier</t>
  </si>
  <si>
    <t>Message in a Bottle </t>
  </si>
  <si>
    <t>James Manera</t>
  </si>
  <si>
    <t>Star Trek V: The Final Frontier </t>
  </si>
  <si>
    <t>Nicholas Fackler</t>
  </si>
  <si>
    <t>Comedy|Family|Fantasy|Sport</t>
  </si>
  <si>
    <t>Like Mike </t>
  </si>
  <si>
    <t>Morgan J. Freeman</t>
  </si>
  <si>
    <t>Naked Gun 33 1/3: The Final Insult </t>
  </si>
  <si>
    <t>Klaus Menzel</t>
  </si>
  <si>
    <t>A View to a Kill </t>
  </si>
  <si>
    <t>William H. Macy</t>
  </si>
  <si>
    <t>Animation|Comedy|Family|Mystery|Sci-Fi</t>
  </si>
  <si>
    <t>The Curse of the Were-Rabbit </t>
  </si>
  <si>
    <t>Jirí Menzel</t>
  </si>
  <si>
    <t>P.S. I Love You </t>
  </si>
  <si>
    <t>Fatih Akin</t>
  </si>
  <si>
    <t>Atonement </t>
  </si>
  <si>
    <t>Frank LaLoggia</t>
  </si>
  <si>
    <t>Letters to Juliet </t>
  </si>
  <si>
    <t>Michel Leclerc</t>
  </si>
  <si>
    <t>Black Rain </t>
  </si>
  <si>
    <t>Tom Kalin</t>
  </si>
  <si>
    <t>Animation|Drama|Family|Fantasy|Musical|Romance</t>
  </si>
  <si>
    <t>Corpse Bride </t>
  </si>
  <si>
    <t>Carlos Saura</t>
  </si>
  <si>
    <t>Sicario </t>
  </si>
  <si>
    <t>Andrew Erwin</t>
  </si>
  <si>
    <t>Southpaw </t>
  </si>
  <si>
    <t>Mike van Diem</t>
  </si>
  <si>
    <t>Drag Me to Hell </t>
  </si>
  <si>
    <t>Jonas Åkerlund</t>
  </si>
  <si>
    <t>The Age of Adaline </t>
  </si>
  <si>
    <t>Barry Skolnick</t>
  </si>
  <si>
    <t>Secondhand Lions </t>
  </si>
  <si>
    <t>Johnnie To</t>
  </si>
  <si>
    <t>Step Up 3D </t>
  </si>
  <si>
    <t>Agnieszka Wojtowicz-Vosloo</t>
  </si>
  <si>
    <t>Blue Crush </t>
  </si>
  <si>
    <t>Ernie Barbarash</t>
  </si>
  <si>
    <t>Stranger Than Fiction </t>
  </si>
  <si>
    <t>Nick Love</t>
  </si>
  <si>
    <t>30 Days of Night </t>
  </si>
  <si>
    <t>R. Balki</t>
  </si>
  <si>
    <t>The Cabin in the Woods </t>
  </si>
  <si>
    <t>Cecil B. DeMille</t>
  </si>
  <si>
    <t>Meet the Spartans </t>
  </si>
  <si>
    <t>Henry Hobson</t>
  </si>
  <si>
    <t>Midnight Run </t>
  </si>
  <si>
    <t>Mike Figgis</t>
  </si>
  <si>
    <t>The Running Man </t>
  </si>
  <si>
    <t>Lisa Cholodenko</t>
  </si>
  <si>
    <t>Comedy|Horror|Musical|Sci-Fi</t>
  </si>
  <si>
    <t>Little Shop of Horrors </t>
  </si>
  <si>
    <t>Ed Gass-Donnelly</t>
  </si>
  <si>
    <t>Hanna </t>
  </si>
  <si>
    <t>DJ Pooh</t>
  </si>
  <si>
    <t>Mortal Kombat: Annihilation </t>
  </si>
  <si>
    <t>Patrick Stettner</t>
  </si>
  <si>
    <t>Larry Crowne </t>
  </si>
  <si>
    <t>Roger Avary</t>
  </si>
  <si>
    <t>Carrie </t>
  </si>
  <si>
    <t>Allison Anders</t>
  </si>
  <si>
    <t>Take the Lead </t>
  </si>
  <si>
    <t>Rick de Oliveira</t>
  </si>
  <si>
    <t>Crime|Drama|Sport</t>
  </si>
  <si>
    <t>Gridiron Gang </t>
  </si>
  <si>
    <t>Jeff Franklin</t>
  </si>
  <si>
    <t>What's the Worst That Could Happen? </t>
  </si>
  <si>
    <t>Mike Mills</t>
  </si>
  <si>
    <t>Action|Adventure|Animation|Drama|Mystery|Sci-Fi|Thriller</t>
  </si>
  <si>
    <t>9 </t>
  </si>
  <si>
    <t>Dave McKean</t>
  </si>
  <si>
    <t>Side Effects </t>
  </si>
  <si>
    <t>Ron Fricke</t>
  </si>
  <si>
    <t>Winnie the Pooh </t>
  </si>
  <si>
    <t>Ruggero Deodato</t>
  </si>
  <si>
    <t>Dumb and Dumberer: When Harry Met Lloyd </t>
  </si>
  <si>
    <t>Mars Callahan</t>
  </si>
  <si>
    <t>Bulworth </t>
  </si>
  <si>
    <t>Stefan Schwartz</t>
  </si>
  <si>
    <t>Get on Up </t>
  </si>
  <si>
    <t>Robert Lee King</t>
  </si>
  <si>
    <t>One True Thing </t>
  </si>
  <si>
    <t>Jorge Ramírez Suárez</t>
  </si>
  <si>
    <t>Virtuosity </t>
  </si>
  <si>
    <t>David Schwimmer</t>
  </si>
  <si>
    <t>My Super Ex-Girlfriend </t>
  </si>
  <si>
    <t>Fernando León de Aranoa</t>
  </si>
  <si>
    <t>Deliver Us from Evil </t>
  </si>
  <si>
    <t>Jim Mickle</t>
  </si>
  <si>
    <t>Sanctum </t>
  </si>
  <si>
    <t>Karim Aïnouz</t>
  </si>
  <si>
    <t>Little Black Book </t>
  </si>
  <si>
    <t>Ruba Nadda</t>
  </si>
  <si>
    <t>The Five-Year Engagement </t>
  </si>
  <si>
    <t>Victor Fleming</t>
  </si>
  <si>
    <t>Mr 3000 </t>
  </si>
  <si>
    <t>Richard Raymond</t>
  </si>
  <si>
    <t>The Next Three Days </t>
  </si>
  <si>
    <t>Sam Peckinpah</t>
  </si>
  <si>
    <t>Ultraviolet </t>
  </si>
  <si>
    <t>George Sidney</t>
  </si>
  <si>
    <t>Assault on Precinct 13 </t>
  </si>
  <si>
    <t>Peter Stebbings</t>
  </si>
  <si>
    <t>The Replacement Killers </t>
  </si>
  <si>
    <t>Vincente Minnelli</t>
  </si>
  <si>
    <t>Action|Adventure|Crime|Drama|Romance</t>
  </si>
  <si>
    <t>Fled </t>
  </si>
  <si>
    <t>Dagur Kári</t>
  </si>
  <si>
    <t>Action|Comedy|Horror</t>
  </si>
  <si>
    <t>Eight Legged Freaks </t>
  </si>
  <si>
    <t>Jim Abrahams</t>
  </si>
  <si>
    <t>Love &amp; Other Drugs </t>
  </si>
  <si>
    <t>Michael Gornick</t>
  </si>
  <si>
    <t>88 Minutes </t>
  </si>
  <si>
    <t>Robert Eggers</t>
  </si>
  <si>
    <t>North Country </t>
  </si>
  <si>
    <t>Michael Martin</t>
  </si>
  <si>
    <t>The Whole Ten Yards </t>
  </si>
  <si>
    <t>Edward Burns</t>
  </si>
  <si>
    <t>Splice </t>
  </si>
  <si>
    <t>Juan José Campanella</t>
  </si>
  <si>
    <t>Howard the Duck </t>
  </si>
  <si>
    <t>Louis C.K.</t>
  </si>
  <si>
    <t>Pride and Glory </t>
  </si>
  <si>
    <t>Salvador Carrasco</t>
  </si>
  <si>
    <t>Adventure|Horror|Thriller</t>
  </si>
  <si>
    <t>The Cave </t>
  </si>
  <si>
    <t>André Øvredal</t>
  </si>
  <si>
    <t>Alex &amp; Emma </t>
  </si>
  <si>
    <t>Robert Cary</t>
  </si>
  <si>
    <t>Wicker Park </t>
  </si>
  <si>
    <t>Adam Rapp</t>
  </si>
  <si>
    <t>Fright Night </t>
  </si>
  <si>
    <t>Warren P. Sonoda</t>
  </si>
  <si>
    <t>The New World </t>
  </si>
  <si>
    <t>Charles Ferguson</t>
  </si>
  <si>
    <t>Wing Commander </t>
  </si>
  <si>
    <t>Luc Jacquet</t>
  </si>
  <si>
    <t>In Dreams </t>
  </si>
  <si>
    <t>Clark Gregg</t>
  </si>
  <si>
    <t>Dragonball: Evolution </t>
  </si>
  <si>
    <t>Damien Chazelle</t>
  </si>
  <si>
    <t>The Last Stand </t>
  </si>
  <si>
    <t>Justin Kerrigan</t>
  </si>
  <si>
    <t>Godsend </t>
  </si>
  <si>
    <t>Eric Styles</t>
  </si>
  <si>
    <t>Chasing Liberty </t>
  </si>
  <si>
    <t>Joshua Marston</t>
  </si>
  <si>
    <t>Hoodwinked Too! Hood vs. Evil </t>
  </si>
  <si>
    <t>Tod Williams</t>
  </si>
  <si>
    <t>An Unfinished Life </t>
  </si>
  <si>
    <t>Jack Sholder</t>
  </si>
  <si>
    <t>Adventure|Fantasy|Mystery</t>
  </si>
  <si>
    <t>The Imaginarium of Doctor Parnassus </t>
  </si>
  <si>
    <t>Tom McLoughlin</t>
  </si>
  <si>
    <t>Runner Runner </t>
  </si>
  <si>
    <t>Adam Marcus</t>
  </si>
  <si>
    <t>Antitrust </t>
  </si>
  <si>
    <t>Benny Boom</t>
  </si>
  <si>
    <t>Glory </t>
  </si>
  <si>
    <t>Nnegest Likké</t>
  </si>
  <si>
    <t>Italy</t>
  </si>
  <si>
    <t>Once Upon a Time in America </t>
  </si>
  <si>
    <t>Christopher Leitch</t>
  </si>
  <si>
    <t>Dead Man Down </t>
  </si>
  <si>
    <t>Don Coscarelli</t>
  </si>
  <si>
    <t>The Merchant of Venice </t>
  </si>
  <si>
    <t>Patricia Cardoso</t>
  </si>
  <si>
    <t>The Good Thief </t>
  </si>
  <si>
    <t>Damien O'Donnell</t>
  </si>
  <si>
    <t>Miss Potter </t>
  </si>
  <si>
    <t>Peter M. Cohen</t>
  </si>
  <si>
    <t>The Promise </t>
  </si>
  <si>
    <t>Anthony Hickox</t>
  </si>
  <si>
    <t>DOA: Dead or Alive </t>
  </si>
  <si>
    <t>Tom Schulman</t>
  </si>
  <si>
    <t>Biography|Crime|Drama|History|Western</t>
  </si>
  <si>
    <t>The Assassination of Jesse James by the Coward Robert Ford </t>
  </si>
  <si>
    <t>Jill Sprecher</t>
  </si>
  <si>
    <t>1911 </t>
  </si>
  <si>
    <t>Darren Stein</t>
  </si>
  <si>
    <t>Action|Biography|Crime|Drama</t>
  </si>
  <si>
    <t>Machine Gun Preacher </t>
  </si>
  <si>
    <t>Julian Schnabel</t>
  </si>
  <si>
    <t>Pitch Perfect 2 </t>
  </si>
  <si>
    <t>Todd Solondz</t>
  </si>
  <si>
    <t>Biography|Drama|Music|Romance</t>
  </si>
  <si>
    <t>Walk the Line </t>
  </si>
  <si>
    <t>David Nixon</t>
  </si>
  <si>
    <t>Keeping the Faith </t>
  </si>
  <si>
    <t>Jason Eisener</t>
  </si>
  <si>
    <t>The Borrowers </t>
  </si>
  <si>
    <t>Enrique Begne</t>
  </si>
  <si>
    <t>Frost/Nixon </t>
  </si>
  <si>
    <t>Leslye Headland</t>
  </si>
  <si>
    <t>Serving Sara </t>
  </si>
  <si>
    <t>Tim Heidecker</t>
  </si>
  <si>
    <t>The Boss </t>
  </si>
  <si>
    <t>Kate Connor</t>
  </si>
  <si>
    <t>Cry Freedom </t>
  </si>
  <si>
    <t>Deon Taylor</t>
  </si>
  <si>
    <t>Mumford </t>
  </si>
  <si>
    <t>Jason Alexander</t>
  </si>
  <si>
    <t>Romania</t>
  </si>
  <si>
    <t>Seed of Chucky </t>
  </si>
  <si>
    <t>Francesca Gregorini</t>
  </si>
  <si>
    <t>The Jacket </t>
  </si>
  <si>
    <t>Susan Seidelman</t>
  </si>
  <si>
    <t>Aladdin </t>
  </si>
  <si>
    <t>Heidi Ewing</t>
  </si>
  <si>
    <t>Biography|Crime|Drama|History|Music</t>
  </si>
  <si>
    <t>Straight Outta Compton </t>
  </si>
  <si>
    <t>Billy Wilder</t>
  </si>
  <si>
    <t>Indiana Jones and the Temple of Doom </t>
  </si>
  <si>
    <t>John Carl Buechler</t>
  </si>
  <si>
    <t>Adventure|Animation|Comedy|Drama|Family|Musical</t>
  </si>
  <si>
    <t>The Rugrats Movie </t>
  </si>
  <si>
    <t>Victor Nunez</t>
  </si>
  <si>
    <t>Along Came a Spider </t>
  </si>
  <si>
    <t>Joseph Zito</t>
  </si>
  <si>
    <t>Once Upon a Time in Mexico </t>
  </si>
  <si>
    <t>Frank Sebastiano</t>
  </si>
  <si>
    <t>Die Hard </t>
  </si>
  <si>
    <t>Nacho Vigalondo</t>
  </si>
  <si>
    <t>Role Models </t>
  </si>
  <si>
    <t>Dinesh D'Souza</t>
  </si>
  <si>
    <t>The Big Short </t>
  </si>
  <si>
    <t>Tommy Lee Wallace</t>
  </si>
  <si>
    <t>Comedy|Drama|Music</t>
  </si>
  <si>
    <t>Taking Woodstock </t>
  </si>
  <si>
    <t>Leslie Small</t>
  </si>
  <si>
    <t>Miracle </t>
  </si>
  <si>
    <t>Alison Maclean</t>
  </si>
  <si>
    <t>Dawn of the Dead </t>
  </si>
  <si>
    <t>Isabel Coixet</t>
  </si>
  <si>
    <t>The Wedding Planner </t>
  </si>
  <si>
    <t>James Ponsoldt</t>
  </si>
  <si>
    <t>The Royal Tenenbaums </t>
  </si>
  <si>
    <t>Joshua Tickell</t>
  </si>
  <si>
    <t>Identity </t>
  </si>
  <si>
    <t>Tim Boxell</t>
  </si>
  <si>
    <t>Last Vegas </t>
  </si>
  <si>
    <t>Michael D. Sellers</t>
  </si>
  <si>
    <t>For Your Eyes Only </t>
  </si>
  <si>
    <t>Reed Cowan</t>
  </si>
  <si>
    <t>Serendipity </t>
  </si>
  <si>
    <t>James Dodson</t>
  </si>
  <si>
    <t>Timecop </t>
  </si>
  <si>
    <t>Alex Rivera</t>
  </si>
  <si>
    <t>Zoolander </t>
  </si>
  <si>
    <t>Robby Henson</t>
  </si>
  <si>
    <t>Drama|Romance|Thriller</t>
  </si>
  <si>
    <t>Safe Haven </t>
  </si>
  <si>
    <t>Shane Meadows</t>
  </si>
  <si>
    <t>Hocus Pocus </t>
  </si>
  <si>
    <t>Carmen Marron</t>
  </si>
  <si>
    <t>No Reservations </t>
  </si>
  <si>
    <t>Danny Steinmann</t>
  </si>
  <si>
    <t>Kick-Ass </t>
  </si>
  <si>
    <t>Michael Landon Jr.</t>
  </si>
  <si>
    <t>30 Minutes or Less </t>
  </si>
  <si>
    <t>Jon Gunn</t>
  </si>
  <si>
    <t>Action|Fantasy|Horror|Thriller</t>
  </si>
  <si>
    <t>Dracula 2000 </t>
  </si>
  <si>
    <t>William Wyler</t>
  </si>
  <si>
    <t>Alexander and the Terrible, Horrible, No Good, Very Bad Day </t>
  </si>
  <si>
    <t>Petter Næss</t>
  </si>
  <si>
    <t>Pride &amp; Prejudice </t>
  </si>
  <si>
    <t>Robert Fontaine</t>
  </si>
  <si>
    <t>Blade Runner </t>
  </si>
  <si>
    <t>Michael Herz</t>
  </si>
  <si>
    <t>Adventure|Biography</t>
  </si>
  <si>
    <t>Rob Roy </t>
  </si>
  <si>
    <t>David Robert Mitchell</t>
  </si>
  <si>
    <t>3 Days to Kill </t>
  </si>
  <si>
    <t>Chia-Liang Liu</t>
  </si>
  <si>
    <t>We Own the Night </t>
  </si>
  <si>
    <t>Chris Kentis</t>
  </si>
  <si>
    <t>Lost Souls </t>
  </si>
  <si>
    <t>Alex Kendrick</t>
  </si>
  <si>
    <t>Winged Migration </t>
  </si>
  <si>
    <t>Sylvain Chomet</t>
  </si>
  <si>
    <t>Just My Luck </t>
  </si>
  <si>
    <t>Chris Eyre</t>
  </si>
  <si>
    <t>Mystery, Alaska </t>
  </si>
  <si>
    <t>Debra Granik</t>
  </si>
  <si>
    <t>Action|Comedy|Family</t>
  </si>
  <si>
    <t>The Spy Next Door </t>
  </si>
  <si>
    <t>Miranda July</t>
  </si>
  <si>
    <t>A Simple Wish </t>
  </si>
  <si>
    <t>Max Joseph</t>
  </si>
  <si>
    <t>Ghosts of Mars </t>
  </si>
  <si>
    <t>Kevin Tenney</t>
  </si>
  <si>
    <t>Our Brand Is Crisis </t>
  </si>
  <si>
    <t>Ari Folman</t>
  </si>
  <si>
    <t>Action|Horror|Romance</t>
  </si>
  <si>
    <t>Pride and Prejudice and Zombies </t>
  </si>
  <si>
    <t>Gary Rogers</t>
  </si>
  <si>
    <t>Kundun </t>
  </si>
  <si>
    <t>Marielle Heller</t>
  </si>
  <si>
    <t>How to Lose Friends &amp; Alienate People </t>
  </si>
  <si>
    <t>David Sington</t>
  </si>
  <si>
    <t>Kick-Ass 2 </t>
  </si>
  <si>
    <t>Huck Botko</t>
  </si>
  <si>
    <t>Brick Mansions </t>
  </si>
  <si>
    <t>David Duchovny</t>
  </si>
  <si>
    <t>Octopussy </t>
  </si>
  <si>
    <t>Lance Mungia</t>
  </si>
  <si>
    <t>Knocked Up </t>
  </si>
  <si>
    <t>Hue Rhodes</t>
  </si>
  <si>
    <t>My Sister's Keeper </t>
  </si>
  <si>
    <t>Noah Buschel</t>
  </si>
  <si>
    <t>Welcome Home, Roscoe Jenkins </t>
  </si>
  <si>
    <t>Hunter Richards</t>
  </si>
  <si>
    <t>A Passage to India </t>
  </si>
  <si>
    <t>Laurie Collyer</t>
  </si>
  <si>
    <t>Notes on a Scandal </t>
  </si>
  <si>
    <t>Ralph Ziman</t>
  </si>
  <si>
    <t>Rendition </t>
  </si>
  <si>
    <t>Orson Welles</t>
  </si>
  <si>
    <t>Star Trek VI: The Undiscovered Country </t>
  </si>
  <si>
    <t>Paul Bunnell</t>
  </si>
  <si>
    <t>Divine Secrets of the Ya-Ya Sisterhood </t>
  </si>
  <si>
    <t>Tim Hunter</t>
  </si>
  <si>
    <t>Kiss the Girls </t>
  </si>
  <si>
    <t>Rodrigo Cortés</t>
  </si>
  <si>
    <t>Action|Comedy|Crime|Music</t>
  </si>
  <si>
    <t>The Blues Brothers </t>
  </si>
  <si>
    <t>Pascal Arnold</t>
  </si>
  <si>
    <t>Joyful Noise </t>
  </si>
  <si>
    <t>Jamal Hill</t>
  </si>
  <si>
    <t>About a Boy </t>
  </si>
  <si>
    <t>Daniel Stamm</t>
  </si>
  <si>
    <t>Lake Placid </t>
  </si>
  <si>
    <t>Carlos Carrera</t>
  </si>
  <si>
    <t>Lucky Number Slevin </t>
  </si>
  <si>
    <t>Benh Zeitlin</t>
  </si>
  <si>
    <t>The Right Stuff </t>
  </si>
  <si>
    <t>Maggie Greenwald</t>
  </si>
  <si>
    <t>Anonymous </t>
  </si>
  <si>
    <t>Khyentse Norbu</t>
  </si>
  <si>
    <t>Action|Drama|Fantasy|Mystery|Sci-Fi|Thriller</t>
  </si>
  <si>
    <t>Dark City </t>
  </si>
  <si>
    <t>Lucky McKee</t>
  </si>
  <si>
    <t>The Duchess </t>
  </si>
  <si>
    <t>Steven R. Monroe</t>
  </si>
  <si>
    <t>Action|Crime|Drama|History|Western</t>
  </si>
  <si>
    <t>The Newton Boys </t>
  </si>
  <si>
    <t>Mark Illsley</t>
  </si>
  <si>
    <t>Case 39 </t>
  </si>
  <si>
    <t>Pawel Pawlikowski</t>
  </si>
  <si>
    <t>Suspect Zero </t>
  </si>
  <si>
    <t>Ritesh Batra</t>
  </si>
  <si>
    <t>Martian Child </t>
  </si>
  <si>
    <t>Sally Potter</t>
  </si>
  <si>
    <t>Spy Kids: All the Time in the World in 4D </t>
  </si>
  <si>
    <t>Dave Meyers</t>
  </si>
  <si>
    <t>Money Monster </t>
  </si>
  <si>
    <t>Nadine Labaki</t>
  </si>
  <si>
    <t>Formula 51 </t>
  </si>
  <si>
    <t>Eytan Fox</t>
  </si>
  <si>
    <t>Comedy|Crime|Drama</t>
  </si>
  <si>
    <t>Flawless </t>
  </si>
  <si>
    <t>François Truffaut</t>
  </si>
  <si>
    <t>Mindhunters </t>
  </si>
  <si>
    <t>Adam Goldberg</t>
  </si>
  <si>
    <t>What Just Happened </t>
  </si>
  <si>
    <t>Adrienne Shelly</t>
  </si>
  <si>
    <t>The Statement </t>
  </si>
  <si>
    <t>Newt Arnold</t>
  </si>
  <si>
    <t>Paul Blart: Mall Cop </t>
  </si>
  <si>
    <t>Larry Clark</t>
  </si>
  <si>
    <t>Comedy|Family|Fantasy|Music|Romance</t>
  </si>
  <si>
    <t>Freaky Friday </t>
  </si>
  <si>
    <t>Fabián Bielinsky</t>
  </si>
  <si>
    <t>The 40-Year-Old Virgin </t>
  </si>
  <si>
    <t>Rebecca Miller</t>
  </si>
  <si>
    <t>Shakespeare in Love </t>
  </si>
  <si>
    <t>Maggie Carey</t>
  </si>
  <si>
    <t>A Walk Among the Tombstones </t>
  </si>
  <si>
    <t>Henry Bean</t>
  </si>
  <si>
    <t>Kindergarten Cop </t>
  </si>
  <si>
    <t>Jeff Garlin</t>
  </si>
  <si>
    <t>Pineapple Express </t>
  </si>
  <si>
    <t>Charles Chaplin</t>
  </si>
  <si>
    <t>Ever After: A Cinderella Story </t>
  </si>
  <si>
    <t>Pete Jones</t>
  </si>
  <si>
    <t>Open Range </t>
  </si>
  <si>
    <t>Bruce Campbell</t>
  </si>
  <si>
    <t>Flatliners </t>
  </si>
  <si>
    <t>Adam Carolla</t>
  </si>
  <si>
    <t>A Bridge Too Far </t>
  </si>
  <si>
    <t>Bruce McDonald</t>
  </si>
  <si>
    <t>Red Eye </t>
  </si>
  <si>
    <t>James Mottern</t>
  </si>
  <si>
    <t>Final Destination 2 </t>
  </si>
  <si>
    <t>William Cottrell</t>
  </si>
  <si>
    <t>Adventure|Comedy|Crime|Music</t>
  </si>
  <si>
    <t>O Brother, Where Art Thou? </t>
  </si>
  <si>
    <t>Lucrecia Martel</t>
  </si>
  <si>
    <t>Legion </t>
  </si>
  <si>
    <t>Zak Penn</t>
  </si>
  <si>
    <t>Pain &amp; Gain </t>
  </si>
  <si>
    <t>Steve Buscemi</t>
  </si>
  <si>
    <t>In Good Company </t>
  </si>
  <si>
    <t>Ham Tran</t>
  </si>
  <si>
    <t>Action|Adventure|Comedy|Sci-Fi|Thriller</t>
  </si>
  <si>
    <t>Clockstoppers </t>
  </si>
  <si>
    <t>Rich Cowan</t>
  </si>
  <si>
    <t>Action|Crime|Drama|Western</t>
  </si>
  <si>
    <t>Silverado </t>
  </si>
  <si>
    <t>Boris Rodriguez</t>
  </si>
  <si>
    <t>Brothers </t>
  </si>
  <si>
    <t>Jonathan Kesselman</t>
  </si>
  <si>
    <t>Action|Adventure|Comedy|Family|Romance|Sci-Fi</t>
  </si>
  <si>
    <t>Agent Cody Banks 2: Destination London </t>
  </si>
  <si>
    <t>Arjun Sablok</t>
  </si>
  <si>
    <t>New Year's Eve </t>
  </si>
  <si>
    <t>Youssef Delara</t>
  </si>
  <si>
    <t>Original Sin </t>
  </si>
  <si>
    <t>Claudia Sainte-Luce</t>
  </si>
  <si>
    <t>The Raven </t>
  </si>
  <si>
    <t>Jamie Babbit</t>
  </si>
  <si>
    <t>Welcome to Mooseport </t>
  </si>
  <si>
    <t>David Boyd</t>
  </si>
  <si>
    <t>Action|Fantasy|Romance|Sci-Fi</t>
  </si>
  <si>
    <t>Highlander: The Final Dimension </t>
  </si>
  <si>
    <t>Anna Muylaert</t>
  </si>
  <si>
    <t>Blood and Wine </t>
  </si>
  <si>
    <t>Steve Taylor</t>
  </si>
  <si>
    <t>Comedy|Crime|Mystery|Romance</t>
  </si>
  <si>
    <t>The Curse of the Jade Scorpion </t>
  </si>
  <si>
    <t>Kurt Voss</t>
  </si>
  <si>
    <t>Adventure|Family</t>
  </si>
  <si>
    <t>Flipper </t>
  </si>
  <si>
    <t>Léa Pool</t>
  </si>
  <si>
    <t>Self/less </t>
  </si>
  <si>
    <t>James David Pasternak</t>
  </si>
  <si>
    <t>The Constant Gardener </t>
  </si>
  <si>
    <t>Tom Sanchez</t>
  </si>
  <si>
    <t>Aramaic</t>
  </si>
  <si>
    <t>The Passion of the Christ </t>
  </si>
  <si>
    <t>Rob McKittrick</t>
  </si>
  <si>
    <t>Comedy|Drama|Family|Romance</t>
  </si>
  <si>
    <t>Mrs. Doubtfire </t>
  </si>
  <si>
    <t>Jeff Burr</t>
  </si>
  <si>
    <t>Rain Man </t>
  </si>
  <si>
    <t>Guy Maddin</t>
  </si>
  <si>
    <t>Gran Torino </t>
  </si>
  <si>
    <t>Panos Cosmatos</t>
  </si>
  <si>
    <t>W. </t>
  </si>
  <si>
    <t>Gareth Evans</t>
  </si>
  <si>
    <t>Taken </t>
  </si>
  <si>
    <t>Levan Gabriadze</t>
  </si>
  <si>
    <t>The Best of Me </t>
  </si>
  <si>
    <t>Bradley Parker</t>
  </si>
  <si>
    <t>Action|Drama|Music|Romance</t>
  </si>
  <si>
    <t>The Bodyguard </t>
  </si>
  <si>
    <t>Clive Barker</t>
  </si>
  <si>
    <t>Schindler's List </t>
  </si>
  <si>
    <t>Harold Cronk</t>
  </si>
  <si>
    <t>The Help </t>
  </si>
  <si>
    <t>Takao Okawara</t>
  </si>
  <si>
    <t>The Fifth Estate </t>
  </si>
  <si>
    <t>Duncan Tucker</t>
  </si>
  <si>
    <t>Adventure|Comedy|Family|Fantasy|Horror|Mystery</t>
  </si>
  <si>
    <t>Scooby-Doo 2: Monsters Unleashed </t>
  </si>
  <si>
    <t>Russ Meyer</t>
  </si>
  <si>
    <t>Freddy vs. Jason </t>
  </si>
  <si>
    <t>Ben Lewin</t>
  </si>
  <si>
    <t>Jimmy Neutron: Boy Genius </t>
  </si>
  <si>
    <t>Courtney Hunt</t>
  </si>
  <si>
    <t>Cloverfield </t>
  </si>
  <si>
    <t>Morgan Neville</t>
  </si>
  <si>
    <t>Teenage Mutant Ninja Turtles II: The Secret of the Ooze </t>
  </si>
  <si>
    <t>Chris Paine</t>
  </si>
  <si>
    <t>The Untouchables </t>
  </si>
  <si>
    <t>Greg Berlanti</t>
  </si>
  <si>
    <t>No Country for Old Men </t>
  </si>
  <si>
    <t>Marc Levin</t>
  </si>
  <si>
    <t>Ride Along </t>
  </si>
  <si>
    <t>Richard Dutcher</t>
  </si>
  <si>
    <t>Bridget Jones's Diary </t>
  </si>
  <si>
    <t>Khalid Mohamed</t>
  </si>
  <si>
    <t>Chocolat </t>
  </si>
  <si>
    <t>Finn Taylor</t>
  </si>
  <si>
    <t>Legally Blonde 2: Red, White &amp; Blonde </t>
  </si>
  <si>
    <t>Karen Moncrieff</t>
  </si>
  <si>
    <t>Parental Guidance </t>
  </si>
  <si>
    <t>José Luis Valenzuela</t>
  </si>
  <si>
    <t>No Strings Attached </t>
  </si>
  <si>
    <t>Goran Dukic</t>
  </si>
  <si>
    <t>Action|Biography|Drama|History|Romance|Western</t>
  </si>
  <si>
    <t>Tombstone </t>
  </si>
  <si>
    <t>Efram Potelle</t>
  </si>
  <si>
    <t>Romeo Must Die </t>
  </si>
  <si>
    <t>Joshua Oppenheimer</t>
  </si>
  <si>
    <t>Final Destination 3 </t>
  </si>
  <si>
    <t>Alex Gibney</t>
  </si>
  <si>
    <t>The Lucky One </t>
  </si>
  <si>
    <t>Paul Crowder</t>
  </si>
  <si>
    <t>Bridge to Terabithia </t>
  </si>
  <si>
    <t>Anthony Powell</t>
  </si>
  <si>
    <t>Biography|Drama|Family</t>
  </si>
  <si>
    <t>Finding Neverland </t>
  </si>
  <si>
    <t>Kief Davidson</t>
  </si>
  <si>
    <t>A Madea Christmas </t>
  </si>
  <si>
    <t>Johnny Remo</t>
  </si>
  <si>
    <t>The Grey </t>
  </si>
  <si>
    <t>Vivek Agnihotri</t>
  </si>
  <si>
    <t>Hide and Seek </t>
  </si>
  <si>
    <t>Ti West</t>
  </si>
  <si>
    <t>Anchorman: The Legend of Ron Burgundy </t>
  </si>
  <si>
    <t>Nick Tomnay</t>
  </si>
  <si>
    <t>Goodfellas </t>
  </si>
  <si>
    <t>Eric Nicholas</t>
  </si>
  <si>
    <t>Action|Adventure|Comedy|Crime|Family|Romance|Thriller</t>
  </si>
  <si>
    <t>Agent Cody Banks </t>
  </si>
  <si>
    <t>Benjamin Dickinson</t>
  </si>
  <si>
    <t>Nanny McPhee </t>
  </si>
  <si>
    <t>Hal Haberman</t>
  </si>
  <si>
    <t>Scarface </t>
  </si>
  <si>
    <t>Frank Whaley</t>
  </si>
  <si>
    <t>Nothing to Lose </t>
  </si>
  <si>
    <t>Elia Kazan</t>
  </si>
  <si>
    <t>The Last Emperor </t>
  </si>
  <si>
    <t>Kat Coiro</t>
  </si>
  <si>
    <t>Contraband </t>
  </si>
  <si>
    <t>Cristian Mungiu</t>
  </si>
  <si>
    <t>Money Talks </t>
  </si>
  <si>
    <t>Ramaa Mosley</t>
  </si>
  <si>
    <t>There Will Be Blood </t>
  </si>
  <si>
    <t>C. Jay Cox</t>
  </si>
  <si>
    <t>The Wild Thornberrys Movie </t>
  </si>
  <si>
    <t>Jamie Travis</t>
  </si>
  <si>
    <t>Rugrats Go Wild </t>
  </si>
  <si>
    <t>Rich Christiano</t>
  </si>
  <si>
    <t>Undercover Brother </t>
  </si>
  <si>
    <t>Asghar Farhadi</t>
  </si>
  <si>
    <t>The Sisterhood of the Traveling Pants </t>
  </si>
  <si>
    <t>Shane Dawson</t>
  </si>
  <si>
    <t>Kiss of the Dragon </t>
  </si>
  <si>
    <t>Ryan Little</t>
  </si>
  <si>
    <t>The House Bunny </t>
  </si>
  <si>
    <t>Matt Maiellaro</t>
  </si>
  <si>
    <t>Million Dollar Arm </t>
  </si>
  <si>
    <t>Ben Wheatley</t>
  </si>
  <si>
    <t>Drama|Romance|Sci-Fi</t>
  </si>
  <si>
    <t>The Giver </t>
  </si>
  <si>
    <t>Oliver Blackburn</t>
  </si>
  <si>
    <t>What a Girl Wants </t>
  </si>
  <si>
    <t>Ryan Fleck</t>
  </si>
  <si>
    <t>Jeepers Creepers II </t>
  </si>
  <si>
    <t>Jennifer Wynne Farmer</t>
  </si>
  <si>
    <t>Good Luck Chuck </t>
  </si>
  <si>
    <t>Christopher Scott Cherot</t>
  </si>
  <si>
    <t>Cradle 2 the Grave </t>
  </si>
  <si>
    <t>Mark Sandrich</t>
  </si>
  <si>
    <t>The Hours </t>
  </si>
  <si>
    <t>Daniel Myrick</t>
  </si>
  <si>
    <t>She's the Man </t>
  </si>
  <si>
    <t>Michael Wadleigh</t>
  </si>
  <si>
    <t>Mr. Bean's Holiday </t>
  </si>
  <si>
    <t>Gene Teigland</t>
  </si>
  <si>
    <t>Anacondas: The Hunt for the Blood Orchid </t>
  </si>
  <si>
    <t>Scott Ziehl</t>
  </si>
  <si>
    <t>Blood Ties </t>
  </si>
  <si>
    <t>U. Roberto Romano</t>
  </si>
  <si>
    <t>August Rush </t>
  </si>
  <si>
    <t>Joe Camp</t>
  </si>
  <si>
    <t>Elizabeth </t>
  </si>
  <si>
    <t>John 'Bud' Cardos</t>
  </si>
  <si>
    <t>Comedy|Fantasy|Horror|Romance</t>
  </si>
  <si>
    <t>Bride of Chucky </t>
  </si>
  <si>
    <t>Brian Baugh</t>
  </si>
  <si>
    <t>Tora! Tora! Tora! </t>
  </si>
  <si>
    <t>Barry W. Blaustein</t>
  </si>
  <si>
    <t>Comedy|Family|Music</t>
  </si>
  <si>
    <t>Spice World </t>
  </si>
  <si>
    <t>Kurt Hale</t>
  </si>
  <si>
    <t>Action|Comedy|Music</t>
  </si>
  <si>
    <t>Dance Flick </t>
  </si>
  <si>
    <t>Siddiq Barmak</t>
  </si>
  <si>
    <t>The Shawshank Redemption </t>
  </si>
  <si>
    <t>Joseph Dorman</t>
  </si>
  <si>
    <t>Adventure|Comedy|Crime</t>
  </si>
  <si>
    <t>Crocodile Dundee in Los Angeles </t>
  </si>
  <si>
    <t>Greg Harrison</t>
  </si>
  <si>
    <t>Kingpin </t>
  </si>
  <si>
    <t>Jacob Aaron Estes</t>
  </si>
  <si>
    <t>The Gambler </t>
  </si>
  <si>
    <t>Eric Schaeffer</t>
  </si>
  <si>
    <t>August: Osage County </t>
  </si>
  <si>
    <t>Neema Barnette</t>
  </si>
  <si>
    <t>A Lot Like Love </t>
  </si>
  <si>
    <t>Molly Bernstein</t>
  </si>
  <si>
    <t>Biography|Comedy|Drama|Sport</t>
  </si>
  <si>
    <t>Eddie the Eagle </t>
  </si>
  <si>
    <t>Marius A. Markevicius</t>
  </si>
  <si>
    <t>He Got Game </t>
  </si>
  <si>
    <t>Quentin Dupieux</t>
  </si>
  <si>
    <t>Don Juan DeMarco </t>
  </si>
  <si>
    <t>Alex Smith</t>
  </si>
  <si>
    <t>Dear John </t>
  </si>
  <si>
    <t>Gareth Edwards</t>
  </si>
  <si>
    <t>The Losers </t>
  </si>
  <si>
    <t>Sol Tryon</t>
  </si>
  <si>
    <t>Fantasy|Horror|Thriller</t>
  </si>
  <si>
    <t>Don't Be Afraid of the Dark </t>
  </si>
  <si>
    <t>Alex Craig Mann</t>
  </si>
  <si>
    <t>War </t>
  </si>
  <si>
    <t>Catherine Gund</t>
  </si>
  <si>
    <t>Comedy|Drama|Romance|Thriller</t>
  </si>
  <si>
    <t>Punch-Drunk Love </t>
  </si>
  <si>
    <t>Matty Rich</t>
  </si>
  <si>
    <t>EuroTrip </t>
  </si>
  <si>
    <t>Hans Canosa</t>
  </si>
  <si>
    <t>Half Past Dead </t>
  </si>
  <si>
    <t>Lloyd Kaufman</t>
  </si>
  <si>
    <t>Adventure|Comedy|Family|Romance</t>
  </si>
  <si>
    <t>Unaccompanied Minors </t>
  </si>
  <si>
    <t>Lloyd Bacon</t>
  </si>
  <si>
    <t>Bright Lights, Big City </t>
  </si>
  <si>
    <t>Whit Stillman</t>
  </si>
  <si>
    <t>Adventure|Family|Fantasy|Musical</t>
  </si>
  <si>
    <t>Italian</t>
  </si>
  <si>
    <t>The Adventures of Pinocchio </t>
  </si>
  <si>
    <t>Kay Pollak</t>
  </si>
  <si>
    <t>The Box </t>
  </si>
  <si>
    <t>Oren Peli</t>
  </si>
  <si>
    <t>The Ruins </t>
  </si>
  <si>
    <t>Sue Corcoran</t>
  </si>
  <si>
    <t>The Next Best Thing </t>
  </si>
  <si>
    <t>Jonathan Caouette</t>
  </si>
  <si>
    <t>My Soul to Take </t>
  </si>
  <si>
    <t>Ray Griggs</t>
  </si>
  <si>
    <t>The Girl Next Door </t>
  </si>
  <si>
    <t>Lucio Fulci</t>
  </si>
  <si>
    <t>Maximum Risk </t>
  </si>
  <si>
    <t>Roger Nygard</t>
  </si>
  <si>
    <t>Stealing Harvard </t>
  </si>
  <si>
    <t>Harry Beaumont</t>
  </si>
  <si>
    <t>Biography|Crime|Drama|History|Thriller</t>
  </si>
  <si>
    <t>Legend </t>
  </si>
  <si>
    <t>Franck Khalfoun</t>
  </si>
  <si>
    <t>Shark Night 3D </t>
  </si>
  <si>
    <t>Mor Loushy</t>
  </si>
  <si>
    <t>Angela's Ashes </t>
  </si>
  <si>
    <t>Henry Alex Rubin</t>
  </si>
  <si>
    <t>Draft Day </t>
  </si>
  <si>
    <t>Sam Firstenberg</t>
  </si>
  <si>
    <t>Crime|Drama|History</t>
  </si>
  <si>
    <t>The Conspirator </t>
  </si>
  <si>
    <t>Gregory Widen</t>
  </si>
  <si>
    <t>Lords of Dogtown </t>
  </si>
  <si>
    <t>Kelly Reichardt</t>
  </si>
  <si>
    <t>Chile</t>
  </si>
  <si>
    <t>The 33 </t>
  </si>
  <si>
    <t>Pan Nalin</t>
  </si>
  <si>
    <t>Big Trouble in Little China </t>
  </si>
  <si>
    <t>Michael Roemer</t>
  </si>
  <si>
    <t>Warrior </t>
  </si>
  <si>
    <t>Eddie O'Flaherty</t>
  </si>
  <si>
    <t>Biography|Drama|Thriller|War</t>
  </si>
  <si>
    <t>Michael Collins </t>
  </si>
  <si>
    <t>Bruce Dellis</t>
  </si>
  <si>
    <t>Gettysburg </t>
  </si>
  <si>
    <t>Craig Zobel</t>
  </si>
  <si>
    <t>Stop-Loss </t>
  </si>
  <si>
    <t>Maria Maggenti</t>
  </si>
  <si>
    <t>Drama|Music|Mystery|Romance|Thriller</t>
  </si>
  <si>
    <t>Abandon </t>
  </si>
  <si>
    <t>Piyush Dinker Pandya</t>
  </si>
  <si>
    <t>Brokedown Palace </t>
  </si>
  <si>
    <t>Emma-Kate Croghan</t>
  </si>
  <si>
    <t>The Possession </t>
  </si>
  <si>
    <t>Bill Plympton</t>
  </si>
  <si>
    <t>Mrs. Winterbourne </t>
  </si>
  <si>
    <t>Drake Doremus</t>
  </si>
  <si>
    <t>Straw Dogs </t>
  </si>
  <si>
    <t>Hilary Brougher</t>
  </si>
  <si>
    <t>The Hoax </t>
  </si>
  <si>
    <t>Tom Putnam</t>
  </si>
  <si>
    <t>Stone Cold </t>
  </si>
  <si>
    <t>Jon Shear</t>
  </si>
  <si>
    <t>The Road </t>
  </si>
  <si>
    <t>Eugène Lourié</t>
  </si>
  <si>
    <t>Underclassman </t>
  </si>
  <si>
    <t>Maurizio Benazzo</t>
  </si>
  <si>
    <t>Say It Isn't So </t>
  </si>
  <si>
    <t>David G. Evans</t>
  </si>
  <si>
    <t>The World's Fastest Indian </t>
  </si>
  <si>
    <t>Sherman Alexie</t>
  </si>
  <si>
    <t>Tank Girl </t>
  </si>
  <si>
    <t>Justin Dillon</t>
  </si>
  <si>
    <t>King's Ransom </t>
  </si>
  <si>
    <t>Ricki Stern</t>
  </si>
  <si>
    <t>Blindness </t>
  </si>
  <si>
    <t>Majid Majidi</t>
  </si>
  <si>
    <t>Action|Adventure|Fantasy|Horror</t>
  </si>
  <si>
    <t>BloodRayne </t>
  </si>
  <si>
    <t>Andrew Haigh</t>
  </si>
  <si>
    <t>Where the Truth Lies </t>
  </si>
  <si>
    <t>Mike Cahill</t>
  </si>
  <si>
    <t>Without Limits </t>
  </si>
  <si>
    <t>Melvin Van Peebles</t>
  </si>
  <si>
    <t>Me and Orson Welles </t>
  </si>
  <si>
    <t>Robinson Devor</t>
  </si>
  <si>
    <t>Crime|Drama|Mystery|Romance</t>
  </si>
  <si>
    <t>The Best Offer </t>
  </si>
  <si>
    <t>Michel Orion Scott</t>
  </si>
  <si>
    <t>Bad Lieutenant: Port of Call New Orleans </t>
  </si>
  <si>
    <t>Dena Seidel</t>
  </si>
  <si>
    <t>Little White Lies </t>
  </si>
  <si>
    <t>Sara Newens</t>
  </si>
  <si>
    <t>Love Ranch </t>
  </si>
  <si>
    <t>Lynn Shelton</t>
  </si>
  <si>
    <t>The Counselor </t>
  </si>
  <si>
    <t>Travis Cluff</t>
  </si>
  <si>
    <t>Kung Fu Killer </t>
  </si>
  <si>
    <t>Robert Townsend</t>
  </si>
  <si>
    <t>Dangerous Liaisons </t>
  </si>
  <si>
    <t>Larry Blamire</t>
  </si>
  <si>
    <t>On the Road </t>
  </si>
  <si>
    <t>E.L. Katz</t>
  </si>
  <si>
    <t>Star Trek IV: The Voyage Home </t>
  </si>
  <si>
    <t>Myles Berkowitz</t>
  </si>
  <si>
    <t>Rocky Balboa </t>
  </si>
  <si>
    <t>Brandon Trost</t>
  </si>
  <si>
    <t>Scream 2 </t>
  </si>
  <si>
    <t>Joe Swanberg</t>
  </si>
  <si>
    <t>Action|Drama|Western</t>
  </si>
  <si>
    <t>Jane Got a Gun </t>
  </si>
  <si>
    <t>Lena Dunham</t>
  </si>
  <si>
    <t>Think Like a Man Too </t>
  </si>
  <si>
    <t>Kevin Jordan</t>
  </si>
  <si>
    <t>The Whole Nine Yards </t>
  </si>
  <si>
    <t>Mike Bruce</t>
  </si>
  <si>
    <t>Footloose </t>
  </si>
  <si>
    <t>James Bidgood</t>
  </si>
  <si>
    <t>Old School </t>
  </si>
  <si>
    <t>Daryl Wein</t>
  </si>
  <si>
    <t>The Fisher King </t>
  </si>
  <si>
    <t>Jafar Panahi</t>
  </si>
  <si>
    <t>I Still Know What You Did Last Summer </t>
  </si>
  <si>
    <t>Kiyoshi Kurosawa</t>
  </si>
  <si>
    <t>Return to Me </t>
  </si>
  <si>
    <t>Shane Carruth</t>
  </si>
  <si>
    <t>Zack and Miri Make a Porno </t>
  </si>
  <si>
    <t>Neill Dela Llana</t>
  </si>
  <si>
    <t>Nurse Betty </t>
  </si>
  <si>
    <t>Comedy|War</t>
  </si>
  <si>
    <t>The Men Who Stare at Goats 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</si>
  <si>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</si>
  <si>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</si>
  <si>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</si>
  <si>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</si>
  <si>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</si>
  <si>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Adventure|Family|Fantasy|Music|Musical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</si>
  <si>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</si>
  <si>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</si>
  <si>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</si>
  <si>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</si>
  <si>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</si>
  <si>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</si>
  <si>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</si>
  <si>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Action|Adventure|Animation|Comedy|Fantasy</t>
  </si>
  <si>
    <t>The Princess and the Cobbler 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</si>
  <si>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</si>
  <si>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</si>
  <si>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</si>
  <si>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</si>
  <si>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</si>
  <si>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</si>
  <si>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</si>
  <si>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</si>
  <si>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</si>
  <si>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</si>
  <si>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</si>
  <si>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</si>
  <si>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</si>
  <si>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</si>
  <si>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</si>
  <si>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</si>
  <si>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</si>
  <si>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</si>
  <si>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</si>
  <si>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</si>
  <si>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</si>
  <si>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</si>
  <si>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</si>
  <si>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</si>
  <si>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</si>
  <si>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</si>
  <si>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</si>
  <si>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Coco Before Chanel </t>
  </si>
  <si>
    <t>Chéri </t>
  </si>
  <si>
    <t>Vanity Fair </t>
  </si>
  <si>
    <t>1408 </t>
  </si>
  <si>
    <t>Spaceballs 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</si>
  <si>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</si>
  <si>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</si>
  <si>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</si>
  <si>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</si>
  <si>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</si>
  <si>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</si>
  <si>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</si>
  <si>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</si>
  <si>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</si>
  <si>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</si>
  <si>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</si>
  <si>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</si>
  <si>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</si>
  <si>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</si>
  <si>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</si>
  <si>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</si>
  <si>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</si>
  <si>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</si>
  <si>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</si>
  <si>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</si>
  <si>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</si>
  <si>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</si>
  <si>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</si>
  <si>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</si>
  <si>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Comedy|Mystery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</si>
  <si>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</si>
  <si>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</si>
  <si>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</si>
  <si>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</si>
  <si>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</si>
  <si>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</si>
  <si>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</si>
  <si>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Comedy|Drama|Musical|Romance|War</t>
  </si>
  <si>
    <t>Darling Lili </t>
  </si>
  <si>
    <t>Dudley Do-Right </t>
  </si>
  <si>
    <t>The Transporter Refueled </t>
  </si>
  <si>
    <t>Dutch</t>
  </si>
  <si>
    <t>Netherlands</t>
  </si>
  <si>
    <t>Black Book </t>
  </si>
  <si>
    <t>Drama|History|Music|Romance|War</t>
  </si>
  <si>
    <t>Joyeux Noel </t>
  </si>
  <si>
    <t>Hit and Run </t>
  </si>
  <si>
    <t>Mad Money </t>
  </si>
  <si>
    <t>Before I Go to Sleep </t>
  </si>
  <si>
    <t>Stone 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</si>
  <si>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</si>
  <si>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</si>
  <si>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</si>
  <si>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</si>
  <si>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</si>
  <si>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</si>
  <si>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</si>
  <si>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</si>
  <si>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Animation|Comedy|Fantasy|Musical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</si>
  <si>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</si>
  <si>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</si>
  <si>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</si>
  <si>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</si>
  <si>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</si>
  <si>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</si>
  <si>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</si>
  <si>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</si>
  <si>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</si>
  <si>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</si>
  <si>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</si>
  <si>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</si>
  <si>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</si>
  <si>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</si>
  <si>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</si>
  <si>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</si>
  <si>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</si>
  <si>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</si>
  <si>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</si>
  <si>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</si>
  <si>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</si>
  <si>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</si>
  <si>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</si>
  <si>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</si>
  <si>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</si>
  <si>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Action|Comedy|Documentary</t>
  </si>
  <si>
    <t>Jackass 3D 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</si>
  <si>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</si>
  <si>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</si>
  <si>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</si>
  <si>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</si>
  <si>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</si>
  <si>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</si>
  <si>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</si>
  <si>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</si>
  <si>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</si>
  <si>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</si>
  <si>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</si>
  <si>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</si>
  <si>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</si>
  <si>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</si>
  <si>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12 Years a Slave </t>
  </si>
  <si>
    <t>Drumline </t>
  </si>
  <si>
    <t>Why Did I Get Married Too? </t>
  </si>
  <si>
    <t>Fantasy|Romance</t>
  </si>
  <si>
    <t>Edward Scissorhands </t>
  </si>
  <si>
    <t>Me Before You </t>
  </si>
  <si>
    <t>Madea's Witness Protection </t>
  </si>
  <si>
    <t>Bad Moms </t>
  </si>
  <si>
    <t>Date Movie </t>
  </si>
  <si>
    <t>Return to Never Land </t>
  </si>
  <si>
    <t>Selma </t>
  </si>
  <si>
    <t>Adventure|Animation|Family|Musical</t>
  </si>
  <si>
    <t>The Jungle Book 2 </t>
  </si>
  <si>
    <t>Boogeyman </t>
  </si>
  <si>
    <t>Premonition </t>
  </si>
  <si>
    <t>Animation|Comedy|Drama|Family|Musical</t>
  </si>
  <si>
    <t>The Tigger Movie </t>
  </si>
  <si>
    <t>Max </t>
  </si>
  <si>
    <t>Epic Movie </t>
  </si>
  <si>
    <t>Biography|Crime|Drama|History</t>
  </si>
  <si>
    <t>Spotlight </t>
  </si>
  <si>
    <t>Lakeview Terrace 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</si>
  <si>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</si>
  <si>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</si>
  <si>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</si>
  <si>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</si>
  <si>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</si>
  <si>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</si>
  <si>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</si>
  <si>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</si>
  <si>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</si>
  <si>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</si>
  <si>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</si>
  <si>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</si>
  <si>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</si>
  <si>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</si>
  <si>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</si>
  <si>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</si>
  <si>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</si>
  <si>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</si>
  <si>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</si>
  <si>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</si>
  <si>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</si>
  <si>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</si>
  <si>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</si>
  <si>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</si>
  <si>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</si>
  <si>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</si>
  <si>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</si>
  <si>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</si>
  <si>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</si>
  <si>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</si>
  <si>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Comedy|Crime|Family|Mystery|Romance|Thriller</t>
  </si>
  <si>
    <t>Nancy Drew </t>
  </si>
  <si>
    <t>Daybreakers </t>
  </si>
  <si>
    <t>She's Out of My League </t>
  </si>
  <si>
    <t>Hungary</t>
  </si>
  <si>
    <t>Monte Carlo </t>
  </si>
  <si>
    <t>Stay Alive </t>
  </si>
  <si>
    <t>Action|Adventure|Drama|Romance|Western</t>
  </si>
  <si>
    <t>Quigley Down Under </t>
  </si>
  <si>
    <t>Alpha and Omega </t>
  </si>
  <si>
    <t>The Covenant </t>
  </si>
  <si>
    <t>Shorts </t>
  </si>
  <si>
    <t>To Die For </t>
  </si>
  <si>
    <t>Adventure|Crime|Mystery|Sci-Fi|Thriller</t>
  </si>
  <si>
    <t>Nerve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</si>
  <si>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</si>
  <si>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</si>
  <si>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</si>
  <si>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</si>
  <si>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</si>
  <si>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</si>
  <si>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</si>
  <si>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</si>
  <si>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Adventure|Biography|Drama</t>
  </si>
  <si>
    <t>Into the Wild </t>
  </si>
  <si>
    <t>School for Scoundrels </t>
  </si>
  <si>
    <t>Adventure|Drama|Horror|Mystery|Thriller</t>
  </si>
  <si>
    <t>Silent Hill: Revelation 3D </t>
  </si>
  <si>
    <t>Crime|Fantasy|Horror</t>
  </si>
  <si>
    <t>From Dusk Till Dawn </t>
  </si>
  <si>
    <t>Animation|Family|Fantasy|Mystery</t>
  </si>
  <si>
    <t>Pooh's Heffalump Movie </t>
  </si>
  <si>
    <t>Home for the Holidays </t>
  </si>
  <si>
    <t>Action|Comedy|Crime|Fantasy</t>
  </si>
  <si>
    <t>Kung Fu Hustle </t>
  </si>
  <si>
    <t>Comedy|Family|Music|Musical</t>
  </si>
  <si>
    <t>The Country Bears </t>
  </si>
  <si>
    <t>Dari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</si>
  <si>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</si>
  <si>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</si>
  <si>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</si>
  <si>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</si>
  <si>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</si>
  <si>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</si>
  <si>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</si>
  <si>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</si>
  <si>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</si>
  <si>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</si>
  <si>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</si>
  <si>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</si>
  <si>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</si>
  <si>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</si>
  <si>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</si>
  <si>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</si>
  <si>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</si>
  <si>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</si>
  <si>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</si>
  <si>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</si>
  <si>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</si>
  <si>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</si>
  <si>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</si>
  <si>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</si>
  <si>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</si>
  <si>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</si>
  <si>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</si>
  <si>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</si>
  <si>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</si>
  <si>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</si>
  <si>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</si>
  <si>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</si>
  <si>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</si>
  <si>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</si>
  <si>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</si>
  <si>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</si>
  <si>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</si>
  <si>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</si>
  <si>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</si>
  <si>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</si>
  <si>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</si>
  <si>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</si>
  <si>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</si>
  <si>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Doogal </t>
  </si>
  <si>
    <t>Battle of the Year </t>
  </si>
  <si>
    <t>An American Carol </t>
  </si>
  <si>
    <t>Russia</t>
  </si>
  <si>
    <t>Machete Kills </t>
  </si>
  <si>
    <t>Willard </t>
  </si>
  <si>
    <t>Strange Wilderness </t>
  </si>
  <si>
    <t>Biography|Comedy|Drama|History|Music|Musical</t>
  </si>
  <si>
    <t>Topsy-Turvy </t>
  </si>
  <si>
    <t>Mexico</t>
  </si>
  <si>
    <t>Little Boy 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</si>
  <si>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</si>
  <si>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</si>
  <si>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</si>
  <si>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</si>
  <si>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</si>
  <si>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</si>
  <si>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</si>
  <si>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</si>
  <si>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</si>
  <si>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</si>
  <si>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</si>
  <si>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Adventure|Comedy|Drama|Romance</t>
  </si>
  <si>
    <t>The Brothers Bloom </t>
  </si>
  <si>
    <t>Synecdoche, New York </t>
  </si>
  <si>
    <t>Adventure|Animation|Fantasy</t>
  </si>
  <si>
    <t>Princess Mononoke </t>
  </si>
  <si>
    <t>Comedy|Drama|Mystery|Romance|Thriller|War</t>
  </si>
  <si>
    <t>Bon voyage </t>
  </si>
  <si>
    <t>Biography|Comedy|Musical</t>
  </si>
  <si>
    <t>Can't Stop the Music </t>
  </si>
  <si>
    <t>Crime|Drama|Western</t>
  </si>
  <si>
    <t>The Proposition </t>
  </si>
  <si>
    <t>Courage </t>
  </si>
  <si>
    <t>Marci X </t>
  </si>
  <si>
    <t>Equilibrium </t>
  </si>
  <si>
    <t>The Children of Huang Shi </t>
  </si>
  <si>
    <t>The Yards </t>
  </si>
  <si>
    <t>The Oogieloves in the Big Balloon Adventure </t>
  </si>
  <si>
    <t>By the Sea </t>
  </si>
  <si>
    <t>Action|Adventure|Animation|Family|Sci-Fi|Thriller</t>
  </si>
  <si>
    <t>Steamboy 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</si>
  <si>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</si>
  <si>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</si>
  <si>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</si>
  <si>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</si>
  <si>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</si>
  <si>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</si>
  <si>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Crime|Drama|Mystery</t>
  </si>
  <si>
    <t>People I Know </t>
  </si>
  <si>
    <t>The Tempest </t>
  </si>
  <si>
    <t>The Painted Veil </t>
  </si>
  <si>
    <t>German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</si>
  <si>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</si>
  <si>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</si>
  <si>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</si>
  <si>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</si>
  <si>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</si>
  <si>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</si>
  <si>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</si>
  <si>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</si>
  <si>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</si>
  <si>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</si>
  <si>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</si>
  <si>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</si>
  <si>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</si>
  <si>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</si>
  <si>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</si>
  <si>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</si>
  <si>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</si>
  <si>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</si>
  <si>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Adventure|Comedy|Romance</t>
  </si>
  <si>
    <t>Sex Drive </t>
  </si>
  <si>
    <t>Leap Year </t>
  </si>
  <si>
    <t>Take Me Home Tonight </t>
  </si>
  <si>
    <t>Family|Fantasy|Music</t>
  </si>
  <si>
    <t>The Nutcracker </t>
  </si>
  <si>
    <t>Crime|Drama|Music|Thriller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</si>
  <si>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</si>
  <si>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</si>
  <si>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</si>
  <si>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</si>
  <si>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</si>
  <si>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</si>
  <si>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</si>
  <si>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</si>
  <si>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</si>
  <si>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</si>
  <si>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</si>
  <si>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</si>
  <si>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</si>
  <si>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</si>
  <si>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Action|Drama|Fantasy|Mystery|Thriller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</si>
  <si>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</si>
  <si>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</si>
  <si>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</si>
  <si>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</si>
  <si>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</si>
  <si>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</si>
  <si>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</si>
  <si>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</si>
  <si>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</si>
  <si>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</si>
  <si>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</si>
  <si>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</si>
  <si>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</si>
  <si>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</si>
  <si>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</si>
  <si>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</si>
  <si>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</si>
  <si>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</si>
  <si>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</si>
  <si>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</si>
  <si>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</si>
  <si>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Biography|Drama|Family|Sport</t>
  </si>
  <si>
    <t>Soul Surfer </t>
  </si>
  <si>
    <t>Observe and Report </t>
  </si>
  <si>
    <t>Conan the Destroyer </t>
  </si>
  <si>
    <t>Raging Bull </t>
  </si>
  <si>
    <t>Love Happens </t>
  </si>
  <si>
    <t>Adventure|Fantasy|Mystery|Thriller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</si>
  <si>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</si>
  <si>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</si>
  <si>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</si>
  <si>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</si>
  <si>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</si>
  <si>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</si>
  <si>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</si>
  <si>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</si>
  <si>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</si>
  <si>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</si>
  <si>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</si>
  <si>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</si>
  <si>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</si>
  <si>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</si>
  <si>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</si>
  <si>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</si>
  <si>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</si>
  <si>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</si>
  <si>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</si>
  <si>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</si>
  <si>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</si>
  <si>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</si>
  <si>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</si>
  <si>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Mongolian</t>
  </si>
  <si>
    <t>Mongol: The Rise of Genghis Khan </t>
  </si>
  <si>
    <t>RocknRolla </t>
  </si>
  <si>
    <t>Megaforce </t>
  </si>
  <si>
    <t>Hamlet </t>
  </si>
  <si>
    <t>Greece</t>
  </si>
  <si>
    <t>Midnight Special </t>
  </si>
  <si>
    <t>Anything Else </t>
  </si>
  <si>
    <t>Biography|Drama|Romance|War</t>
  </si>
  <si>
    <t>The Railway Man </t>
  </si>
  <si>
    <t>The White Ribbon </t>
  </si>
  <si>
    <t>Action|Horror|Romance|Sci-Fi|Thriller</t>
  </si>
  <si>
    <t>The Wraith </t>
  </si>
  <si>
    <t>The Salton Sea </t>
  </si>
  <si>
    <t>Action|Drama|History|Romance|War|Western</t>
  </si>
  <si>
    <t>One Man's Hero </t>
  </si>
  <si>
    <t>Action|Animation|Sci-Fi|Thriller</t>
  </si>
  <si>
    <t>Renaissance </t>
  </si>
  <si>
    <t>Superbad </t>
  </si>
  <si>
    <t>Step Up 2: The Streets </t>
  </si>
  <si>
    <t>Action|Animation|Comedy|Crime|Family</t>
  </si>
  <si>
    <t>Hoodwinked! </t>
  </si>
  <si>
    <t>Hotel Rwanda </t>
  </si>
  <si>
    <t>Hitman </t>
  </si>
  <si>
    <t>Drama|Family|Music|Musical</t>
  </si>
  <si>
    <t>Black Nativity </t>
  </si>
  <si>
    <t>City of Ghosts </t>
  </si>
  <si>
    <t>The Others </t>
  </si>
  <si>
    <t>Aliens </t>
  </si>
  <si>
    <t>Drama|Family|Musical|Romance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</si>
  <si>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</si>
  <si>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</si>
  <si>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</si>
  <si>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</si>
  <si>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</si>
  <si>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</si>
  <si>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Comedy|Drama|Family|Fantasy|Sci-Fi</t>
  </si>
  <si>
    <t>Good Boy! </t>
  </si>
  <si>
    <t>The Best Man Holiday </t>
  </si>
  <si>
    <t>Smokin' Aces </t>
  </si>
  <si>
    <t>Saw 3D: The Final Chapter </t>
  </si>
  <si>
    <t>40 Days and 40 Nights </t>
  </si>
  <si>
    <t>Comedy|Music|Romance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</si>
  <si>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</si>
  <si>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</si>
  <si>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</si>
  <si>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</si>
  <si>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</si>
  <si>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</si>
  <si>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</si>
  <si>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</si>
  <si>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</si>
  <si>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</si>
  <si>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Adventure|Comedy|Family|Fantasy|Musical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</si>
  <si>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</si>
  <si>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</si>
  <si>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</si>
  <si>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</si>
  <si>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</si>
  <si>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</si>
  <si>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</si>
  <si>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Adventure|Crime|Drama|Romance</t>
  </si>
  <si>
    <t>Shanghai Surprise </t>
  </si>
  <si>
    <t>The Illusionist </t>
  </si>
  <si>
    <t>Roar </t>
  </si>
  <si>
    <t>Veronica Guerin </t>
  </si>
  <si>
    <t>Escobar: Paradise Lost </t>
  </si>
  <si>
    <t>Comedy|Mystery|Sci-Fi|Thriller</t>
  </si>
  <si>
    <t>Southland Tales </t>
  </si>
  <si>
    <t>The Apparition </t>
  </si>
  <si>
    <t>My Girl </t>
  </si>
  <si>
    <t>Fur: An Imaginary Portrait of Diane Arbus </t>
  </si>
  <si>
    <t>Wall Street </t>
  </si>
  <si>
    <t>Film-Noir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</si>
  <si>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</si>
  <si>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</si>
  <si>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</si>
  <si>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</si>
  <si>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</si>
  <si>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</si>
  <si>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</si>
  <si>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</si>
  <si>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</si>
  <si>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</si>
  <si>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</si>
  <si>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</si>
  <si>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</si>
  <si>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</si>
  <si>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</si>
  <si>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</si>
  <si>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</si>
  <si>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</si>
  <si>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</si>
  <si>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</si>
  <si>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</si>
  <si>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The Roommate </t>
  </si>
  <si>
    <t>Joe Dirt </t>
  </si>
  <si>
    <t>Double Impact </t>
  </si>
  <si>
    <t>Action|Comedy|Mystery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</si>
  <si>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</si>
  <si>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</si>
  <si>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</si>
  <si>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</si>
  <si>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</si>
  <si>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</si>
  <si>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Comedy|Crime|Mystery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</si>
  <si>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</si>
  <si>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</si>
  <si>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</si>
  <si>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</si>
  <si>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</si>
  <si>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</si>
  <si>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</si>
  <si>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</si>
  <si>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</si>
  <si>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</si>
  <si>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</si>
  <si>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</si>
  <si>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Action|Crime|Sci-Fi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</si>
  <si>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</si>
  <si>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</si>
  <si>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</si>
  <si>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</si>
  <si>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</si>
  <si>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</si>
  <si>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</si>
  <si>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</si>
  <si>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</si>
  <si>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</si>
  <si>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Slow Burn 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</si>
  <si>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</si>
  <si>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</si>
  <si>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</si>
  <si>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</si>
  <si>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</si>
  <si>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</si>
  <si>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</si>
  <si>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</si>
  <si>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Taiwan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</si>
  <si>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</si>
  <si>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</si>
  <si>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</si>
  <si>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</si>
  <si>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</si>
  <si>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</si>
  <si>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</si>
  <si>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</si>
  <si>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</si>
  <si>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</si>
  <si>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</si>
  <si>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</si>
  <si>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</si>
  <si>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</si>
  <si>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</si>
  <si>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Drama|Family|Romance</t>
  </si>
  <si>
    <t>Little Women </t>
  </si>
  <si>
    <t>The Woman in Black </t>
  </si>
  <si>
    <t>When a Stranger Calls </t>
  </si>
  <si>
    <t>Big Fat Liar </t>
  </si>
  <si>
    <t>Wag the Dog </t>
  </si>
  <si>
    <t>Adventure|Comedy|Family|Music|Romance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</si>
  <si>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</si>
  <si>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</si>
  <si>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</si>
  <si>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</si>
  <si>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</si>
  <si>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</si>
  <si>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</si>
  <si>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</si>
  <si>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</si>
  <si>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</si>
  <si>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</si>
  <si>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</si>
  <si>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</si>
  <si>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</si>
  <si>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</si>
  <si>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</si>
  <si>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Comedy|Horror|Thriller</t>
  </si>
  <si>
    <t>Halloween: Resurrection </t>
  </si>
  <si>
    <t>The Princess Bride </t>
  </si>
  <si>
    <t>The Great Debaters </t>
  </si>
  <si>
    <t>Drive </t>
  </si>
  <si>
    <t>Comedy|Family|Music|Romance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</si>
  <si>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</si>
  <si>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</si>
  <si>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</si>
  <si>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</si>
  <si>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</si>
  <si>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</si>
  <si>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</si>
  <si>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</si>
  <si>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Adventure|Fantasy|Horror|Mystery|Thriller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</si>
  <si>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</si>
  <si>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</si>
  <si>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</si>
  <si>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</si>
  <si>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</si>
  <si>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</si>
  <si>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</si>
  <si>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</si>
  <si>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</si>
  <si>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</si>
  <si>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</si>
  <si>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</si>
  <si>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</si>
  <si>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Official site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</si>
  <si>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</si>
  <si>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</si>
  <si>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</si>
  <si>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</si>
  <si>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</si>
  <si>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</si>
  <si>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</si>
  <si>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</si>
  <si>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</si>
  <si>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</si>
  <si>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</si>
  <si>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</si>
  <si>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Crime|Drama|Musical|Romance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</si>
  <si>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</si>
  <si>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</si>
  <si>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</si>
  <si>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</si>
  <si>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</si>
  <si>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</si>
  <si>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</si>
  <si>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</si>
  <si>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</si>
  <si>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</si>
  <si>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</si>
  <si>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</si>
  <si>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Family|Music|Romance</t>
  </si>
  <si>
    <t>Raise Your Voice </t>
  </si>
  <si>
    <t>The Big Lebowski </t>
  </si>
  <si>
    <t>Black Snake Moan </t>
  </si>
  <si>
    <t>Dark Blue </t>
  </si>
  <si>
    <t>Biography|Drama|History|Thriller|War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</si>
  <si>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</si>
  <si>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</si>
  <si>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</si>
  <si>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</si>
  <si>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</si>
  <si>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</si>
  <si>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</si>
  <si>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</si>
  <si>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</si>
  <si>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</si>
  <si>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</si>
  <si>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</si>
  <si>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Adventure|Crime|Drama|Mystery|Western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</si>
  <si>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</si>
  <si>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</si>
  <si>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</si>
  <si>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</si>
  <si>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</si>
  <si>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</si>
  <si>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</si>
  <si>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</si>
  <si>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</si>
  <si>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</si>
  <si>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</si>
  <si>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</si>
  <si>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</si>
  <si>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</si>
  <si>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</si>
  <si>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Comedy|Crime|Drama|Thriller|War</t>
  </si>
  <si>
    <t>Buffalo Soldiers </t>
  </si>
  <si>
    <t>Thai</t>
  </si>
  <si>
    <t>Thailand</t>
  </si>
  <si>
    <t>Ong-bak 2 </t>
  </si>
  <si>
    <t>Fantasy|Horror|Mystery</t>
  </si>
  <si>
    <t>The Midnight Meat Train </t>
  </si>
  <si>
    <t>The Son of No One </t>
  </si>
  <si>
    <t>Action|Comedy|Drama|War</t>
  </si>
  <si>
    <t>All the Queen's Men </t>
  </si>
  <si>
    <t>Comedy|Drama|Fantasy|Music|Romance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</si>
  <si>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</si>
  <si>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</si>
  <si>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</si>
  <si>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</si>
  <si>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</si>
  <si>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</si>
  <si>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</si>
  <si>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</si>
  <si>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</si>
  <si>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</si>
  <si>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</si>
  <si>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</si>
  <si>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</si>
  <si>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</si>
  <si>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</si>
  <si>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</si>
  <si>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</si>
  <si>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</si>
  <si>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</si>
  <si>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</si>
  <si>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</si>
  <si>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</si>
  <si>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</si>
  <si>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</si>
  <si>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</si>
  <si>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</si>
  <si>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</si>
  <si>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</si>
  <si>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Our Family Wedding </t>
  </si>
  <si>
    <t>Dead Man on Campus </t>
  </si>
  <si>
    <t>Comedy|Drama|War</t>
  </si>
  <si>
    <t>Tea with Mussolini </t>
  </si>
  <si>
    <t>Thinner </t>
  </si>
  <si>
    <t>Crooklyn </t>
  </si>
  <si>
    <t>Jason X </t>
  </si>
  <si>
    <t>Bobby </t>
  </si>
  <si>
    <t>Comedy|Mystery|Romance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</si>
  <si>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</si>
  <si>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</si>
  <si>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</si>
  <si>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</si>
  <si>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</si>
  <si>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</si>
  <si>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</si>
  <si>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</si>
  <si>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Iran</t>
  </si>
  <si>
    <t>Caravans </t>
  </si>
  <si>
    <t>Mr. Turner </t>
  </si>
  <si>
    <t>Biography|Crime|Drama|War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</si>
  <si>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</si>
  <si>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</si>
  <si>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</si>
  <si>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</si>
  <si>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</si>
  <si>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</si>
  <si>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</si>
  <si>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</si>
  <si>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</si>
  <si>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</si>
  <si>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</si>
  <si>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</si>
  <si>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</si>
  <si>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</si>
  <si>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</si>
  <si>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</si>
  <si>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</si>
  <si>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</si>
  <si>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</si>
  <si>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</si>
  <si>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</si>
  <si>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</si>
  <si>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</si>
  <si>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</si>
  <si>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</si>
  <si>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</si>
  <si>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</si>
  <si>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</si>
  <si>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</si>
  <si>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</si>
  <si>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</si>
  <si>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</si>
  <si>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Comedy|Crime|Family|Sci-Fi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</si>
  <si>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</si>
  <si>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</si>
  <si>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</si>
  <si>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</si>
  <si>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</si>
  <si>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</si>
  <si>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</si>
  <si>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</si>
  <si>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</si>
  <si>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Adventure|Family|Sci-Fi</t>
  </si>
  <si>
    <t>Earth to Echo </t>
  </si>
  <si>
    <t>Crazy/Beautiful </t>
  </si>
  <si>
    <t>Letters from Iwo Jima </t>
  </si>
  <si>
    <t>The Astronaut Farmer </t>
  </si>
  <si>
    <t>Woo </t>
  </si>
  <si>
    <t>Room </t>
  </si>
  <si>
    <t>Dirty Work </t>
  </si>
  <si>
    <t>Serial Mom </t>
  </si>
  <si>
    <t>Dick </t>
  </si>
  <si>
    <t>Light It Up </t>
  </si>
  <si>
    <t>54 </t>
  </si>
  <si>
    <t>Adventure|Comedy|Romance|Sci-Fi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</si>
  <si>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</si>
  <si>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</si>
  <si>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</si>
  <si>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</si>
  <si>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</si>
  <si>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</si>
  <si>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</si>
  <si>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</si>
  <si>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</si>
  <si>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</si>
  <si>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</si>
  <si>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</si>
  <si>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</si>
  <si>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</si>
  <si>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</si>
  <si>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</si>
  <si>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Bosnian</t>
  </si>
  <si>
    <t>In the Land of Blood and Honey </t>
  </si>
  <si>
    <t>The Call </t>
  </si>
  <si>
    <t>Operation Chromite 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</si>
  <si>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</si>
  <si>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</si>
  <si>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</si>
  <si>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</si>
  <si>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</si>
  <si>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</si>
  <si>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</si>
  <si>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</si>
  <si>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</si>
  <si>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</si>
  <si>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</si>
  <si>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</si>
  <si>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Crime|Drama|Musical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</si>
  <si>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</si>
  <si>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</si>
  <si>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</si>
  <si>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</si>
  <si>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</si>
  <si>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</si>
  <si>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</si>
  <si>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Korean</t>
  </si>
  <si>
    <t>Tae Guk Gi: The Brotherhood of War </t>
  </si>
  <si>
    <t>Comedy|Drama|Family|Sport</t>
  </si>
  <si>
    <t>The Perfect Game </t>
  </si>
  <si>
    <t>The Exorcist </t>
  </si>
  <si>
    <t>Jaws </t>
  </si>
  <si>
    <t>American Pie 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</si>
  <si>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</si>
  <si>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</si>
  <si>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</si>
  <si>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</si>
  <si>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</si>
  <si>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</si>
  <si>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</si>
  <si>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</si>
  <si>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</si>
  <si>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</si>
  <si>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Action|Adventure|Drama|Thriller|War</t>
  </si>
  <si>
    <t>Act of Valor </t>
  </si>
  <si>
    <t>Crime|Drama|Music|Romance</t>
  </si>
  <si>
    <t>Step Up 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</si>
  <si>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</si>
  <si>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</si>
  <si>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</si>
  <si>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</si>
  <si>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</si>
  <si>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</si>
  <si>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</si>
  <si>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</si>
  <si>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</si>
  <si>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</si>
  <si>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</si>
  <si>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</si>
  <si>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</si>
  <si>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</si>
  <si>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</si>
  <si>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Comedy|Drama|Family|Fantasy|Musical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</si>
  <si>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</si>
  <si>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</si>
  <si>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</si>
  <si>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</si>
  <si>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</si>
  <si>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</si>
  <si>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</si>
  <si>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</si>
  <si>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</si>
  <si>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</si>
  <si>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</si>
  <si>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</si>
  <si>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</si>
  <si>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</si>
  <si>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</si>
  <si>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</si>
  <si>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</si>
  <si>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</si>
  <si>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</si>
  <si>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West Germany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</si>
  <si>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</si>
  <si>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</si>
  <si>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</si>
  <si>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</si>
  <si>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</si>
  <si>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</si>
  <si>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</si>
  <si>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</si>
  <si>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</si>
  <si>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</si>
  <si>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</si>
  <si>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</si>
  <si>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</si>
  <si>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</si>
  <si>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</si>
  <si>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</si>
  <si>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</si>
  <si>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Comedy|Drama|Horror|Sci-Fi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</si>
  <si>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</si>
  <si>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</si>
  <si>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</si>
  <si>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</si>
  <si>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</si>
  <si>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</si>
  <si>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Crime|Drama|Romance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</si>
  <si>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</si>
  <si>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</si>
  <si>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</si>
  <si>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</si>
  <si>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</si>
  <si>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</si>
  <si>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</si>
  <si>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</si>
  <si>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Hungarian</t>
  </si>
  <si>
    <t>Fateless </t>
  </si>
  <si>
    <t>Breakfast of Champions </t>
  </si>
  <si>
    <t>City of Life and Death </t>
  </si>
  <si>
    <t>Georgia</t>
  </si>
  <si>
    <t>5 Days of War </t>
  </si>
  <si>
    <t>10 Days in a Madhouse </t>
  </si>
  <si>
    <t>Heaven Is for Real </t>
  </si>
  <si>
    <t>Snatch </t>
  </si>
  <si>
    <t>Pet Sematary </t>
  </si>
  <si>
    <t>Madadayo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</si>
  <si>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</si>
  <si>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</si>
  <si>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</si>
  <si>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</si>
  <si>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</si>
  <si>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</si>
  <si>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</si>
  <si>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Drama|Fantasy|Music|Romance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</si>
  <si>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</si>
  <si>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</si>
  <si>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</si>
  <si>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</si>
  <si>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</si>
  <si>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</si>
  <si>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</si>
  <si>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</si>
  <si>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</si>
  <si>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</si>
  <si>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</si>
  <si>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</si>
  <si>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</si>
  <si>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</si>
  <si>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</si>
  <si>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</si>
  <si>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</si>
  <si>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</si>
  <si>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</si>
  <si>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</si>
  <si>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</si>
  <si>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</si>
  <si>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</si>
  <si>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</si>
  <si>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</si>
  <si>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</si>
  <si>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</si>
  <si>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</si>
  <si>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</si>
  <si>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</si>
  <si>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</si>
  <si>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</si>
  <si>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Hindi</t>
  </si>
  <si>
    <t>Kabhi Alvida Naa Kehna </t>
  </si>
  <si>
    <t>An Ideal Husband </t>
  </si>
  <si>
    <t>The Last Days on Mars </t>
  </si>
  <si>
    <t>Darkness </t>
  </si>
  <si>
    <t>2001: A Space Odyssey </t>
  </si>
  <si>
    <t>Family|Sci-Fi</t>
  </si>
  <si>
    <t>E.T. the Extra-Terrestrial </t>
  </si>
  <si>
    <t>In the Land of Women </t>
  </si>
  <si>
    <t>There Goes My Baby </t>
  </si>
  <si>
    <t>For Greater Glory: The True Story of Cristiada </t>
  </si>
  <si>
    <t>Good Will Hunting </t>
  </si>
  <si>
    <t>Saw III </t>
  </si>
  <si>
    <t>Action|Comedy|War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</si>
  <si>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</si>
  <si>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</si>
  <si>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</si>
  <si>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</si>
  <si>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</si>
  <si>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</si>
  <si>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</si>
  <si>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</si>
  <si>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</si>
  <si>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</si>
  <si>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</si>
  <si>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</si>
  <si>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</si>
  <si>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</si>
  <si>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Drama|Family|Musical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</si>
  <si>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</si>
  <si>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</si>
  <si>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</si>
  <si>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</si>
  <si>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</si>
  <si>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</si>
  <si>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</si>
  <si>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</si>
  <si>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Action|Comedy|Drama|Music</t>
  </si>
  <si>
    <t>The Last Dragon </t>
  </si>
  <si>
    <t>The Lawnmower Man </t>
  </si>
  <si>
    <t>Nick and Norah's Infinite Playlist </t>
  </si>
  <si>
    <t>Adventure|Comedy|Drama|Fantasy</t>
  </si>
  <si>
    <t>Dogma </t>
  </si>
  <si>
    <t>The Banger Sisters </t>
  </si>
  <si>
    <t>Fantasy|Horror|Sci-Fi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</si>
  <si>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</si>
  <si>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</si>
  <si>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</si>
  <si>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</si>
  <si>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</si>
  <si>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</si>
  <si>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</si>
  <si>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</si>
  <si>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</si>
  <si>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</si>
  <si>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</si>
  <si>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</si>
  <si>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</si>
  <si>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</si>
  <si>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</si>
  <si>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</si>
  <si>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</si>
  <si>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</si>
  <si>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</si>
  <si>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</si>
  <si>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</si>
  <si>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</si>
  <si>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</si>
  <si>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</si>
  <si>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</si>
  <si>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</si>
  <si>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</si>
  <si>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</si>
  <si>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</si>
  <si>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</si>
  <si>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</si>
  <si>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</si>
  <si>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</si>
  <si>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</si>
  <si>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</si>
  <si>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</si>
  <si>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</si>
  <si>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</si>
  <si>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</si>
  <si>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</si>
  <si>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</si>
  <si>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</si>
  <si>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</si>
  <si>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</si>
  <si>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Adventure|Comedy|Drama|Romance|Sci-Fi</t>
  </si>
  <si>
    <t>Seeking a Friend for the End of the World </t>
  </si>
  <si>
    <t>American History X </t>
  </si>
  <si>
    <t>The Collection </t>
  </si>
  <si>
    <t>Teacher's Pet </t>
  </si>
  <si>
    <t>Drama|Music|Mystery|Romance</t>
  </si>
  <si>
    <t>The Red Violin </t>
  </si>
  <si>
    <t>The Straight Story </t>
  </si>
  <si>
    <t>Action|Crime|Drama</t>
  </si>
  <si>
    <t>Deuces Wild </t>
  </si>
  <si>
    <t>Bad Words </t>
  </si>
  <si>
    <t>Black or White </t>
  </si>
  <si>
    <t>On the Line </t>
  </si>
  <si>
    <t>Adventure|Biography|Drama|War</t>
  </si>
  <si>
    <t>Rescue Dawn </t>
  </si>
  <si>
    <t>Danny Collins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</si>
  <si>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</si>
  <si>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</si>
  <si>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</si>
  <si>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</si>
  <si>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</si>
  <si>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</si>
  <si>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</si>
  <si>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</si>
  <si>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</si>
  <si>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</si>
  <si>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</si>
  <si>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</si>
  <si>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</si>
  <si>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</si>
  <si>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</si>
  <si>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</si>
  <si>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</si>
  <si>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</si>
  <si>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</si>
  <si>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</si>
  <si>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</si>
  <si>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</si>
  <si>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</si>
  <si>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</si>
  <si>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</si>
  <si>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</si>
  <si>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</si>
  <si>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</si>
  <si>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</si>
  <si>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The Swindle </t>
  </si>
  <si>
    <t>Rosewater </t>
  </si>
  <si>
    <t>Imaginary Heroes </t>
  </si>
  <si>
    <t>Action|Comedy|Drama</t>
  </si>
  <si>
    <t>High Heels and Low Lifes </t>
  </si>
  <si>
    <t>Severance </t>
  </si>
  <si>
    <t>Edmond </t>
  </si>
  <si>
    <t>Police Academy: Mission to Moscow </t>
  </si>
  <si>
    <t>Cinco de Mayo, La Batalla </t>
  </si>
  <si>
    <t>An Alan Smithee Film: Burn Hollywood Burn </t>
  </si>
  <si>
    <t>The Open Road </t>
  </si>
  <si>
    <t>The Good Guy </t>
  </si>
  <si>
    <t>Motherhood </t>
  </si>
  <si>
    <t>Blonde Ambition </t>
  </si>
  <si>
    <t>The Oxford Murders </t>
  </si>
  <si>
    <t>Eulogy </t>
  </si>
  <si>
    <t>Icelandic</t>
  </si>
  <si>
    <t>Iceland</t>
  </si>
  <si>
    <t>Of Horses and Men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</si>
  <si>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</si>
  <si>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</si>
  <si>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</si>
  <si>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</si>
  <si>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</si>
  <si>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</si>
  <si>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</si>
  <si>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</si>
  <si>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Action|Drama|Romance|Thriller</t>
  </si>
  <si>
    <t>Kites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</si>
  <si>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</si>
  <si>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</si>
  <si>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</si>
  <si>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</si>
  <si>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</si>
  <si>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</si>
  <si>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</si>
  <si>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</si>
  <si>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</si>
  <si>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</si>
  <si>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</si>
  <si>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</si>
  <si>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</si>
  <si>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</si>
  <si>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</si>
  <si>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</si>
  <si>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</si>
  <si>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</si>
  <si>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</si>
  <si>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</si>
  <si>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</si>
  <si>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</si>
  <si>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</si>
  <si>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</si>
  <si>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</si>
  <si>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</si>
  <si>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</si>
  <si>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</si>
  <si>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</si>
  <si>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</si>
  <si>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</si>
  <si>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Danish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</si>
  <si>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</si>
  <si>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</si>
  <si>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</si>
  <si>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</si>
  <si>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</si>
  <si>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</si>
  <si>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</si>
  <si>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</si>
  <si>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</si>
  <si>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</si>
  <si>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</si>
  <si>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</si>
  <si>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</si>
  <si>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All Is Lost </t>
  </si>
  <si>
    <t>Limbo </t>
  </si>
  <si>
    <t>Horror|Musical|Sci-Fi</t>
  </si>
  <si>
    <t>Repo! The Genetic Opera </t>
  </si>
  <si>
    <t>Pulp Fiction </t>
  </si>
  <si>
    <t>Nightcrawler </t>
  </si>
  <si>
    <t>Club Dread </t>
  </si>
  <si>
    <t>Biography|Drama|Family|Musical|Romance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</si>
  <si>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</si>
  <si>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</si>
  <si>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</si>
  <si>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</si>
  <si>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</si>
  <si>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</si>
  <si>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</si>
  <si>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</si>
  <si>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Comedy|Crime|Drama|Romance|Thriller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</si>
  <si>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</si>
  <si>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</si>
  <si>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</si>
  <si>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</si>
  <si>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</si>
  <si>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</si>
  <si>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</si>
  <si>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</si>
  <si>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</si>
  <si>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</si>
  <si>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</si>
  <si>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</si>
  <si>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</si>
  <si>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</si>
  <si>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</si>
  <si>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Drama|Horror</t>
  </si>
  <si>
    <t>Shadow of the Vampire </t>
  </si>
  <si>
    <t>Prom </t>
  </si>
  <si>
    <t>Held Up </t>
  </si>
  <si>
    <t>Woman on Top </t>
  </si>
  <si>
    <t>Animation|Comedy|Drama|Romance</t>
  </si>
  <si>
    <t>Anomalisa </t>
  </si>
  <si>
    <t>Another Year </t>
  </si>
  <si>
    <t>Comedy|Crime|Musical|Romance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</si>
  <si>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</si>
  <si>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</si>
  <si>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</si>
  <si>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</si>
  <si>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</si>
  <si>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</si>
  <si>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</si>
  <si>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</si>
  <si>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</si>
  <si>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</si>
  <si>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</si>
  <si>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Comedy|Crime|Musical|Mystery</t>
  </si>
  <si>
    <t>The Singing Detective </t>
  </si>
  <si>
    <t>Fido </t>
  </si>
  <si>
    <t>The Wendell Baker Story </t>
  </si>
  <si>
    <t>Wild Target </t>
  </si>
  <si>
    <t>Pathology </t>
  </si>
  <si>
    <t>10th &amp; Wolf </t>
  </si>
  <si>
    <t>Dear Wendy </t>
  </si>
  <si>
    <t>Aloft </t>
  </si>
  <si>
    <t>Action|Animation|Sci-Fi</t>
  </si>
  <si>
    <t>Akira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</si>
  <si>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</si>
  <si>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</si>
  <si>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</si>
  <si>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</si>
  <si>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</si>
  <si>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</si>
  <si>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</si>
  <si>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</si>
  <si>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</si>
  <si>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</si>
  <si>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</si>
  <si>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</si>
  <si>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The Work and the Glory </t>
  </si>
  <si>
    <t>Extract </t>
  </si>
  <si>
    <t>Alias Betty </t>
  </si>
  <si>
    <t>Drama|Romance|Sci-Fi|Thriller</t>
  </si>
  <si>
    <t>Code 46 </t>
  </si>
  <si>
    <t>Albert Nobbs </t>
  </si>
  <si>
    <t>Ta Ra Rum Pum </t>
  </si>
  <si>
    <t>Animation|Biography|Drama|War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</si>
  <si>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</si>
  <si>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</si>
  <si>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</si>
  <si>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</si>
  <si>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</si>
  <si>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</si>
  <si>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</si>
  <si>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</si>
  <si>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</si>
  <si>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</si>
  <si>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</si>
  <si>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</si>
  <si>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</si>
  <si>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</si>
  <si>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</si>
  <si>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</si>
  <si>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</si>
  <si>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</si>
  <si>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</si>
  <si>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</si>
  <si>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</si>
  <si>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</si>
  <si>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</si>
  <si>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</si>
  <si>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</si>
  <si>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</si>
  <si>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</si>
  <si>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</si>
  <si>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</si>
  <si>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</si>
  <si>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</si>
  <si>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</si>
  <si>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</si>
  <si>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</si>
  <si>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</si>
  <si>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</si>
  <si>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Bride &amp; Prejudice </t>
  </si>
  <si>
    <t>Adventure|Biography|Drama|History</t>
  </si>
  <si>
    <t>Rabbit-Proof Fence </t>
  </si>
  <si>
    <t>Who's Your Caddy? </t>
  </si>
  <si>
    <t>Action|Crime|Horror|Sci-Fi|Thriller</t>
  </si>
  <si>
    <t>Split Second </t>
  </si>
  <si>
    <t>The Other Side of Heaven </t>
  </si>
  <si>
    <t>Veer-Zaara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</si>
  <si>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</si>
  <si>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</si>
  <si>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</si>
  <si>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</si>
  <si>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</si>
  <si>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</si>
  <si>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</si>
  <si>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</si>
  <si>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</si>
  <si>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</si>
  <si>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</si>
  <si>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</si>
  <si>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</si>
  <si>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Gerry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</si>
  <si>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</si>
  <si>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</si>
  <si>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</si>
  <si>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</si>
  <si>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</si>
  <si>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</si>
  <si>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</si>
  <si>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Aimee &amp; Jaguar </t>
  </si>
  <si>
    <t>The Chumscrubber </t>
  </si>
  <si>
    <t>Shade </t>
  </si>
  <si>
    <t>House at the End of the Street </t>
  </si>
  <si>
    <t>Drama|Mystery|War</t>
  </si>
  <si>
    <t>Incendies </t>
  </si>
  <si>
    <t>Remember Me, My Love </t>
  </si>
  <si>
    <t>Portuguese</t>
  </si>
  <si>
    <t>Brazil</t>
  </si>
  <si>
    <t>Elite Squad </t>
  </si>
  <si>
    <t>Annabelle </t>
  </si>
  <si>
    <t>Comedy|Drama|Musical</t>
  </si>
  <si>
    <t>Bran Nue Dae </t>
  </si>
  <si>
    <t>Boyz n the Hood 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</si>
  <si>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</si>
  <si>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</si>
  <si>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</si>
  <si>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</si>
  <si>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</si>
  <si>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</si>
  <si>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</si>
  <si>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</si>
  <si>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</si>
  <si>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</si>
  <si>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</si>
  <si>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</si>
  <si>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</si>
  <si>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</si>
  <si>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Aberdeen </t>
  </si>
  <si>
    <t>The Messenger </t>
  </si>
  <si>
    <t>Control </t>
  </si>
  <si>
    <t>The Terminator 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</si>
  <si>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</si>
  <si>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</si>
  <si>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</si>
  <si>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</si>
  <si>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</si>
  <si>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</si>
  <si>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</si>
  <si>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</si>
  <si>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Biography|Crime|Drama|Western</t>
  </si>
  <si>
    <t>Butch Cassidy and the Sundance Kid </t>
  </si>
  <si>
    <t>Comedy|Family|Fantasy|Musical</t>
  </si>
  <si>
    <t>Mary Poppins </t>
  </si>
  <si>
    <t>Ordinary People </t>
  </si>
  <si>
    <t>Crime|Drama|Musical|Romance|Thriller</t>
  </si>
  <si>
    <t>West Side Story </t>
  </si>
  <si>
    <t>Caddyshack 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</si>
  <si>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</si>
  <si>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</si>
  <si>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</si>
  <si>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</si>
  <si>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</si>
  <si>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</si>
  <si>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</si>
  <si>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</si>
  <si>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</si>
  <si>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</si>
  <si>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</si>
  <si>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</si>
  <si>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</si>
  <si>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</si>
  <si>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</si>
  <si>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</si>
  <si>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</si>
  <si>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</si>
  <si>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Adventure|Documentary|Short</t>
  </si>
  <si>
    <t>Dolphins and Whales 3D: Tribes of the Ocean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</si>
  <si>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</si>
  <si>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</si>
  <si>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</si>
  <si>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</si>
  <si>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</si>
  <si>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</si>
  <si>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</si>
  <si>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</si>
  <si>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</si>
  <si>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</si>
  <si>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</si>
  <si>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Comedy|Drama|Music|Musical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</si>
  <si>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</si>
  <si>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</si>
  <si>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</si>
  <si>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</si>
  <si>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</si>
  <si>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</si>
  <si>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</si>
  <si>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</si>
  <si>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Snow Flower and the Secret Fan </t>
  </si>
  <si>
    <t>Come Early Morning </t>
  </si>
  <si>
    <t>Lucky Break </t>
  </si>
  <si>
    <t>Surfer, Dude </t>
  </si>
  <si>
    <t>Deadfall </t>
  </si>
  <si>
    <t>L'auberge espagnole </t>
  </si>
  <si>
    <t>Song One </t>
  </si>
  <si>
    <t>Winter in Wartime 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</si>
  <si>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</si>
  <si>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</si>
  <si>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</si>
  <si>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</si>
  <si>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</si>
  <si>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</si>
  <si>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</si>
  <si>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</si>
  <si>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</si>
  <si>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</si>
  <si>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</si>
  <si>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</si>
  <si>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</si>
  <si>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</si>
  <si>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</si>
  <si>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</si>
  <si>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</si>
  <si>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</si>
  <si>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Finland</t>
  </si>
  <si>
    <t>Le Havre </t>
  </si>
  <si>
    <t>R100 </t>
  </si>
  <si>
    <t>Action|Comedy|Drama|Thriller</t>
  </si>
  <si>
    <t>Salvation Boulevard </t>
  </si>
  <si>
    <t>The Ten </t>
  </si>
  <si>
    <t>Norwegian</t>
  </si>
  <si>
    <t>Norway</t>
  </si>
  <si>
    <t>Headhunters </t>
  </si>
  <si>
    <t>Saint Ralph </t>
  </si>
  <si>
    <t>Insidious: Chapter 2 </t>
  </si>
  <si>
    <t>Saw II </t>
  </si>
  <si>
    <t>Drama|Horror|Mystery|Sci-Fi|Thriller</t>
  </si>
  <si>
    <t>10 Cloverfield Lane </t>
  </si>
  <si>
    <t>Comedy|Documentary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</si>
  <si>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</si>
  <si>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</si>
  <si>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</si>
  <si>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</si>
  <si>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</si>
  <si>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</si>
  <si>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</si>
  <si>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</si>
  <si>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</si>
  <si>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</si>
  <si>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</si>
  <si>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</si>
  <si>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</si>
  <si>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</si>
  <si>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</si>
  <si>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</si>
  <si>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</si>
  <si>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</si>
  <si>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</si>
  <si>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</si>
  <si>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</si>
  <si>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</si>
  <si>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</si>
  <si>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</si>
  <si>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</si>
  <si>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</si>
  <si>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</si>
  <si>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Adventure|Horror</t>
  </si>
  <si>
    <t>Friday the 13th Part VIII: Jason Takes Manhattan </t>
  </si>
  <si>
    <t>My Big Fat Greek Wedding </t>
  </si>
  <si>
    <t>Spring Breakers </t>
  </si>
  <si>
    <t>Halloween: The Curse of Michael Myers 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</si>
  <si>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</si>
  <si>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</si>
  <si>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</si>
  <si>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</si>
  <si>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</si>
  <si>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</si>
  <si>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</si>
  <si>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</si>
  <si>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</si>
  <si>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</si>
  <si>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</si>
  <si>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Fifty Shades of Black </t>
  </si>
  <si>
    <t>Not Easily Broken </t>
  </si>
  <si>
    <t>The Perfect Match </t>
  </si>
  <si>
    <t>Digimon: The Movie </t>
  </si>
  <si>
    <t>Saved! </t>
  </si>
  <si>
    <t>The Barbarian Invasions </t>
  </si>
  <si>
    <t>The Forsaken </t>
  </si>
  <si>
    <t>UHF </t>
  </si>
  <si>
    <t>Slums of Beverly Hills </t>
  </si>
  <si>
    <t>Made </t>
  </si>
  <si>
    <t>Moon </t>
  </si>
  <si>
    <t>Sea Rex 3D: Journey to a Prehistoric World </t>
  </si>
  <si>
    <t>The Sweet Hereafter </t>
  </si>
  <si>
    <t>Of Gods and Men </t>
  </si>
  <si>
    <t>Bottle Shock </t>
  </si>
  <si>
    <t>Biography|Crime|Drama|Romance|Thriller</t>
  </si>
  <si>
    <t>Heavenly Creatures </t>
  </si>
  <si>
    <t>90 Minutes in Heaven </t>
  </si>
  <si>
    <t>Everything Must Go </t>
  </si>
  <si>
    <t>Comedy|Crime|Drama|Mystery|Thriller</t>
  </si>
  <si>
    <t>Zero Effect </t>
  </si>
  <si>
    <t>The Machinist </t>
  </si>
  <si>
    <t>Light Sleeper </t>
  </si>
  <si>
    <t>Biography|Crime|Drama|Mystery|Thriller</t>
  </si>
  <si>
    <t>Kill the Messenger </t>
  </si>
  <si>
    <t>Rabbit Hole </t>
  </si>
  <si>
    <t>Party Monster </t>
  </si>
  <si>
    <t>Crime|Horror|Music|Thriller</t>
  </si>
  <si>
    <t>Green Room </t>
  </si>
  <si>
    <t>Atlas Shrugged: Who Is John Galt? </t>
  </si>
  <si>
    <t>Bottle Rocket </t>
  </si>
  <si>
    <t>Albino Alligator </t>
  </si>
  <si>
    <t>Lovely, Still </t>
  </si>
  <si>
    <t>Desert Blue </t>
  </si>
  <si>
    <t>The Visit </t>
  </si>
  <si>
    <t>Crime|Thriller|War</t>
  </si>
  <si>
    <t>Redacted </t>
  </si>
  <si>
    <t>Fascination </t>
  </si>
  <si>
    <t>Rudderless </t>
  </si>
  <si>
    <t>Comedy|Drama|Romance|War</t>
  </si>
  <si>
    <t>Czech</t>
  </si>
  <si>
    <t>I Served the King of England </t>
  </si>
  <si>
    <t>Soul Kitchen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</si>
  <si>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</si>
  <si>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</si>
  <si>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</si>
  <si>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</si>
  <si>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</si>
  <si>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</si>
  <si>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</si>
  <si>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</si>
  <si>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</si>
  <si>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</si>
  <si>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</si>
  <si>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</si>
  <si>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</si>
  <si>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</si>
  <si>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Drama|Musical</t>
  </si>
  <si>
    <t>Tango </t>
  </si>
  <si>
    <t>Moms' Night Out </t>
  </si>
  <si>
    <t>Donnie Darko </t>
  </si>
  <si>
    <t>Character </t>
  </si>
  <si>
    <t>Spun </t>
  </si>
  <si>
    <t>Lady Vengeance </t>
  </si>
  <si>
    <t>Mean Machine </t>
  </si>
  <si>
    <t>Exiled </t>
  </si>
  <si>
    <t>After.Life </t>
  </si>
  <si>
    <t>One Flew Over the Cuckoo's Nest </t>
  </si>
  <si>
    <t>Falcon Rising </t>
  </si>
  <si>
    <t>The Sweeney </t>
  </si>
  <si>
    <t>Whale Rider </t>
  </si>
  <si>
    <t>Paa </t>
  </si>
  <si>
    <t>Fantasy|Thriller</t>
  </si>
  <si>
    <t>Russian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</si>
  <si>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</si>
  <si>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</si>
  <si>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</si>
  <si>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</si>
  <si>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</si>
  <si>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</si>
  <si>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</si>
  <si>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</si>
  <si>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</si>
  <si>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</si>
  <si>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</si>
  <si>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</si>
  <si>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</si>
  <si>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</si>
  <si>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</si>
  <si>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</si>
  <si>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</si>
  <si>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</si>
  <si>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Crime|Drama|Fantasy|Romance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</si>
  <si>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</si>
  <si>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</si>
  <si>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</si>
  <si>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</si>
  <si>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</si>
  <si>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</si>
  <si>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</si>
  <si>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</si>
  <si>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</si>
  <si>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</si>
  <si>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</si>
  <si>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</si>
  <si>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</si>
  <si>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</si>
  <si>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None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</si>
  <si>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</si>
  <si>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</si>
  <si>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</si>
  <si>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</si>
  <si>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</si>
  <si>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</si>
  <si>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</si>
  <si>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Comedy|Horror|Mystery</t>
  </si>
  <si>
    <t>Psycho Beach Party </t>
  </si>
  <si>
    <t>The Big Tease </t>
  </si>
  <si>
    <t>Buen Día, Ramón </t>
  </si>
  <si>
    <t>Trust </t>
  </si>
  <si>
    <t>An Everlasting Piece </t>
  </si>
  <si>
    <t>Among Giants </t>
  </si>
  <si>
    <t>Adore </t>
  </si>
  <si>
    <t>Mondays in the Sun </t>
  </si>
  <si>
    <t>Stake Land </t>
  </si>
  <si>
    <t>The Last Time I Committed Suicide </t>
  </si>
  <si>
    <t>Futuro Beach </t>
  </si>
  <si>
    <t>Inescapable </t>
  </si>
  <si>
    <t>Gone with the Wind </t>
  </si>
  <si>
    <t>Desert Dancer </t>
  </si>
  <si>
    <t>Adventure|War|Western</t>
  </si>
  <si>
    <t>Major Dundee </t>
  </si>
  <si>
    <t>Biography|Comedy|Musical|Romance|Western</t>
  </si>
  <si>
    <t>Annie Get Your Gun </t>
  </si>
  <si>
    <t>Defendor </t>
  </si>
  <si>
    <t>Adventure|Comedy|Musical|Romance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</si>
  <si>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</si>
  <si>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</si>
  <si>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</si>
  <si>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</si>
  <si>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</si>
  <si>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</si>
  <si>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</si>
  <si>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</si>
  <si>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</si>
  <si>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</si>
  <si>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</si>
  <si>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</si>
  <si>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Argentina</t>
  </si>
  <si>
    <t>The Secret in Their Eyes </t>
  </si>
  <si>
    <t>Evil Dead II </t>
  </si>
  <si>
    <t>Action|Adventure|Comedy|Musical</t>
  </si>
  <si>
    <t>Pootie Tang </t>
  </si>
  <si>
    <t>La otra conquista </t>
  </si>
  <si>
    <t>Comedy|Drama|Fantasy|Horror</t>
  </si>
  <si>
    <t>Trollhunter </t>
  </si>
  <si>
    <t>Ira &amp; Abby </t>
  </si>
  <si>
    <t>Winter Passing </t>
  </si>
  <si>
    <t>D.E.B.S. </t>
  </si>
  <si>
    <t>Action|Biography|Crime|Drama|Family|Fantasy</t>
  </si>
  <si>
    <t>The Masked Saint </t>
  </si>
  <si>
    <t>Time to Choose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</si>
  <si>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</si>
  <si>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</si>
  <si>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</si>
  <si>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</si>
  <si>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</si>
  <si>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</si>
  <si>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</si>
  <si>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</si>
  <si>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Dreaming of Joseph Lees </t>
  </si>
  <si>
    <t>Colombia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</si>
  <si>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</si>
  <si>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</si>
  <si>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</si>
  <si>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</si>
  <si>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</si>
  <si>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</si>
  <si>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</si>
  <si>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</si>
  <si>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Crime|Documentary|Drama</t>
  </si>
  <si>
    <t>Bowling for Columbine 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</si>
  <si>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</si>
  <si>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</si>
  <si>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</si>
  <si>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</si>
  <si>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</si>
  <si>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</si>
  <si>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</si>
  <si>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</si>
  <si>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</si>
  <si>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</si>
  <si>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</si>
  <si>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Comedy|Documentary|Music</t>
  </si>
  <si>
    <t>Dave Chappelle's Block Party </t>
  </si>
  <si>
    <t>Next Day Air 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</si>
  <si>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</si>
  <si>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</si>
  <si>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</si>
  <si>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</si>
  <si>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</si>
  <si>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</si>
  <si>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</si>
  <si>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Crime|Drama|History|Romance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</si>
  <si>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</si>
  <si>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</si>
  <si>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</si>
  <si>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</si>
  <si>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</si>
  <si>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</si>
  <si>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Zulu</t>
  </si>
  <si>
    <t>Tsotsi </t>
  </si>
  <si>
    <t>Happiness </t>
  </si>
  <si>
    <t>DysFunktional Family </t>
  </si>
  <si>
    <t>Comedy|Drama|Horror</t>
  </si>
  <si>
    <t>Tusk </t>
  </si>
  <si>
    <t>Oldboy </t>
  </si>
  <si>
    <t>Letters to God </t>
  </si>
  <si>
    <t>Hobo with a Shotgun </t>
  </si>
  <si>
    <t>Compadres </t>
  </si>
  <si>
    <t>Bachelorette </t>
  </si>
  <si>
    <t>Tim and Eric's Billion Dollar Movie </t>
  </si>
  <si>
    <t>Summer Storm </t>
  </si>
  <si>
    <t>Fort McCoy </t>
  </si>
  <si>
    <t>Chain Letter </t>
  </si>
  <si>
    <t>Just Looking </t>
  </si>
  <si>
    <t>The Divide </t>
  </si>
  <si>
    <t>Tanner Hall </t>
  </si>
  <si>
    <t>Central Station </t>
  </si>
  <si>
    <t>Boynton Beach Club </t>
  </si>
  <si>
    <t>Freakonomics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</si>
  <si>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</si>
  <si>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</si>
  <si>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</si>
  <si>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</si>
  <si>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</si>
  <si>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</si>
  <si>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</si>
  <si>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</si>
  <si>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</si>
  <si>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</si>
  <si>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</si>
  <si>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Beer League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</si>
  <si>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</si>
  <si>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</si>
  <si>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</si>
  <si>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</si>
  <si>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</si>
  <si>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</si>
  <si>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</si>
  <si>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</si>
  <si>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</si>
  <si>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</si>
  <si>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Comedy|Crime|Drama|Sci-Fi</t>
  </si>
  <si>
    <t>Robot &amp; Frank </t>
  </si>
  <si>
    <t>My Life Without Me 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</si>
  <si>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</si>
  <si>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</si>
  <si>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</si>
  <si>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</si>
  <si>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</si>
  <si>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Fuel </t>
  </si>
  <si>
    <t>Valley of the Heart's Delight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</si>
  <si>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</si>
  <si>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</si>
  <si>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</si>
  <si>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</si>
  <si>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</si>
  <si>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</si>
  <si>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</si>
  <si>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Poland</t>
  </si>
  <si>
    <t>Thr3e </t>
  </si>
  <si>
    <t>This Is England </t>
  </si>
  <si>
    <t>Go for It! </t>
  </si>
  <si>
    <t>Fantasia </t>
  </si>
  <si>
    <t>Friday the 13th Part III </t>
  </si>
  <si>
    <t>Friday the 13th: A New Beginning </t>
  </si>
  <si>
    <t>The Last Sin Eater </t>
  </si>
  <si>
    <t>Do You Believe? </t>
  </si>
  <si>
    <t>The Best Years of Our Lives </t>
  </si>
  <si>
    <t>Elling </t>
  </si>
  <si>
    <t>Mi America </t>
  </si>
  <si>
    <t>From Russia with Love </t>
  </si>
  <si>
    <t>Action|Comedy|Horror|Sci-Fi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</si>
  <si>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</si>
  <si>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</si>
  <si>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</si>
  <si>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</si>
  <si>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</si>
  <si>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</si>
  <si>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</si>
  <si>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</si>
  <si>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Animation|Comedy|Drama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</si>
  <si>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</si>
  <si>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</si>
  <si>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</si>
  <si>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</si>
  <si>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</si>
  <si>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</si>
  <si>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</si>
  <si>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</si>
  <si>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</si>
  <si>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</si>
  <si>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</si>
  <si>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</si>
  <si>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</si>
  <si>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Animation|Biography|Documentary|Drama|History|War</t>
  </si>
  <si>
    <t>Hebrew</t>
  </si>
  <si>
    <t>Israel</t>
  </si>
  <si>
    <t>Waltz with Bashir </t>
  </si>
  <si>
    <t>The Book of Mormon Movie, Volume 1: The Journey </t>
  </si>
  <si>
    <t>Documentary|War</t>
  </si>
  <si>
    <t>No End in Sight </t>
  </si>
  <si>
    <t>The Diary of a Teenage Girl </t>
  </si>
  <si>
    <t>Documentary|History</t>
  </si>
  <si>
    <t>In the Shadow of the Moon </t>
  </si>
  <si>
    <t>Biography|Documentary|History</t>
  </si>
  <si>
    <t>Inside Deep Throat </t>
  </si>
  <si>
    <t>The Virginity Hit </t>
  </si>
  <si>
    <t>House of D </t>
  </si>
  <si>
    <t>Action|Adventure|Comedy|Drama|Music|Sci-Fi</t>
  </si>
  <si>
    <t>Six-String Samurai </t>
  </si>
  <si>
    <t>Saint John of Las Vegas </t>
  </si>
  <si>
    <t>Stonewall </t>
  </si>
  <si>
    <t>The Missing Person </t>
  </si>
  <si>
    <t>London </t>
  </si>
  <si>
    <t>Sherrybaby </t>
  </si>
  <si>
    <t>Gangster's Paradise: Jerusalema </t>
  </si>
  <si>
    <t>Crime|Drama|Film-Noir|Mystery|Thriller</t>
  </si>
  <si>
    <t>The Lady from Shanghai </t>
  </si>
  <si>
    <t>Comedy|Fantasy|Musical|Sci-Fi</t>
  </si>
  <si>
    <t>The Ghastly Love of Johnny X </t>
  </si>
  <si>
    <t>River's Edge </t>
  </si>
  <si>
    <t>Northfork </t>
  </si>
  <si>
    <t>Buried </t>
  </si>
  <si>
    <t>One to Another </t>
  </si>
  <si>
    <t>Biography|Crime|Documentary|History|Thriller</t>
  </si>
  <si>
    <t>Man on Wire </t>
  </si>
  <si>
    <t>Brotherly Love </t>
  </si>
  <si>
    <t>The Last Exorcism </t>
  </si>
  <si>
    <t>El crimen del padre Amaro </t>
  </si>
  <si>
    <t>Beasts of the Southern Wild </t>
  </si>
  <si>
    <t>Songcatcher </t>
  </si>
  <si>
    <t>The Greatest Movie Ever Sold </t>
  </si>
  <si>
    <t>Dzongkha</t>
  </si>
  <si>
    <t>Travelers and Magicians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</si>
  <si>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</si>
  <si>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</si>
  <si>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</si>
  <si>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</si>
  <si>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</si>
  <si>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</si>
  <si>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</si>
  <si>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</si>
  <si>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Foolish </t>
  </si>
  <si>
    <t>Arabic</t>
  </si>
  <si>
    <t>Caramel </t>
  </si>
  <si>
    <t>The Bubble </t>
  </si>
  <si>
    <t>Mississippi Mermaid </t>
  </si>
  <si>
    <t>I Love Your Work </t>
  </si>
  <si>
    <t>Waitress 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</si>
  <si>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</si>
  <si>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</si>
  <si>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</si>
  <si>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</si>
  <si>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</si>
  <si>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</si>
  <si>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</si>
  <si>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</si>
  <si>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</si>
  <si>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</si>
  <si>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</si>
  <si>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</si>
  <si>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</si>
  <si>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</si>
  <si>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</si>
  <si>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</si>
  <si>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</si>
  <si>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The Salon </t>
  </si>
  <si>
    <t>Road Hard </t>
  </si>
  <si>
    <t>Amigo </t>
  </si>
  <si>
    <t>Pontypool </t>
  </si>
  <si>
    <t>Trucker </t>
  </si>
  <si>
    <t>The Lords of Salem </t>
  </si>
  <si>
    <t>Snow White and the Seven Dwarfs </t>
  </si>
  <si>
    <t>The Holy Girl </t>
  </si>
  <si>
    <t>Adventure|Comedy|Horror</t>
  </si>
  <si>
    <t>Incident at Loch Ness </t>
  </si>
  <si>
    <t>Lock, Stock and Two Smoking Barrels </t>
  </si>
  <si>
    <t>The Celebration </t>
  </si>
  <si>
    <t>Trees Lounge </t>
  </si>
  <si>
    <t>Vietnamese</t>
  </si>
  <si>
    <t>Journey from the Fall </t>
  </si>
  <si>
    <t>The Basket </t>
  </si>
  <si>
    <t>Eddie: The Sleepwalking Cannibal </t>
  </si>
  <si>
    <t>The Hebrew Hammer </t>
  </si>
  <si>
    <t>Neal 'N' Nikki </t>
  </si>
  <si>
    <t>Friday the 13th Part 2 </t>
  </si>
  <si>
    <t>Filly Brown </t>
  </si>
  <si>
    <t>Sex, Lies, and Videotape </t>
  </si>
  <si>
    <t>Saw </t>
  </si>
  <si>
    <t>Super Troopers </t>
  </si>
  <si>
    <t>The Amazing Catfish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</si>
  <si>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</si>
  <si>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</si>
  <si>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</si>
  <si>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</si>
  <si>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</si>
  <si>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</si>
  <si>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</si>
  <si>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</si>
  <si>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</si>
  <si>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Pink Ribbons, Inc. </t>
  </si>
  <si>
    <t>Certifiably Jonathan </t>
  </si>
  <si>
    <t>The Knife of Don Juan </t>
  </si>
  <si>
    <t>Adventure|Comedy|Sport</t>
  </si>
  <si>
    <t>Airborne </t>
  </si>
  <si>
    <t>Waiting... </t>
  </si>
  <si>
    <t>Dead Man's Shoes </t>
  </si>
  <si>
    <t>Action|Drama|Horror|Thriller</t>
  </si>
  <si>
    <t>From a Whisper to a Scream </t>
  </si>
  <si>
    <t>Comedy|Horror|Musical</t>
  </si>
  <si>
    <t>Dracula: Pages from a Virgin's Diary </t>
  </si>
  <si>
    <t>Beyond the Black Rainbow </t>
  </si>
  <si>
    <t>Indonesian</t>
  </si>
  <si>
    <t>Indonesia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</si>
  <si>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</si>
  <si>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</si>
  <si>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</si>
  <si>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</si>
  <si>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</si>
  <si>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</si>
  <si>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</si>
  <si>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</si>
  <si>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</si>
  <si>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</si>
  <si>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</si>
  <si>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</si>
  <si>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</si>
  <si>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</si>
  <si>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</si>
  <si>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</si>
  <si>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</si>
  <si>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</si>
  <si>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</si>
  <si>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</si>
  <si>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</si>
  <si>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</si>
  <si>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</si>
  <si>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</si>
  <si>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</si>
  <si>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Fiza </t>
  </si>
  <si>
    <t>Orgazmo </t>
  </si>
  <si>
    <t>All the Real Girls </t>
  </si>
  <si>
    <t>Dream with the Fishes </t>
  </si>
  <si>
    <t>Blue Car </t>
  </si>
  <si>
    <t>Luminarias </t>
  </si>
  <si>
    <t>Wristcutters: A Love Story </t>
  </si>
  <si>
    <t>The Battle of Shaker Heights </t>
  </si>
  <si>
    <t>Biography|Crime|Documentary|History</t>
  </si>
  <si>
    <t>The Act of Killing </t>
  </si>
  <si>
    <t>Crime|Documentary|War</t>
  </si>
  <si>
    <t>Taxi to the Dark Side </t>
  </si>
  <si>
    <t>Documentary|Sport</t>
  </si>
  <si>
    <t>Once in a Lifetime: The Extraordinary Story of the New York Cosmos </t>
  </si>
  <si>
    <t>Adventure|Biography|Documentary|Drama</t>
  </si>
  <si>
    <t>Antarctica: A Year on Ice </t>
  </si>
  <si>
    <t>A Lego Brickumentary </t>
  </si>
  <si>
    <t>Hardflip </t>
  </si>
  <si>
    <t>Chocolate: Deep Dark Secrets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</si>
  <si>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</si>
  <si>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</si>
  <si>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</si>
  <si>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</si>
  <si>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</si>
  <si>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</si>
  <si>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</si>
  <si>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</si>
  <si>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</si>
  <si>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</si>
  <si>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</si>
  <si>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Romanian</t>
  </si>
  <si>
    <t>4 Months, 3 Weeks and 2 Days </t>
  </si>
  <si>
    <t>Hard Candy </t>
  </si>
  <si>
    <t>The Quiet </t>
  </si>
  <si>
    <t>Fruitvale Station </t>
  </si>
  <si>
    <t>Comedy|Fantasy|Thriller</t>
  </si>
  <si>
    <t>The Brass Teapot </t>
  </si>
  <si>
    <t>The Hammer </t>
  </si>
  <si>
    <t>Latter Days </t>
  </si>
  <si>
    <t>For a Good Time, Call... </t>
  </si>
  <si>
    <t>Drama|Fantasy|Sci-Fi</t>
  </si>
  <si>
    <t>Time Changer </t>
  </si>
  <si>
    <t>Persian</t>
  </si>
  <si>
    <t>A Separation </t>
  </si>
  <si>
    <t>Welcome to the Dollhouse </t>
  </si>
  <si>
    <t>Ruby in Paradise </t>
  </si>
  <si>
    <t>Raising Victor Vargas </t>
  </si>
  <si>
    <t>Deterrence </t>
  </si>
  <si>
    <t>Not Cool </t>
  </si>
  <si>
    <t>Dead Snow </t>
  </si>
  <si>
    <t>Action|Adventure|Drama|War</t>
  </si>
  <si>
    <t>Saints and Soldiers </t>
  </si>
  <si>
    <t>American Graffiti </t>
  </si>
  <si>
    <t>Action|Adventure|Animation|Comedy|Fantasy|Sci-Fi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</si>
  <si>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</si>
  <si>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</si>
  <si>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</si>
  <si>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</si>
  <si>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</si>
  <si>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</si>
  <si>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Documentary|Drama|Sport</t>
  </si>
  <si>
    <t>Hoop Dreams </t>
  </si>
  <si>
    <t>L.I.E. </t>
  </si>
  <si>
    <t>Half Nelson </t>
  </si>
  <si>
    <t>Naturally Native </t>
  </si>
  <si>
    <t>Hav Plenty </t>
  </si>
  <si>
    <t>Top Hat </t>
  </si>
  <si>
    <t>The Blair Witch Project </t>
  </si>
  <si>
    <t>Documentary|History|Music</t>
  </si>
  <si>
    <t>Woodstock </t>
  </si>
  <si>
    <t>Mercy Streets </t>
  </si>
  <si>
    <t>Arnolds Park </t>
  </si>
  <si>
    <t>Broken Vessels </t>
  </si>
  <si>
    <t>A Hard Day's Night </t>
  </si>
  <si>
    <t>The Harvest/La Cosecha </t>
  </si>
  <si>
    <t>Fireproof </t>
  </si>
  <si>
    <t>Adventure|Family|Romance</t>
  </si>
  <si>
    <t>Benji </t>
  </si>
  <si>
    <t>Adventure|Biography|Drama|Horror|Thriller</t>
  </si>
  <si>
    <t>Open Water </t>
  </si>
  <si>
    <t>Kingdom of the Spiders </t>
  </si>
  <si>
    <t>The Station Agent </t>
  </si>
  <si>
    <t>To Save a Life </t>
  </si>
  <si>
    <t>Biography|Documentary|Sport</t>
  </si>
  <si>
    <t>Beyond the Mat </t>
  </si>
  <si>
    <t>The Singles Ward </t>
  </si>
  <si>
    <t>Afghanistan</t>
  </si>
  <si>
    <t>Osama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</si>
  <si>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</si>
  <si>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</si>
  <si>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</si>
  <si>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</si>
  <si>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</si>
  <si>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</si>
  <si>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</si>
  <si>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</si>
  <si>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</si>
  <si>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Deceptive Practice: The Mysteries and Mentors of Ricky Jay </t>
  </si>
  <si>
    <t>Seven Samurai </t>
  </si>
  <si>
    <t>The Other Dream Team </t>
  </si>
  <si>
    <t>Finishing the Game: The Search for a New Bruce Lee </t>
  </si>
  <si>
    <t>Rubber </t>
  </si>
  <si>
    <t>Kiss the Bride </t>
  </si>
  <si>
    <t>The Slaughter Rule </t>
  </si>
  <si>
    <t>Monsters </t>
  </si>
  <si>
    <t>The Living Wake </t>
  </si>
  <si>
    <t>Detention of the Dead </t>
  </si>
  <si>
    <t>Action|Biography|Documentary|Sport</t>
  </si>
  <si>
    <t>Born to Fly: Elizabeth Streb vs. Gravity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</si>
  <si>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</si>
  <si>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</si>
  <si>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</si>
  <si>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</si>
  <si>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</si>
  <si>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</si>
  <si>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Swedish</t>
  </si>
  <si>
    <t>Sweden</t>
  </si>
  <si>
    <t>As It Is in Heaven </t>
  </si>
  <si>
    <t>Napoleon Dynamite </t>
  </si>
  <si>
    <t>Blue Ruin </t>
  </si>
  <si>
    <t>Paranormal Activity </t>
  </si>
  <si>
    <t>Monty Python and the Holy Grail </t>
  </si>
  <si>
    <t>Quinceañera </t>
  </si>
  <si>
    <t>Comedy|Fantasy|Horror|Musical</t>
  </si>
  <si>
    <t>Gory Gory Hallelujah </t>
  </si>
  <si>
    <t>Biography|Documentary</t>
  </si>
  <si>
    <t>Tarnation </t>
  </si>
  <si>
    <t>I Want Your Money </t>
  </si>
  <si>
    <t>The Beyond </t>
  </si>
  <si>
    <t>What Happens in Vegas </t>
  </si>
  <si>
    <t>Trekkies </t>
  </si>
  <si>
    <t>The Broadway Melody </t>
  </si>
  <si>
    <t>Maniac </t>
  </si>
  <si>
    <t>Censored Voices </t>
  </si>
  <si>
    <t>Murderball </t>
  </si>
  <si>
    <t>American Ninja 2: The Confrontation </t>
  </si>
  <si>
    <t>Tumbleweeds </t>
  </si>
  <si>
    <t>Action|Fantasy|Horror|Mystery|Thriller</t>
  </si>
  <si>
    <t>The Prophecy </t>
  </si>
  <si>
    <t>When the Cat's Away </t>
  </si>
  <si>
    <t>Pieces of April </t>
  </si>
  <si>
    <t>Old Joy </t>
  </si>
  <si>
    <t>Wendy and Lucy </t>
  </si>
  <si>
    <t>Ayurveda: Art of Being </t>
  </si>
  <si>
    <t>Nothing But a Man </t>
  </si>
  <si>
    <t>First Love, Last Rites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</si>
  <si>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</si>
  <si>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</si>
  <si>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</si>
  <si>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</si>
  <si>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</si>
  <si>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</si>
  <si>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</si>
  <si>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</si>
  <si>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</si>
  <si>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</si>
  <si>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Love and Other Catastrophes </t>
  </si>
  <si>
    <t>Animation|Comedy|Drama|Fantasy|Sci-Fi</t>
  </si>
  <si>
    <t>I Married a Strange Person! </t>
  </si>
  <si>
    <t>November </t>
  </si>
  <si>
    <t>Like Crazy </t>
  </si>
  <si>
    <t>Sugar Town </t>
  </si>
  <si>
    <t>The Canyons </t>
  </si>
  <si>
    <t>The Sticky Fingers of Time </t>
  </si>
  <si>
    <t>Burn </t>
  </si>
  <si>
    <t>Urbania </t>
  </si>
  <si>
    <t>Adventure|Horror|Sci-Fi</t>
  </si>
  <si>
    <t>The Beast from 20,000 Fathoms </t>
  </si>
  <si>
    <t>Swingers </t>
  </si>
  <si>
    <t>A Fistful of Dollars </t>
  </si>
  <si>
    <t>Short Cut to Nirvana: Kumbh Mela </t>
  </si>
  <si>
    <t>The Grace Card </t>
  </si>
  <si>
    <t>Middle of Nowhere </t>
  </si>
  <si>
    <t>The Business of Fancydancing </t>
  </si>
  <si>
    <t>Call + Response </t>
  </si>
  <si>
    <t>Crime|Documentary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</si>
  <si>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</si>
  <si>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</si>
  <si>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</si>
  <si>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</si>
  <si>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</si>
  <si>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</si>
  <si>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</si>
  <si>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</si>
  <si>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Woman Chaser </t>
  </si>
  <si>
    <t>The Horse Boy </t>
  </si>
  <si>
    <t>Adventure|Documentary</t>
  </si>
  <si>
    <t>Antarctic Edge: 70° South </t>
  </si>
  <si>
    <t>Top Spin </t>
  </si>
  <si>
    <t>Roger &amp; Me </t>
  </si>
  <si>
    <t>Your Sister's Sister </t>
  </si>
  <si>
    <t>Facing the Giants </t>
  </si>
  <si>
    <t>The Gallows </t>
  </si>
  <si>
    <t>Hollywood Shuffle </t>
  </si>
  <si>
    <t>The Lost Skeleton of Cadavra </t>
  </si>
  <si>
    <t>Comedy|Crime|Drama|Horror|Thriller</t>
  </si>
  <si>
    <t>Cheap Thrills </t>
  </si>
  <si>
    <t>Pi </t>
  </si>
  <si>
    <t>20 Dates </t>
  </si>
  <si>
    <t>Comedy|Documentary|Drama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</si>
  <si>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</si>
  <si>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</si>
  <si>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</si>
  <si>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</si>
  <si>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</si>
  <si>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</si>
  <si>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</si>
  <si>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The Legend of God's Gun </t>
  </si>
  <si>
    <t>Clerks </t>
  </si>
  <si>
    <t>Pink Narcissus </t>
  </si>
  <si>
    <t>In the Company of Men </t>
  </si>
  <si>
    <t>Slacker </t>
  </si>
  <si>
    <t>The Puffy Chair </t>
  </si>
  <si>
    <t>Breaking Upwards </t>
  </si>
  <si>
    <t>Comedy|Crime|Horror</t>
  </si>
  <si>
    <t>Pink Flamingos </t>
  </si>
  <si>
    <t>Clean </t>
  </si>
  <si>
    <t>The Circle </t>
  </si>
  <si>
    <t>The Cure </t>
  </si>
  <si>
    <t>Primer </t>
  </si>
  <si>
    <t>Philippines</t>
  </si>
  <si>
    <t>Cavite 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</si>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</sst>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2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TableStylePreset4_Accent1" pivot="0" count="7" xr9:uid="{E80031A0-62FC-435E-9621-CFD856E535BA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  <tableStyle name="IMDB_Movies-style 2" pivot="0" count="3" xr9:uid="{89FB8174-AA08-41DC-B36C-D7393CD4C042}">
      <tableStyleElement type="headerRow" dxfId="41"/>
      <tableStyleElement type="firstRowStripe" dxfId="40"/>
      <tableStyleElement type="secondRowStripe" dxfId="39"/>
    </tableStyle>
    <tableStyle name="PivotStylePreset2_Accent1" table="0" count="10" xr9:uid="{267968C8-6FFD-4C36-ACC1-9EA1FD1885CA}">
      <tableStyleElement type="headerRow" dxfId="51"/>
      <tableStyleElement type="totalRow" dxfId="50"/>
      <tableStyleElement type="firstRowStripe" dxfId="49"/>
      <tableStyleElement type="firstColumnStripe" dxfId="48"/>
      <tableStyleElement type="firstSubtotalRow" dxfId="47"/>
      <tableStyleElement type="secondSubtotalRow" dxfId="46"/>
      <tableStyleElement type="firstRowSubheading" dxfId="45"/>
      <tableStyleElement type="secondRowSubheading" dxfId="44"/>
      <tableStyleElement type="pageFieldLabels" dxfId="43"/>
      <tableStyleElement type="pageFieldValues" dxfId="4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Movie Genre Analysis</a:t>
            </a:r>
            <a:endParaRPr b="1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[1]IMDB_Movies!$P$6</c:f>
              <c:strCache>
                <c:ptCount val="1"/>
                <c:pt idx="0">
                  <c:v>Mean_imdb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[1]IMDB_Movies!$P$7:$P$23</c:f>
              <c:numCache>
                <c:formatCode>General</c:formatCode>
                <c:ptCount val="17"/>
                <c:pt idx="0">
                  <c:v>6.28598930481284</c:v>
                </c:pt>
                <c:pt idx="1">
                  <c:v>6.45496083550914</c:v>
                </c:pt>
                <c:pt idx="2">
                  <c:v>6.78911564625852</c:v>
                </c:pt>
                <c:pt idx="3">
                  <c:v>6.7005076142132</c:v>
                </c:pt>
                <c:pt idx="4">
                  <c:v>6.18331099195712</c:v>
                </c:pt>
                <c:pt idx="5">
                  <c:v>6.46949602122015</c:v>
                </c:pt>
                <c:pt idx="6">
                  <c:v>6.54814814814815</c:v>
                </c:pt>
                <c:pt idx="7">
                  <c:v>7.1400826446281</c:v>
                </c:pt>
                <c:pt idx="8">
                  <c:v>6.28508064516129</c:v>
                </c:pt>
                <c:pt idx="9">
                  <c:v>7.01194029850746</c:v>
                </c:pt>
                <c:pt idx="10">
                  <c:v>6.32727272727272</c:v>
                </c:pt>
                <c:pt idx="11">
                  <c:v>5.90395778364116</c:v>
                </c:pt>
                <c:pt idx="12">
                  <c:v>6.42621247113164</c:v>
                </c:pt>
                <c:pt idx="13">
                  <c:v>6.2</c:v>
                </c:pt>
                <c:pt idx="14">
                  <c:v>6.76551724137931</c:v>
                </c:pt>
                <c:pt idx="15">
                  <c:v>6.55098039215686</c:v>
                </c:pt>
                <c:pt idx="16">
                  <c:v>6.37230910763571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[1]IMDB_Movies!$Q$6</c:f>
              <c:strCache>
                <c:ptCount val="1"/>
                <c:pt idx="0">
                  <c:v>Median_imdb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[1]IMDB_Movies!$Q$7:$Q$23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[1]IMDB_Movies!$R$6</c:f>
              <c:strCache>
                <c:ptCount val="1"/>
                <c:pt idx="0">
                  <c:v>Mode_imdb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[1]IMDB_Movies!$R$7:$R$23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[1]IMDB_Movies!$S$6</c:f>
              <c:strCache>
                <c:ptCount val="1"/>
                <c:pt idx="0">
                  <c:v>Max_imdb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[1]IMDB_Movies!$S$7:$S$23</c:f>
              <c:numCache>
                <c:formatCode>General</c:formatCode>
                <c:ptCount val="17"/>
                <c:pt idx="0">
                  <c:v>9</c:v>
                </c:pt>
                <c:pt idx="1">
                  <c:v>8.9</c:v>
                </c:pt>
                <c:pt idx="2">
                  <c:v>9.3</c:v>
                </c:pt>
                <c:pt idx="3">
                  <c:v>8.6</c:v>
                </c:pt>
                <c:pt idx="4">
                  <c:v>8.8</c:v>
                </c:pt>
                <c:pt idx="5">
                  <c:v>8.6</c:v>
                </c:pt>
                <c:pt idx="6">
                  <c:v>9.3</c:v>
                </c:pt>
                <c:pt idx="7">
                  <c:v>8.9</c:v>
                </c:pt>
                <c:pt idx="8">
                  <c:v>8.9</c:v>
                </c:pt>
                <c:pt idx="9">
                  <c:v>8.5</c:v>
                </c:pt>
                <c:pt idx="10">
                  <c:v>8.8</c:v>
                </c:pt>
                <c:pt idx="11">
                  <c:v>8.6</c:v>
                </c:pt>
                <c:pt idx="12">
                  <c:v>8.5</c:v>
                </c:pt>
                <c:pt idx="13">
                  <c:v>8.6</c:v>
                </c:pt>
                <c:pt idx="14">
                  <c:v>8.9</c:v>
                </c:pt>
                <c:pt idx="15">
                  <c:v>8.5</c:v>
                </c:pt>
                <c:pt idx="16">
                  <c:v>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[1]IMDB_Movies!$T$6</c:f>
              <c:strCache>
                <c:ptCount val="1"/>
                <c:pt idx="0">
                  <c:v>Min_imdb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[1]IMDB_Movies!$T$7:$T$23</c:f>
              <c:numCache>
                <c:formatCode>General</c:formatCode>
                <c:ptCount val="17"/>
                <c:pt idx="0">
                  <c:v>2.1</c:v>
                </c:pt>
                <c:pt idx="1">
                  <c:v>2.3</c:v>
                </c:pt>
                <c:pt idx="2">
                  <c:v>2.1</c:v>
                </c:pt>
                <c:pt idx="3">
                  <c:v>2.8</c:v>
                </c:pt>
                <c:pt idx="4">
                  <c:v>1.9</c:v>
                </c:pt>
                <c:pt idx="5">
                  <c:v>3.1</c:v>
                </c:pt>
                <c:pt idx="6">
                  <c:v>2.4</c:v>
                </c:pt>
                <c:pt idx="7">
                  <c:v>4.5</c:v>
                </c:pt>
                <c:pt idx="8">
                  <c:v>2.2</c:v>
                </c:pt>
                <c:pt idx="9">
                  <c:v>1.6</c:v>
                </c:pt>
                <c:pt idx="10">
                  <c:v>1.9</c:v>
                </c:pt>
                <c:pt idx="11">
                  <c:v>2.3</c:v>
                </c:pt>
                <c:pt idx="12">
                  <c:v>2.1</c:v>
                </c:pt>
                <c:pt idx="13">
                  <c:v>1.9</c:v>
                </c:pt>
                <c:pt idx="14">
                  <c:v>4.1</c:v>
                </c:pt>
                <c:pt idx="15">
                  <c:v>2.1</c:v>
                </c:pt>
                <c:pt idx="16">
                  <c:v>2.7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[1]IMDB_Movies!$U$6</c:f>
              <c:strCache>
                <c:ptCount val="1"/>
                <c:pt idx="0">
                  <c:v>StdDev_imdb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[1]IMDB_Movies!$U$7:$U$23</c:f>
              <c:numCache>
                <c:formatCode>General</c:formatCode>
                <c:ptCount val="17"/>
                <c:pt idx="0">
                  <c:v>1.03835773599182</c:v>
                </c:pt>
                <c:pt idx="1">
                  <c:v>1.11692630802086</c:v>
                </c:pt>
                <c:pt idx="2">
                  <c:v>0.891064897784645</c:v>
                </c:pt>
                <c:pt idx="3">
                  <c:v>0.993627525474462</c:v>
                </c:pt>
                <c:pt idx="4">
                  <c:v>1.03991901212409</c:v>
                </c:pt>
                <c:pt idx="5">
                  <c:v>1.00739183496774</c:v>
                </c:pt>
                <c:pt idx="6">
                  <c:v>0.984105198754088</c:v>
                </c:pt>
                <c:pt idx="7">
                  <c:v>0.710096709990876</c:v>
                </c:pt>
                <c:pt idx="8">
                  <c:v>1.14041424050556</c:v>
                </c:pt>
                <c:pt idx="9">
                  <c:v>1.19993969394674</c:v>
                </c:pt>
                <c:pt idx="10">
                  <c:v>1.16718415024353</c:v>
                </c:pt>
                <c:pt idx="11">
                  <c:v>0.991023285121101</c:v>
                </c:pt>
                <c:pt idx="12">
                  <c:v>0.968996248974355</c:v>
                </c:pt>
                <c:pt idx="13">
                  <c:v>1.16957645791504</c:v>
                </c:pt>
                <c:pt idx="14">
                  <c:v>0.998516746319247</c:v>
                </c:pt>
                <c:pt idx="15">
                  <c:v>1.14353500018208</c:v>
                </c:pt>
                <c:pt idx="16">
                  <c:v>0.96907832659458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[1]IMDB_Movies!$V$6</c:f>
              <c:strCache>
                <c:ptCount val="1"/>
                <c:pt idx="0">
                  <c:v>Var_imdb</c:v>
                </c:pt>
              </c:strCache>
            </c:strRef>
          </c:tx>
          <c:spPr>
            <a:ln w="19050" cap="rnd" cmpd="sng" algn="ctr">
              <a:solidFill>
                <a:srgbClr val="7BAAF7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[1]IMDB_Movies!$N$7:$N$23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[1]IMDB_Movies!$V$7:$V$23</c:f>
              <c:numCache>
                <c:formatCode>General</c:formatCode>
                <c:ptCount val="17"/>
                <c:pt idx="0">
                  <c:v>1.07818678789406</c:v>
                </c:pt>
                <c:pt idx="1">
                  <c:v>1.24752437754911</c:v>
                </c:pt>
                <c:pt idx="2">
                  <c:v>0.79399665206396</c:v>
                </c:pt>
                <c:pt idx="3">
                  <c:v>0.987295659380503</c:v>
                </c:pt>
                <c:pt idx="4">
                  <c:v>1.08143155177715</c:v>
                </c:pt>
                <c:pt idx="5">
                  <c:v>1.01483830915966</c:v>
                </c:pt>
                <c:pt idx="6">
                  <c:v>0.968463042214823</c:v>
                </c:pt>
                <c:pt idx="7">
                  <c:v>0.504237337539866</c:v>
                </c:pt>
                <c:pt idx="8">
                  <c:v>1.30054463994787</c:v>
                </c:pt>
                <c:pt idx="9">
                  <c:v>1.439855269109</c:v>
                </c:pt>
                <c:pt idx="10">
                  <c:v>1.36231884057971</c:v>
                </c:pt>
                <c:pt idx="11">
                  <c:v>0.98212715165222</c:v>
                </c:pt>
                <c:pt idx="12">
                  <c:v>0.93895373052637</c:v>
                </c:pt>
                <c:pt idx="13">
                  <c:v>1.36790909090909</c:v>
                </c:pt>
                <c:pt idx="14">
                  <c:v>0.997035692679976</c:v>
                </c:pt>
                <c:pt idx="15">
                  <c:v>1.30767229664143</c:v>
                </c:pt>
                <c:pt idx="16">
                  <c:v>0.939112803075352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82680571"/>
        <c:axId val="1783514565"/>
      </c:lineChart>
      <c:catAx>
        <c:axId val="138268057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83514565"/>
        <c:crosses val="autoZero"/>
        <c:auto val="1"/>
        <c:lblAlgn val="ctr"/>
        <c:lblOffset val="100"/>
        <c:noMultiLvlLbl val="0"/>
      </c:catAx>
      <c:valAx>
        <c:axId val="178351456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8268057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28575" cap="flat" cmpd="sng" algn="ctr">
      <a:noFill/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'#REF'!#REF!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'#REF'!#REF!</c:f>
              <c:numCache>
                <c:ptCount val="0"/>
              </c:numCache>
            </c:numRef>
          </c:cat>
          <c:val>
            <c:numRef>
              <c:f>'#REF'!#REF!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355834126"/>
        <c:axId val="530707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{0,0,0,0,0,0,0,0,0,0,0,0,0,0,0,0,0}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{6.3,6.6,6.7,6.6,6.4,6.5,6.6,7.1,6.5,7.3,6.6,6.2,6.6,6.5,6.6,6.6,6.5}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6.3</c:v>
                      </c:pt>
                      <c:pt idx="1">
                        <c:v>6.6</c:v>
                      </c:pt>
                      <c:pt idx="2">
                        <c:v>6.7</c:v>
                      </c:pt>
                      <c:pt idx="3">
                        <c:v>6.6</c:v>
                      </c:pt>
                      <c:pt idx="4">
                        <c:v>6.4</c:v>
                      </c:pt>
                      <c:pt idx="5">
                        <c:v>6.5</c:v>
                      </c:pt>
                      <c:pt idx="6">
                        <c:v>6.6</c:v>
                      </c:pt>
                      <c:pt idx="7">
                        <c:v>7.1</c:v>
                      </c:pt>
                      <c:pt idx="8">
                        <c:v>6.5</c:v>
                      </c:pt>
                      <c:pt idx="9">
                        <c:v>7.3</c:v>
                      </c:pt>
                      <c:pt idx="10">
                        <c:v>6.6</c:v>
                      </c:pt>
                      <c:pt idx="11">
                        <c:v>6.2</c:v>
                      </c:pt>
                      <c:pt idx="12">
                        <c:v>6.6</c:v>
                      </c:pt>
                      <c:pt idx="13">
                        <c:v>6.5</c:v>
                      </c:pt>
                      <c:pt idx="14">
                        <c:v>6.6</c:v>
                      </c:pt>
                      <c:pt idx="15">
                        <c:v>6.6</c:v>
                      </c:pt>
                      <c:pt idx="16">
                        <c:v>6.5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{6.6,6.6,6.7,7.1,6.4,6.5,6.7,7,6.1,7.2,6.7,5.9,6.2,5.9,6.7,6.3,6.6}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6.6</c:v>
                      </c:pt>
                      <c:pt idx="1">
                        <c:v>6.6</c:v>
                      </c:pt>
                      <c:pt idx="2">
                        <c:v>6.7</c:v>
                      </c:pt>
                      <c:pt idx="3">
                        <c:v>7.1</c:v>
                      </c:pt>
                      <c:pt idx="4">
                        <c:v>6.4</c:v>
                      </c:pt>
                      <c:pt idx="5">
                        <c:v>6.5</c:v>
                      </c:pt>
                      <c:pt idx="6">
                        <c:v>6.7</c:v>
                      </c:pt>
                      <c:pt idx="7">
                        <c:v>7</c:v>
                      </c:pt>
                      <c:pt idx="8">
                        <c:v>6.1</c:v>
                      </c:pt>
                      <c:pt idx="9">
                        <c:v>7.2</c:v>
                      </c:pt>
                      <c:pt idx="10">
                        <c:v>6.7</c:v>
                      </c:pt>
                      <c:pt idx="11">
                        <c:v>5.9</c:v>
                      </c:pt>
                      <c:pt idx="12">
                        <c:v>6.2</c:v>
                      </c:pt>
                      <c:pt idx="13">
                        <c:v>5.9</c:v>
                      </c:pt>
                      <c:pt idx="14">
                        <c:v>6.7</c:v>
                      </c:pt>
                      <c:pt idx="15">
                        <c:v>6.3</c:v>
                      </c:pt>
                      <c:pt idx="16">
                        <c:v>6.6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{9,8.9,9.3,8.6,8.8,8.6,9.3,8.9,8.9,8.5,8.8,8.6,8.5,8.6,8.9,8.5,9}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</c:v>
                      </c:pt>
                      <c:pt idx="1">
                        <c:v>8.9</c:v>
                      </c:pt>
                      <c:pt idx="2">
                        <c:v>9.3</c:v>
                      </c:pt>
                      <c:pt idx="3">
                        <c:v>8.6</c:v>
                      </c:pt>
                      <c:pt idx="4">
                        <c:v>8.8</c:v>
                      </c:pt>
                      <c:pt idx="5">
                        <c:v>8.6</c:v>
                      </c:pt>
                      <c:pt idx="6">
                        <c:v>9.3</c:v>
                      </c:pt>
                      <c:pt idx="7">
                        <c:v>8.9</c:v>
                      </c:pt>
                      <c:pt idx="8">
                        <c:v>8.9</c:v>
                      </c:pt>
                      <c:pt idx="9">
                        <c:v>8.5</c:v>
                      </c:pt>
                      <c:pt idx="10">
                        <c:v>8.8</c:v>
                      </c:pt>
                      <c:pt idx="11">
                        <c:v>8.6</c:v>
                      </c:pt>
                      <c:pt idx="12">
                        <c:v>8.5</c:v>
                      </c:pt>
                      <c:pt idx="13">
                        <c:v>8.6</c:v>
                      </c:pt>
                      <c:pt idx="14">
                        <c:v>8.9</c:v>
                      </c:pt>
                      <c:pt idx="15">
                        <c:v>8.5</c:v>
                      </c:pt>
                      <c:pt idx="16">
                        <c:v>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{2.1,2.3,2.1,2.8,1.9,3.1,2.4,4.5,2.2,1.6,1.9,2.3,2.1,1.9,4.1,2.1,2.7}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2.1</c:v>
                      </c:pt>
                      <c:pt idx="1">
                        <c:v>2.3</c:v>
                      </c:pt>
                      <c:pt idx="2">
                        <c:v>2.1</c:v>
                      </c:pt>
                      <c:pt idx="3">
                        <c:v>2.8</c:v>
                      </c:pt>
                      <c:pt idx="4">
                        <c:v>1.9</c:v>
                      </c:pt>
                      <c:pt idx="5">
                        <c:v>3.1</c:v>
                      </c:pt>
                      <c:pt idx="6">
                        <c:v>2.4</c:v>
                      </c:pt>
                      <c:pt idx="7">
                        <c:v>4.5</c:v>
                      </c:pt>
                      <c:pt idx="8">
                        <c:v>2.2</c:v>
                      </c:pt>
                      <c:pt idx="9">
                        <c:v>1.6</c:v>
                      </c:pt>
                      <c:pt idx="10">
                        <c:v>1.9</c:v>
                      </c:pt>
                      <c:pt idx="11">
                        <c:v>2.3</c:v>
                      </c:pt>
                      <c:pt idx="12">
                        <c:v>2.1</c:v>
                      </c:pt>
                      <c:pt idx="13">
                        <c:v>1.9</c:v>
                      </c:pt>
                      <c:pt idx="14">
                        <c:v>4.1</c:v>
                      </c:pt>
                      <c:pt idx="15">
                        <c:v>2.1</c:v>
                      </c:pt>
                      <c:pt idx="16">
                        <c:v>2.7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{1.038357736,1.116926308,0.8910648978,0.9936275255,1.039919012,1.007391835,0.9841051988,0.71009671,1.140414241,1.199939694,1.16718415,0.9910232851,0.968996249,1.169576458,0.9985167463,1.143535,0.9690783266}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1.038357736</c:v>
                      </c:pt>
                      <c:pt idx="1">
                        <c:v>1.116926308</c:v>
                      </c:pt>
                      <c:pt idx="2">
                        <c:v>0.8910648978</c:v>
                      </c:pt>
                      <c:pt idx="3">
                        <c:v>0.9936275255</c:v>
                      </c:pt>
                      <c:pt idx="4">
                        <c:v>1.039919012</c:v>
                      </c:pt>
                      <c:pt idx="5">
                        <c:v>1.007391835</c:v>
                      </c:pt>
                      <c:pt idx="6">
                        <c:v>0.9841051988</c:v>
                      </c:pt>
                      <c:pt idx="7">
                        <c:v>0.71009671</c:v>
                      </c:pt>
                      <c:pt idx="8">
                        <c:v>1.140414241</c:v>
                      </c:pt>
                      <c:pt idx="9">
                        <c:v>1.199939694</c:v>
                      </c:pt>
                      <c:pt idx="10">
                        <c:v>1.16718415</c:v>
                      </c:pt>
                      <c:pt idx="11">
                        <c:v>0.9910232851</c:v>
                      </c:pt>
                      <c:pt idx="12">
                        <c:v>0.968996249</c:v>
                      </c:pt>
                      <c:pt idx="13">
                        <c:v>1.169576458</c:v>
                      </c:pt>
                      <c:pt idx="14">
                        <c:v>0.9985167463</c:v>
                      </c:pt>
                      <c:pt idx="15">
                        <c:v>1.143535</c:v>
                      </c:pt>
                      <c:pt idx="16">
                        <c:v>0.9690783266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'#REF'!#REF!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'#REF'!#REF!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{1.078186788,1.247524378,0.7939966521,0.9872956594,1.081431552,1.014838309,0.9684630422,0.5042373375,1.30054464,1.439855269,1.362318841,0.9821271517,0.9389537305,1.367909091,0.9970356927,1.307672297,0.9391128031}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1.078186788</c:v>
                      </c:pt>
                      <c:pt idx="1">
                        <c:v>1.247524378</c:v>
                      </c:pt>
                      <c:pt idx="2">
                        <c:v>0.7939966521</c:v>
                      </c:pt>
                      <c:pt idx="3">
                        <c:v>0.9872956594</c:v>
                      </c:pt>
                      <c:pt idx="4">
                        <c:v>1.081431552</c:v>
                      </c:pt>
                      <c:pt idx="5">
                        <c:v>1.014838309</c:v>
                      </c:pt>
                      <c:pt idx="6">
                        <c:v>0.9684630422</c:v>
                      </c:pt>
                      <c:pt idx="7">
                        <c:v>0.5042373375</c:v>
                      </c:pt>
                      <c:pt idx="8">
                        <c:v>1.30054464</c:v>
                      </c:pt>
                      <c:pt idx="9">
                        <c:v>1.439855269</c:v>
                      </c:pt>
                      <c:pt idx="10">
                        <c:v>1.362318841</c:v>
                      </c:pt>
                      <c:pt idx="11">
                        <c:v>0.9821271517</c:v>
                      </c:pt>
                      <c:pt idx="12">
                        <c:v>0.9389537305</c:v>
                      </c:pt>
                      <c:pt idx="13">
                        <c:v>1.367909091</c:v>
                      </c:pt>
                      <c:pt idx="14">
                        <c:v>0.9970356927</c:v>
                      </c:pt>
                      <c:pt idx="15">
                        <c:v>1.307672297</c:v>
                      </c:pt>
                      <c:pt idx="16">
                        <c:v>0.9391128031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5583412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707496"/>
        <c:crosses val="autoZero"/>
        <c:auto val="1"/>
        <c:lblAlgn val="ctr"/>
        <c:lblOffset val="100"/>
        <c:noMultiLvlLbl val="0"/>
      </c:catAx>
      <c:valAx>
        <c:axId val="53070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8341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name>Trendline for imdb_score</c:name>
            <c:trendlineType val="linear"/>
            <c:dispRSqr val="1"/>
            <c:dispEq val="0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[1]IMDB_Movies!$B$2:$B$3890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[1]IMDB_Movies!$I$2:$I$3890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8.2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8.2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5.1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5.1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8.2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8.2</c:v>
                </c:pt>
                <c:pt idx="325">
                  <c:v>8.9</c:v>
                </c:pt>
                <c:pt idx="326">
                  <c:v>8.7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4.6</c:v>
                </c:pt>
                <c:pt idx="451">
                  <c:v>7</c:v>
                </c:pt>
                <c:pt idx="452">
                  <c:v>5.2</c:v>
                </c:pt>
                <c:pt idx="453">
                  <c:v>5.1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8.2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4.1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5.1</c:v>
                </c:pt>
                <c:pt idx="506">
                  <c:v>4.1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8.7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5.1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5.1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</c:v>
                </c:pt>
                <c:pt idx="732">
                  <c:v>7.4</c:v>
                </c:pt>
                <c:pt idx="733">
                  <c:v>6.2</c:v>
                </c:pt>
                <c:pt idx="734">
                  <c:v>4.9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5.1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5.1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8.2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8.2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5.1</c:v>
                </c:pt>
                <c:pt idx="964">
                  <c:v>6.8</c:v>
                </c:pt>
                <c:pt idx="965">
                  <c:v>6</c:v>
                </c:pt>
                <c:pt idx="966">
                  <c:v>5.1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5.1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4.1</c:v>
                </c:pt>
                <c:pt idx="1118">
                  <c:v>4.1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5.1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5.1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5.1</c:v>
                </c:pt>
                <c:pt idx="1198">
                  <c:v>5.3</c:v>
                </c:pt>
                <c:pt idx="1199">
                  <c:v>4.4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4.6</c:v>
                </c:pt>
                <c:pt idx="1213">
                  <c:v>6.4</c:v>
                </c:pt>
                <c:pt idx="1214">
                  <c:v>5.9</c:v>
                </c:pt>
                <c:pt idx="1215">
                  <c:v>5.1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4.1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</c:v>
                </c:pt>
                <c:pt idx="1238">
                  <c:v>5.8</c:v>
                </c:pt>
                <c:pt idx="1239">
                  <c:v>5.1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5.1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8.2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5.1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5.1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5.1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5.1</c:v>
                </c:pt>
                <c:pt idx="1424">
                  <c:v>6.3</c:v>
                </c:pt>
                <c:pt idx="1425">
                  <c:v>4.9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5.1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5.1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5.1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4.6</c:v>
                </c:pt>
                <c:pt idx="1580">
                  <c:v>6.7</c:v>
                </c:pt>
                <c:pt idx="1581">
                  <c:v>5.1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4.1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8.2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</c:v>
                </c:pt>
                <c:pt idx="1645">
                  <c:v>6.2</c:v>
                </c:pt>
                <c:pt idx="1646">
                  <c:v>7.8</c:v>
                </c:pt>
                <c:pt idx="1647">
                  <c:v>8.2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8.2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8.7</c:v>
                </c:pt>
                <c:pt idx="1760">
                  <c:v>5</c:v>
                </c:pt>
                <c:pt idx="1761">
                  <c:v>6.6</c:v>
                </c:pt>
                <c:pt idx="1762">
                  <c:v>8.3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4.6</c:v>
                </c:pt>
                <c:pt idx="1807">
                  <c:v>5.1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5.1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8.2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4.1</c:v>
                </c:pt>
                <c:pt idx="1838">
                  <c:v>4.9</c:v>
                </c:pt>
                <c:pt idx="1839">
                  <c:v>7.9</c:v>
                </c:pt>
                <c:pt idx="1840">
                  <c:v>5.2</c:v>
                </c:pt>
                <c:pt idx="1841">
                  <c:v>4.1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5.1</c:v>
                </c:pt>
                <c:pt idx="1882">
                  <c:v>6.5</c:v>
                </c:pt>
                <c:pt idx="1883">
                  <c:v>8.2</c:v>
                </c:pt>
                <c:pt idx="1884">
                  <c:v>7.7</c:v>
                </c:pt>
                <c:pt idx="1885">
                  <c:v>6.1</c:v>
                </c:pt>
                <c:pt idx="1886">
                  <c:v>8.8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5.1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4.1</c:v>
                </c:pt>
                <c:pt idx="1939">
                  <c:v>6.2</c:v>
                </c:pt>
                <c:pt idx="1940">
                  <c:v>3.8</c:v>
                </c:pt>
                <c:pt idx="1941">
                  <c:v>5.1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4.6</c:v>
                </c:pt>
                <c:pt idx="1985">
                  <c:v>4.9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4.1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2.3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5.1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8.2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2.3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5.1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4.1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5.1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4.1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8.2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5.1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</c:v>
                </c:pt>
                <c:pt idx="2329">
                  <c:v>6.2</c:v>
                </c:pt>
                <c:pt idx="2330">
                  <c:v>7.3</c:v>
                </c:pt>
                <c:pt idx="2331">
                  <c:v>5.1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5.1</c:v>
                </c:pt>
                <c:pt idx="2372">
                  <c:v>6.8</c:v>
                </c:pt>
                <c:pt idx="2373">
                  <c:v>8.4</c:v>
                </c:pt>
                <c:pt idx="2374">
                  <c:v>4.9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4.1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5.1</c:v>
                </c:pt>
                <c:pt idx="2399">
                  <c:v>4.1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5.1</c:v>
                </c:pt>
                <c:pt idx="2426">
                  <c:v>8</c:v>
                </c:pt>
                <c:pt idx="2427">
                  <c:v>5.9</c:v>
                </c:pt>
                <c:pt idx="2428">
                  <c:v>8.2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5.1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4.6</c:v>
                </c:pt>
                <c:pt idx="2489">
                  <c:v>6.5</c:v>
                </c:pt>
                <c:pt idx="2490">
                  <c:v>4.9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5.1</c:v>
                </c:pt>
                <c:pt idx="2515">
                  <c:v>7.4</c:v>
                </c:pt>
                <c:pt idx="2516">
                  <c:v>7.2</c:v>
                </c:pt>
                <c:pt idx="2517">
                  <c:v>8.3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5.1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5.1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8.7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5.1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5.1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4.1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4.1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5.1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9.2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2.3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8.2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5.1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4.6</c:v>
                </c:pt>
                <c:pt idx="3104">
                  <c:v>7.2</c:v>
                </c:pt>
                <c:pt idx="3105">
                  <c:v>5.1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</c:v>
                </c:pt>
                <c:pt idx="3154">
                  <c:v>6.6</c:v>
                </c:pt>
                <c:pt idx="3155">
                  <c:v>7.6</c:v>
                </c:pt>
                <c:pt idx="3156">
                  <c:v>4.6</c:v>
                </c:pt>
                <c:pt idx="3157">
                  <c:v>6.8</c:v>
                </c:pt>
                <c:pt idx="3158">
                  <c:v>4.9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5.1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8.7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8.2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8.2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8.7</c:v>
                </c:pt>
                <c:pt idx="3339">
                  <c:v>7.1</c:v>
                </c:pt>
                <c:pt idx="3340">
                  <c:v>8.3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8.2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5.1</c:v>
                </c:pt>
                <c:pt idx="3358">
                  <c:v>5.9</c:v>
                </c:pt>
                <c:pt idx="3359">
                  <c:v>8.2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4.1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5.1</c:v>
                </c:pt>
                <c:pt idx="3410">
                  <c:v>5.1</c:v>
                </c:pt>
                <c:pt idx="3411">
                  <c:v>6.9</c:v>
                </c:pt>
                <c:pt idx="3412">
                  <c:v>4.6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5.1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5.1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5.1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8.2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8.2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4.1</c:v>
                </c:pt>
                <c:pt idx="3614">
                  <c:v>5.4</c:v>
                </c:pt>
                <c:pt idx="3615">
                  <c:v>8.2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5.1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8.7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5.1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4.1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566905"/>
        <c:axId val="1438186162"/>
      </c:scatterChart>
      <c:valAx>
        <c:axId val="177456690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8186162"/>
        <c:crosses val="autoZero"/>
        <c:crossBetween val="midCat"/>
      </c:valAx>
      <c:valAx>
        <c:axId val="14381861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456690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50000"/>
                    <a:alpha val="30000"/>
                  </a:schemeClr>
                </a:outerShdw>
              </a:effectLst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50000"/>
                    <a:alpha val="30000"/>
                  </a:schemeClr>
                </a:outerShdw>
              </a:effectLst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60000"/>
                    <a:lumMod val="50000"/>
                    <a:alpha val="30000"/>
                  </a:schemeClr>
                </a:outerShdw>
              </a:effectLst>
            </c:spPr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5"/>
            <c:bubble3D val="0"/>
            <c:spPr>
              <a:gradFill>
                <a:gsLst>
                  <a:gs pos="0">
                    <a:schemeClr val="accent4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  <a:lumOff val="20000"/>
                      </a:schemeClr>
                    </a:gs>
                    <a:gs pos="100000">
                      <a:schemeClr val="accent4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6"/>
            <c:bubble3D val="0"/>
            <c:spPr>
              <a:gradFill>
                <a:gsLst>
                  <a:gs pos="0">
                    <a:schemeClr val="accent5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  <a:lumOff val="20000"/>
                      </a:schemeClr>
                    </a:gs>
                    <a:gs pos="100000">
                      <a:schemeClr val="accent5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7"/>
            <c:bubble3D val="0"/>
            <c:spPr>
              <a:gradFill>
                <a:gsLst>
                  <a:gs pos="0">
                    <a:schemeClr val="accent6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  <a:lumOff val="20000"/>
                      </a:schemeClr>
                    </a:gs>
                    <a:gs pos="100000">
                      <a:schemeClr val="accent6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80000"/>
                    <a:lumOff val="20000"/>
                    <a:lumMod val="50000"/>
                    <a:alpha val="30000"/>
                  </a:schemeClr>
                </a:outerShdw>
              </a:effectLst>
            </c:spPr>
          </c:dPt>
          <c:dPt>
            <c:idx val="18"/>
            <c:bubble3D val="0"/>
            <c:spPr>
              <a:gradFill>
                <a:gsLst>
                  <a:gs pos="0">
                    <a:schemeClr val="accent1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</a:schemeClr>
                    </a:gs>
                    <a:gs pos="100000">
                      <a:schemeClr val="accent1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19"/>
            <c:bubble3D val="0"/>
            <c:spPr>
              <a:gradFill>
                <a:gsLst>
                  <a:gs pos="0">
                    <a:schemeClr val="accent2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</a:schemeClr>
                    </a:gs>
                    <a:gs pos="100000">
                      <a:schemeClr val="accent2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20"/>
            <c:bubble3D val="0"/>
            <c:spPr>
              <a:gradFill>
                <a:gsLst>
                  <a:gs pos="0">
                    <a:schemeClr val="accent3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</a:schemeClr>
                    </a:gs>
                    <a:gs pos="100000">
                      <a:schemeClr val="accent3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21"/>
            <c:bubble3D val="0"/>
            <c:spPr>
              <a:gradFill>
                <a:gsLst>
                  <a:gs pos="0">
                    <a:schemeClr val="accent4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80000"/>
                      </a:schemeClr>
                    </a:gs>
                    <a:gs pos="100000">
                      <a:schemeClr val="accent4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22"/>
            <c:bubble3D val="0"/>
            <c:spPr>
              <a:gradFill>
                <a:gsLst>
                  <a:gs pos="0">
                    <a:schemeClr val="accent5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80000"/>
                      </a:schemeClr>
                    </a:gs>
                    <a:gs pos="100000">
                      <a:schemeClr val="accent5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23"/>
            <c:bubble3D val="0"/>
            <c:spPr>
              <a:gradFill>
                <a:gsLst>
                  <a:gs pos="0">
                    <a:schemeClr val="accent6">
                      <a:lumMod val="8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80000"/>
                      </a:schemeClr>
                    </a:gs>
                    <a:gs pos="100000">
                      <a:schemeClr val="accent6">
                        <a:lumMod val="8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80000"/>
                    <a:lumMod val="50000"/>
                    <a:alpha val="30000"/>
                  </a:schemeClr>
                </a:outerShdw>
              </a:effectLst>
            </c:spPr>
          </c:dPt>
          <c:dPt>
            <c:idx val="24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Off val="40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25"/>
            <c:bubble3D val="0"/>
            <c:spPr>
              <a:gradFill>
                <a:gsLst>
                  <a:gs pos="0">
                    <a:schemeClr val="accent2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Off val="40000"/>
                      </a:schemeClr>
                    </a:gs>
                    <a:gs pos="100000">
                      <a:schemeClr val="accent2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26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  <a:lumOff val="40000"/>
                      </a:schemeClr>
                    </a:gs>
                    <a:gs pos="100000">
                      <a:schemeClr val="accent3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27"/>
            <c:bubble3D val="0"/>
            <c:spPr>
              <a:gradFill>
                <a:gsLst>
                  <a:gs pos="0">
                    <a:schemeClr val="accent4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  <a:lumOff val="40000"/>
                      </a:schemeClr>
                    </a:gs>
                    <a:gs pos="100000">
                      <a:schemeClr val="accent4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28"/>
            <c:bubble3D val="0"/>
            <c:spPr>
              <a:gradFill>
                <a:gsLst>
                  <a:gs pos="0">
                    <a:schemeClr val="accent5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  <a:lumOff val="40000"/>
                      </a:schemeClr>
                    </a:gs>
                    <a:gs pos="100000">
                      <a:schemeClr val="accent5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29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  <a:lumOff val="40000"/>
                      </a:schemeClr>
                    </a:gs>
                    <a:gs pos="100000">
                      <a:schemeClr val="accent6">
                        <a:lumMod val="60000"/>
                        <a:lumOff val="4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60000"/>
                    <a:lumOff val="40000"/>
                    <a:lumMod val="50000"/>
                    <a:alpha val="30000"/>
                  </a:schemeClr>
                </a:outerShdw>
              </a:effectLst>
            </c:spPr>
          </c:dPt>
          <c:dPt>
            <c:idx val="30"/>
            <c:bubble3D val="0"/>
            <c:spPr>
              <a:gradFill>
                <a:gsLst>
                  <a:gs pos="0">
                    <a:schemeClr val="accent1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50000"/>
                      </a:schemeClr>
                    </a:gs>
                    <a:gs pos="100000">
                      <a:schemeClr val="accent1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1"/>
            <c:bubble3D val="0"/>
            <c:spPr>
              <a:gradFill>
                <a:gsLst>
                  <a:gs pos="0">
                    <a:schemeClr val="accent2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50000"/>
                      </a:schemeClr>
                    </a:gs>
                    <a:gs pos="100000">
                      <a:schemeClr val="accent2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2"/>
            <c:bubble3D val="0"/>
            <c:spPr>
              <a:gradFill>
                <a:gsLst>
                  <a:gs pos="0">
                    <a:schemeClr val="accent3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50000"/>
                      </a:schemeClr>
                    </a:gs>
                    <a:gs pos="100000">
                      <a:schemeClr val="accent3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3"/>
            <c:bubble3D val="0"/>
            <c:spPr>
              <a:gradFill>
                <a:gsLst>
                  <a:gs pos="0">
                    <a:schemeClr val="accent4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50000"/>
                      </a:schemeClr>
                    </a:gs>
                    <a:gs pos="100000">
                      <a:schemeClr val="accent4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4"/>
            <c:bubble3D val="0"/>
            <c:spPr>
              <a:gradFill>
                <a:gsLst>
                  <a:gs pos="0">
                    <a:schemeClr val="accent5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100000">
                      <a:schemeClr val="accent5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5"/>
            <c:bubble3D val="0"/>
            <c:spPr>
              <a:gradFill>
                <a:gsLst>
                  <a:gs pos="0">
                    <a:schemeClr val="accent6">
                      <a:lumMod val="5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50000"/>
                      </a:schemeClr>
                    </a:gs>
                    <a:gs pos="100000">
                      <a:schemeClr val="accent6">
                        <a:lumMod val="5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50000"/>
                    <a:lumMod val="50000"/>
                    <a:alpha val="30000"/>
                  </a:schemeClr>
                </a:outerShdw>
              </a:effectLst>
            </c:spPr>
          </c:dPt>
          <c:dPt>
            <c:idx val="36"/>
            <c:bubble3D val="0"/>
            <c:spPr>
              <a:gradFill>
                <a:gsLst>
                  <a:gs pos="0">
                    <a:schemeClr val="accent1">
                      <a:lumMod val="70000"/>
                      <a:lumOff val="3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0000"/>
                        <a:lumOff val="30000"/>
                      </a:schemeClr>
                    </a:gs>
                    <a:gs pos="100000">
                      <a:schemeClr val="accent1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70000"/>
                    <a:lumOff val="30000"/>
                    <a:lumMod val="50000"/>
                    <a:alpha val="30000"/>
                  </a:schemeClr>
                </a:outerShdw>
              </a:effectLst>
            </c:spPr>
          </c:dPt>
          <c:dPt>
            <c:idx val="37"/>
            <c:bubble3D val="0"/>
            <c:spPr>
              <a:gradFill>
                <a:gsLst>
                  <a:gs pos="0">
                    <a:schemeClr val="accent2">
                      <a:lumMod val="70000"/>
                      <a:lumOff val="3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0000"/>
                        <a:lumOff val="30000"/>
                      </a:schemeClr>
                    </a:gs>
                    <a:gs pos="100000">
                      <a:schemeClr val="accent2">
                        <a:lumMod val="70000"/>
                        <a:lumOff val="3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70000"/>
                    <a:lumOff val="30000"/>
                    <a:lumMod val="50000"/>
                    <a:alpha val="30000"/>
                  </a:schemeClr>
                </a:outerShdw>
              </a:effectLst>
            </c:spPr>
          </c:dPt>
          <c:dLbls>
            <c:delete val="1"/>
          </c:dLbls>
          <c:cat>
            <c:strRef>
              <c:f>IMDB_Movies!$U$71:$U$108</c:f>
              <c:strCache>
                <c:ptCount val="38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Filipino</c:v>
                </c:pt>
                <c:pt idx="6">
                  <c:v>Maya</c:v>
                </c:pt>
                <c:pt idx="7">
                  <c:v>Kazakh</c:v>
                </c:pt>
                <c:pt idx="8">
                  <c:v>Telugu</c:v>
                </c:pt>
                <c:pt idx="9">
                  <c:v>Cantonese</c:v>
                </c:pt>
                <c:pt idx="10">
                  <c:v>Japanese</c:v>
                </c:pt>
                <c:pt idx="11">
                  <c:v>Aramaic</c:v>
                </c:pt>
                <c:pt idx="12">
                  <c:v>Italian</c:v>
                </c:pt>
                <c:pt idx="13">
                  <c:v>Dutch</c:v>
                </c:pt>
                <c:pt idx="14">
                  <c:v>Dari</c:v>
                </c:pt>
                <c:pt idx="15">
                  <c:v>German</c:v>
                </c:pt>
                <c:pt idx="16">
                  <c:v>Mongolian</c:v>
                </c:pt>
                <c:pt idx="17">
                  <c:v>Thai</c:v>
                </c:pt>
                <c:pt idx="18">
                  <c:v>Bosnian</c:v>
                </c:pt>
                <c:pt idx="19">
                  <c:v>Korean</c:v>
                </c:pt>
                <c:pt idx="20">
                  <c:v>Hungarian</c:v>
                </c:pt>
                <c:pt idx="21">
                  <c:v>Hindi</c:v>
                </c:pt>
                <c:pt idx="22">
                  <c:v>Icelandic</c:v>
                </c:pt>
                <c:pt idx="23">
                  <c:v>Danish</c:v>
                </c:pt>
                <c:pt idx="24">
                  <c:v>Portuguese</c:v>
                </c:pt>
                <c:pt idx="25">
                  <c:v>Norwegian</c:v>
                </c:pt>
                <c:pt idx="26">
                  <c:v>Czech</c:v>
                </c:pt>
                <c:pt idx="27">
                  <c:v>Russian</c:v>
                </c:pt>
                <c:pt idx="28">
                  <c:v>None</c:v>
                </c:pt>
                <c:pt idx="29">
                  <c:v>Zulu</c:v>
                </c:pt>
                <c:pt idx="30">
                  <c:v>Hebrew</c:v>
                </c:pt>
                <c:pt idx="31">
                  <c:v>Dzongkha</c:v>
                </c:pt>
                <c:pt idx="32">
                  <c:v>Arabic</c:v>
                </c:pt>
                <c:pt idx="33">
                  <c:v>Vietnamese</c:v>
                </c:pt>
                <c:pt idx="34">
                  <c:v>Indonesian</c:v>
                </c:pt>
                <c:pt idx="35">
                  <c:v>Romanian</c:v>
                </c:pt>
                <c:pt idx="36">
                  <c:v>Persian</c:v>
                </c:pt>
                <c:pt idx="37">
                  <c:v>Swedish</c:v>
                </c:pt>
              </c:strCache>
            </c:strRef>
          </c:cat>
          <c:val>
            <c:numRef>
              <c:f>IMDB_Movies!$V$71:$V$108</c:f>
              <c:numCache>
                <c:formatCode>General</c:formatCode>
                <c:ptCount val="38"/>
                <c:pt idx="0">
                  <c:v>3606</c:v>
                </c:pt>
                <c:pt idx="1">
                  <c:v>14</c:v>
                </c:pt>
                <c:pt idx="2">
                  <c:v>2</c:v>
                </c:pt>
                <c:pt idx="3">
                  <c:v>26</c:v>
                </c:pt>
                <c:pt idx="4">
                  <c:v>37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8</c:v>
                </c:pt>
                <c:pt idx="10">
                  <c:v>12</c:v>
                </c:pt>
                <c:pt idx="11">
                  <c:v>1</c:v>
                </c:pt>
                <c:pt idx="12">
                  <c:v>7</c:v>
                </c:pt>
                <c:pt idx="13">
                  <c:v>3</c:v>
                </c:pt>
                <c:pt idx="14">
                  <c:v>2</c:v>
                </c:pt>
                <c:pt idx="15">
                  <c:v>13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1</c:v>
                </c:pt>
                <c:pt idx="21">
                  <c:v>10</c:v>
                </c:pt>
                <c:pt idx="22">
                  <c:v>1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40</xdr:col>
      <xdr:colOff>570865</xdr:colOff>
      <xdr:row>4</xdr:row>
      <xdr:rowOff>199390</xdr:rowOff>
    </xdr:from>
    <xdr:ext cx="8749030" cy="5022850"/>
    <xdr:graphicFrame>
      <xdr:nvGraphicFramePr>
        <xdr:cNvPr id="4" name="Chart 3" title="Chart"/>
        <xdr:cNvGraphicFramePr/>
      </xdr:nvGraphicFramePr>
      <xdr:xfrm>
        <a:off x="57258585" y="999490"/>
        <a:ext cx="8749030" cy="5022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29</xdr:col>
      <xdr:colOff>762635</xdr:colOff>
      <xdr:row>5</xdr:row>
      <xdr:rowOff>0</xdr:rowOff>
    </xdr:from>
    <xdr:to>
      <xdr:col>40</xdr:col>
      <xdr:colOff>111125</xdr:colOff>
      <xdr:row>30</xdr:row>
      <xdr:rowOff>17780</xdr:rowOff>
    </xdr:to>
    <xdr:graphicFrame>
      <xdr:nvGraphicFramePr>
        <xdr:cNvPr id="3" name="Chart 2"/>
        <xdr:cNvGraphicFramePr/>
      </xdr:nvGraphicFramePr>
      <xdr:xfrm>
        <a:off x="42678985" y="1000125"/>
        <a:ext cx="14119860" cy="5018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22</xdr:col>
      <xdr:colOff>533400</xdr:colOff>
      <xdr:row>36</xdr:row>
      <xdr:rowOff>3810</xdr:rowOff>
    </xdr:from>
    <xdr:ext cx="10870565" cy="5603875"/>
    <xdr:graphicFrame>
      <xdr:nvGraphicFramePr>
        <xdr:cNvPr id="2" name="Chart 1" title="Chart"/>
        <xdr:cNvGraphicFramePr/>
      </xdr:nvGraphicFramePr>
      <xdr:xfrm>
        <a:off x="33757235" y="7204710"/>
        <a:ext cx="10870565" cy="5603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26</xdr:col>
      <xdr:colOff>668020</xdr:colOff>
      <xdr:row>69</xdr:row>
      <xdr:rowOff>18415</xdr:rowOff>
    </xdr:from>
    <xdr:to>
      <xdr:col>38</xdr:col>
      <xdr:colOff>606425</xdr:colOff>
      <xdr:row>108</xdr:row>
      <xdr:rowOff>3810</xdr:rowOff>
    </xdr:to>
    <xdr:graphicFrame>
      <xdr:nvGraphicFramePr>
        <xdr:cNvPr id="6" name="Chart 5"/>
        <xdr:cNvGraphicFramePr/>
      </xdr:nvGraphicFramePr>
      <xdr:xfrm>
        <a:off x="39892605" y="13820140"/>
        <a:ext cx="15637510" cy="7786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KIIT\Downloads\Task-5%20Result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DB_Movies"/>
    </sheetNames>
    <sheetDataSet>
      <sheetData sheetId="0">
        <row r="1">
          <cell r="I1" t="str">
            <v>imdb_score</v>
          </cell>
        </row>
        <row r="2">
          <cell r="B2">
            <v>178</v>
          </cell>
        </row>
        <row r="2">
          <cell r="I2">
            <v>7.9</v>
          </cell>
        </row>
        <row r="3">
          <cell r="B3">
            <v>169</v>
          </cell>
        </row>
        <row r="3">
          <cell r="I3">
            <v>7.1</v>
          </cell>
        </row>
        <row r="4">
          <cell r="B4">
            <v>148</v>
          </cell>
        </row>
        <row r="4">
          <cell r="I4">
            <v>6.8</v>
          </cell>
        </row>
        <row r="5">
          <cell r="B5">
            <v>164</v>
          </cell>
        </row>
        <row r="5">
          <cell r="I5">
            <v>8.5</v>
          </cell>
        </row>
        <row r="6">
          <cell r="B6">
            <v>132</v>
          </cell>
        </row>
        <row r="6">
          <cell r="I6">
            <v>6.6</v>
          </cell>
        </row>
        <row r="6">
          <cell r="P6" t="str">
            <v>Mean_imdb</v>
          </cell>
          <cell r="Q6" t="str">
            <v>Median_imdb</v>
          </cell>
          <cell r="R6" t="str">
            <v>Mode_imdb</v>
          </cell>
          <cell r="S6" t="str">
            <v>Max_imdb</v>
          </cell>
          <cell r="T6" t="str">
            <v>Min_imdb</v>
          </cell>
          <cell r="U6" t="str">
            <v>StdDev_imdb</v>
          </cell>
          <cell r="V6" t="str">
            <v>Var_imdb</v>
          </cell>
        </row>
        <row r="7">
          <cell r="B7">
            <v>156</v>
          </cell>
        </row>
        <row r="7">
          <cell r="I7">
            <v>6.2</v>
          </cell>
        </row>
        <row r="7">
          <cell r="N7" t="str">
            <v>Action</v>
          </cell>
        </row>
        <row r="7">
          <cell r="P7">
            <v>6.28598930481284</v>
          </cell>
          <cell r="Q7">
            <v>6.3</v>
          </cell>
          <cell r="R7">
            <v>6.6</v>
          </cell>
          <cell r="S7">
            <v>9</v>
          </cell>
          <cell r="T7">
            <v>2.1</v>
          </cell>
          <cell r="U7">
            <v>1.03835773599182</v>
          </cell>
          <cell r="V7">
            <v>1.07818678789406</v>
          </cell>
        </row>
        <row r="8">
          <cell r="B8">
            <v>100</v>
          </cell>
        </row>
        <row r="8">
          <cell r="I8">
            <v>7.8</v>
          </cell>
        </row>
        <row r="8">
          <cell r="N8" t="str">
            <v>Adventure</v>
          </cell>
        </row>
        <row r="8">
          <cell r="P8">
            <v>6.45496083550914</v>
          </cell>
          <cell r="Q8">
            <v>6.6</v>
          </cell>
          <cell r="R8">
            <v>6.6</v>
          </cell>
          <cell r="S8">
            <v>8.9</v>
          </cell>
          <cell r="T8">
            <v>2.3</v>
          </cell>
          <cell r="U8">
            <v>1.11692630802086</v>
          </cell>
          <cell r="V8">
            <v>1.24752437754911</v>
          </cell>
        </row>
        <row r="9">
          <cell r="B9">
            <v>141</v>
          </cell>
        </row>
        <row r="9">
          <cell r="I9">
            <v>7.5</v>
          </cell>
        </row>
        <row r="9">
          <cell r="N9" t="str">
            <v>Drama</v>
          </cell>
        </row>
        <row r="9">
          <cell r="P9">
            <v>6.78911564625852</v>
          </cell>
          <cell r="Q9">
            <v>6.9</v>
          </cell>
          <cell r="R9">
            <v>6.7</v>
          </cell>
          <cell r="S9">
            <v>9.3</v>
          </cell>
          <cell r="T9">
            <v>2.1</v>
          </cell>
          <cell r="U9">
            <v>0.891064897784645</v>
          </cell>
          <cell r="V9">
            <v>0.79399665206396</v>
          </cell>
        </row>
        <row r="10">
          <cell r="B10">
            <v>153</v>
          </cell>
        </row>
        <row r="10">
          <cell r="I10">
            <v>7.5</v>
          </cell>
        </row>
        <row r="10">
          <cell r="N10" t="str">
            <v>Animation</v>
          </cell>
        </row>
        <row r="10">
          <cell r="P10">
            <v>6.7005076142132</v>
          </cell>
          <cell r="Q10">
            <v>6.8</v>
          </cell>
          <cell r="R10">
            <v>7.3</v>
          </cell>
          <cell r="S10">
            <v>8.6</v>
          </cell>
          <cell r="T10">
            <v>2.8</v>
          </cell>
          <cell r="U10">
            <v>0.993627525474462</v>
          </cell>
          <cell r="V10">
            <v>0.987295659380503</v>
          </cell>
        </row>
        <row r="11">
          <cell r="B11">
            <v>183</v>
          </cell>
        </row>
        <row r="11">
          <cell r="I11">
            <v>6.9</v>
          </cell>
        </row>
        <row r="11">
          <cell r="N11" t="str">
            <v>Comedy</v>
          </cell>
        </row>
        <row r="11">
          <cell r="P11">
            <v>6.18331099195712</v>
          </cell>
          <cell r="Q11">
            <v>6.3</v>
          </cell>
          <cell r="R11">
            <v>6.3</v>
          </cell>
          <cell r="S11">
            <v>8.8</v>
          </cell>
          <cell r="T11">
            <v>1.9</v>
          </cell>
          <cell r="U11">
            <v>1.03991901212409</v>
          </cell>
          <cell r="V11">
            <v>1.08143155177715</v>
          </cell>
        </row>
        <row r="12">
          <cell r="B12">
            <v>169</v>
          </cell>
        </row>
        <row r="12">
          <cell r="I12">
            <v>6.1</v>
          </cell>
        </row>
        <row r="12">
          <cell r="N12" t="str">
            <v>Mystery</v>
          </cell>
        </row>
        <row r="12">
          <cell r="P12">
            <v>6.46949602122015</v>
          </cell>
          <cell r="Q12">
            <v>6.5</v>
          </cell>
          <cell r="R12">
            <v>6.6</v>
          </cell>
          <cell r="S12">
            <v>8.6</v>
          </cell>
          <cell r="T12">
            <v>3.1</v>
          </cell>
          <cell r="U12">
            <v>1.00739183496774</v>
          </cell>
          <cell r="V12">
            <v>1.01483830915966</v>
          </cell>
        </row>
        <row r="13">
          <cell r="B13">
            <v>106</v>
          </cell>
        </row>
        <row r="13">
          <cell r="I13">
            <v>6.7</v>
          </cell>
        </row>
        <row r="13">
          <cell r="N13" t="str">
            <v>Crime</v>
          </cell>
        </row>
        <row r="13">
          <cell r="P13">
            <v>6.54814814814815</v>
          </cell>
          <cell r="Q13">
            <v>6.6</v>
          </cell>
          <cell r="R13">
            <v>6.6</v>
          </cell>
          <cell r="S13">
            <v>9.3</v>
          </cell>
          <cell r="T13">
            <v>2.4</v>
          </cell>
          <cell r="U13">
            <v>0.984105198754088</v>
          </cell>
          <cell r="V13">
            <v>0.968463042214823</v>
          </cell>
        </row>
        <row r="14">
          <cell r="B14">
            <v>151</v>
          </cell>
        </row>
        <row r="14">
          <cell r="I14">
            <v>7.3</v>
          </cell>
        </row>
        <row r="14">
          <cell r="N14" t="str">
            <v>Biography</v>
          </cell>
        </row>
        <row r="14">
          <cell r="P14">
            <v>7.1400826446281</v>
          </cell>
          <cell r="Q14">
            <v>7.2</v>
          </cell>
          <cell r="R14">
            <v>7</v>
          </cell>
          <cell r="S14">
            <v>8.9</v>
          </cell>
          <cell r="T14">
            <v>4.5</v>
          </cell>
          <cell r="U14">
            <v>0.710096709990876</v>
          </cell>
          <cell r="V14">
            <v>0.504237337539866</v>
          </cell>
        </row>
        <row r="15">
          <cell r="B15">
            <v>150</v>
          </cell>
        </row>
        <row r="15">
          <cell r="I15">
            <v>6.5</v>
          </cell>
        </row>
        <row r="15">
          <cell r="N15" t="str">
            <v>Fantasy</v>
          </cell>
        </row>
        <row r="15">
          <cell r="P15">
            <v>6.28508064516129</v>
          </cell>
          <cell r="Q15">
            <v>6.4</v>
          </cell>
          <cell r="R15">
            <v>6.7</v>
          </cell>
          <cell r="S15">
            <v>8.9</v>
          </cell>
          <cell r="T15">
            <v>2.2</v>
          </cell>
          <cell r="U15">
            <v>1.14041424050556</v>
          </cell>
          <cell r="V15">
            <v>1.30054463994787</v>
          </cell>
        </row>
        <row r="16">
          <cell r="B16">
            <v>143</v>
          </cell>
        </row>
        <row r="16">
          <cell r="I16">
            <v>7.2</v>
          </cell>
        </row>
        <row r="16">
          <cell r="N16" t="str">
            <v>Documentary</v>
          </cell>
        </row>
        <row r="16">
          <cell r="P16">
            <v>7.01194029850746</v>
          </cell>
          <cell r="Q16">
            <v>7.2</v>
          </cell>
          <cell r="R16">
            <v>6.6</v>
          </cell>
          <cell r="S16">
            <v>8.5</v>
          </cell>
          <cell r="T16">
            <v>1.6</v>
          </cell>
          <cell r="U16">
            <v>1.19993969394674</v>
          </cell>
          <cell r="V16">
            <v>1.439855269109</v>
          </cell>
        </row>
        <row r="17">
          <cell r="B17">
            <v>150</v>
          </cell>
        </row>
        <row r="17">
          <cell r="I17">
            <v>6.6</v>
          </cell>
        </row>
        <row r="17">
          <cell r="N17" t="str">
            <v>Sci-Fi</v>
          </cell>
        </row>
        <row r="17">
          <cell r="P17">
            <v>6.32727272727272</v>
          </cell>
          <cell r="Q17">
            <v>6.4</v>
          </cell>
          <cell r="R17">
            <v>7</v>
          </cell>
          <cell r="S17">
            <v>8.8</v>
          </cell>
          <cell r="T17">
            <v>1.9</v>
          </cell>
          <cell r="U17">
            <v>1.16718415024353</v>
          </cell>
          <cell r="V17">
            <v>1.36231884057971</v>
          </cell>
        </row>
        <row r="18">
          <cell r="B18">
            <v>173</v>
          </cell>
        </row>
        <row r="18">
          <cell r="I18">
            <v>8.1</v>
          </cell>
        </row>
        <row r="18">
          <cell r="N18" t="str">
            <v>Horror</v>
          </cell>
        </row>
        <row r="18">
          <cell r="P18">
            <v>5.90395778364116</v>
          </cell>
          <cell r="Q18">
            <v>5.9</v>
          </cell>
          <cell r="R18">
            <v>6.2</v>
          </cell>
          <cell r="S18">
            <v>8.6</v>
          </cell>
          <cell r="T18">
            <v>2.3</v>
          </cell>
          <cell r="U18">
            <v>0.991023285121101</v>
          </cell>
          <cell r="V18">
            <v>0.98212715165222</v>
          </cell>
        </row>
        <row r="19">
          <cell r="B19">
            <v>136</v>
          </cell>
        </row>
        <row r="19">
          <cell r="I19">
            <v>6.7</v>
          </cell>
        </row>
        <row r="19">
          <cell r="N19" t="str">
            <v>Romance</v>
          </cell>
        </row>
        <row r="19">
          <cell r="P19">
            <v>6.42621247113164</v>
          </cell>
          <cell r="Q19">
            <v>6.5</v>
          </cell>
          <cell r="R19">
            <v>6.5</v>
          </cell>
          <cell r="S19">
            <v>8.5</v>
          </cell>
          <cell r="T19">
            <v>2.1</v>
          </cell>
          <cell r="U19">
            <v>0.968996248974355</v>
          </cell>
          <cell r="V19">
            <v>0.93895373052637</v>
          </cell>
        </row>
        <row r="20">
          <cell r="B20">
            <v>106</v>
          </cell>
        </row>
        <row r="20">
          <cell r="I20">
            <v>6.8</v>
          </cell>
        </row>
        <row r="20">
          <cell r="N20" t="str">
            <v>Family</v>
          </cell>
        </row>
        <row r="20">
          <cell r="P20">
            <v>6.2</v>
          </cell>
          <cell r="Q20">
            <v>6.3</v>
          </cell>
          <cell r="R20">
            <v>5.4</v>
          </cell>
          <cell r="S20">
            <v>8.6</v>
          </cell>
          <cell r="T20">
            <v>1.9</v>
          </cell>
          <cell r="U20">
            <v>1.16957645791504</v>
          </cell>
          <cell r="V20">
            <v>1.36790909090909</v>
          </cell>
        </row>
        <row r="21">
          <cell r="B21">
            <v>164</v>
          </cell>
        </row>
        <row r="21">
          <cell r="I21">
            <v>7.5</v>
          </cell>
        </row>
        <row r="21">
          <cell r="N21" t="str">
            <v>Western</v>
          </cell>
        </row>
        <row r="21">
          <cell r="P21">
            <v>6.76551724137931</v>
          </cell>
          <cell r="Q21">
            <v>6.8</v>
          </cell>
          <cell r="R21">
            <v>6.8</v>
          </cell>
          <cell r="S21">
            <v>8.9</v>
          </cell>
          <cell r="T21">
            <v>4.1</v>
          </cell>
          <cell r="U21">
            <v>0.998516746319247</v>
          </cell>
          <cell r="V21">
            <v>0.997035692679976</v>
          </cell>
        </row>
        <row r="22">
          <cell r="B22">
            <v>153</v>
          </cell>
        </row>
        <row r="22">
          <cell r="I22">
            <v>7</v>
          </cell>
        </row>
        <row r="22">
          <cell r="N22" t="str">
            <v>Musical</v>
          </cell>
        </row>
        <row r="22">
          <cell r="P22">
            <v>6.55098039215686</v>
          </cell>
          <cell r="Q22">
            <v>6.7</v>
          </cell>
          <cell r="R22">
            <v>7.1</v>
          </cell>
          <cell r="S22">
            <v>8.5</v>
          </cell>
          <cell r="T22">
            <v>2.1</v>
          </cell>
          <cell r="U22">
            <v>1.14353500018208</v>
          </cell>
          <cell r="V22">
            <v>1.30767229664143</v>
          </cell>
        </row>
        <row r="23">
          <cell r="B23">
            <v>156</v>
          </cell>
        </row>
        <row r="23">
          <cell r="I23">
            <v>6.7</v>
          </cell>
        </row>
        <row r="23">
          <cell r="N23" t="str">
            <v>Thriller</v>
          </cell>
        </row>
        <row r="23">
          <cell r="P23">
            <v>6.37230910763571</v>
          </cell>
          <cell r="Q23">
            <v>6.4</v>
          </cell>
          <cell r="R23">
            <v>6.5</v>
          </cell>
          <cell r="S23">
            <v>9</v>
          </cell>
          <cell r="T23">
            <v>2.7</v>
          </cell>
          <cell r="U23">
            <v>0.96907832659458</v>
          </cell>
          <cell r="V23">
            <v>0.939112803075352</v>
          </cell>
        </row>
        <row r="24">
          <cell r="B24">
            <v>186</v>
          </cell>
        </row>
        <row r="24">
          <cell r="I24">
            <v>7.9</v>
          </cell>
        </row>
        <row r="25">
          <cell r="B25">
            <v>113</v>
          </cell>
        </row>
        <row r="25">
          <cell r="I25">
            <v>6.1</v>
          </cell>
        </row>
        <row r="26">
          <cell r="B26">
            <v>201</v>
          </cell>
        </row>
        <row r="26">
          <cell r="I26">
            <v>7.2</v>
          </cell>
        </row>
        <row r="27">
          <cell r="B27">
            <v>194</v>
          </cell>
        </row>
        <row r="27">
          <cell r="I27">
            <v>7.7</v>
          </cell>
        </row>
        <row r="28">
          <cell r="B28">
            <v>147</v>
          </cell>
        </row>
        <row r="28">
          <cell r="I28">
            <v>8.2</v>
          </cell>
        </row>
        <row r="29">
          <cell r="B29">
            <v>131</v>
          </cell>
        </row>
        <row r="29">
          <cell r="I29">
            <v>5.9</v>
          </cell>
        </row>
        <row r="30">
          <cell r="B30">
            <v>124</v>
          </cell>
        </row>
        <row r="30">
          <cell r="I30">
            <v>7</v>
          </cell>
        </row>
        <row r="31">
          <cell r="B31">
            <v>143</v>
          </cell>
        </row>
        <row r="31">
          <cell r="I31">
            <v>7.8</v>
          </cell>
        </row>
        <row r="32">
          <cell r="B32">
            <v>135</v>
          </cell>
        </row>
        <row r="32">
          <cell r="I32">
            <v>7.3</v>
          </cell>
        </row>
        <row r="33">
          <cell r="B33">
            <v>195</v>
          </cell>
        </row>
        <row r="33">
          <cell r="I33">
            <v>7.2</v>
          </cell>
        </row>
        <row r="34">
          <cell r="B34">
            <v>108</v>
          </cell>
        </row>
        <row r="34">
          <cell r="I34">
            <v>6.5</v>
          </cell>
        </row>
        <row r="35">
          <cell r="B35">
            <v>104</v>
          </cell>
        </row>
        <row r="35">
          <cell r="I35">
            <v>6.8</v>
          </cell>
        </row>
        <row r="36">
          <cell r="B36">
            <v>104</v>
          </cell>
        </row>
        <row r="36">
          <cell r="I36">
            <v>7.3</v>
          </cell>
        </row>
        <row r="37">
          <cell r="B37">
            <v>150</v>
          </cell>
        </row>
        <row r="37">
          <cell r="I37">
            <v>6</v>
          </cell>
        </row>
        <row r="38">
          <cell r="B38">
            <v>165</v>
          </cell>
        </row>
        <row r="38">
          <cell r="I38">
            <v>5.7</v>
          </cell>
        </row>
        <row r="39">
          <cell r="B39">
            <v>130</v>
          </cell>
        </row>
        <row r="39">
          <cell r="I39">
            <v>6.4</v>
          </cell>
        </row>
        <row r="40">
          <cell r="B40">
            <v>142</v>
          </cell>
        </row>
        <row r="40">
          <cell r="I40">
            <v>6.7</v>
          </cell>
        </row>
        <row r="41">
          <cell r="B41">
            <v>125</v>
          </cell>
        </row>
        <row r="41">
          <cell r="I41">
            <v>6.8</v>
          </cell>
        </row>
        <row r="42">
          <cell r="B42">
            <v>106</v>
          </cell>
        </row>
        <row r="42">
          <cell r="I42">
            <v>6.3</v>
          </cell>
        </row>
        <row r="43">
          <cell r="B43">
            <v>123</v>
          </cell>
        </row>
        <row r="43">
          <cell r="I43">
            <v>5.6</v>
          </cell>
        </row>
        <row r="44">
          <cell r="B44">
            <v>103</v>
          </cell>
        </row>
        <row r="44">
          <cell r="I44">
            <v>8.3</v>
          </cell>
        </row>
        <row r="45">
          <cell r="B45">
            <v>118</v>
          </cell>
        </row>
        <row r="45">
          <cell r="I45">
            <v>6.6</v>
          </cell>
        </row>
        <row r="46">
          <cell r="B46">
            <v>140</v>
          </cell>
        </row>
        <row r="46">
          <cell r="I46">
            <v>7.2</v>
          </cell>
        </row>
        <row r="47">
          <cell r="B47">
            <v>123</v>
          </cell>
        </row>
        <row r="47">
          <cell r="I47">
            <v>7</v>
          </cell>
        </row>
        <row r="48">
          <cell r="B48">
            <v>149</v>
          </cell>
        </row>
        <row r="48">
          <cell r="I48">
            <v>8</v>
          </cell>
        </row>
        <row r="49">
          <cell r="B49">
            <v>132</v>
          </cell>
        </row>
        <row r="49">
          <cell r="I49">
            <v>7.8</v>
          </cell>
        </row>
        <row r="50">
          <cell r="B50">
            <v>114</v>
          </cell>
        </row>
        <row r="50">
          <cell r="I50">
            <v>6.3</v>
          </cell>
        </row>
        <row r="51">
          <cell r="B51">
            <v>143</v>
          </cell>
        </row>
        <row r="51">
          <cell r="I51">
            <v>7.3</v>
          </cell>
        </row>
        <row r="52">
          <cell r="B52">
            <v>116</v>
          </cell>
        </row>
        <row r="52">
          <cell r="I52">
            <v>6.6</v>
          </cell>
        </row>
        <row r="53">
          <cell r="B53">
            <v>131</v>
          </cell>
        </row>
        <row r="53">
          <cell r="I53">
            <v>7</v>
          </cell>
        </row>
        <row r="54">
          <cell r="B54">
            <v>154</v>
          </cell>
        </row>
        <row r="54">
          <cell r="I54">
            <v>6.3</v>
          </cell>
        </row>
        <row r="55">
          <cell r="B55">
            <v>122</v>
          </cell>
        </row>
        <row r="55">
          <cell r="I55">
            <v>6.2</v>
          </cell>
        </row>
        <row r="56">
          <cell r="B56">
            <v>93</v>
          </cell>
        </row>
        <row r="56">
          <cell r="I56">
            <v>7.2</v>
          </cell>
        </row>
        <row r="57">
          <cell r="B57">
            <v>122</v>
          </cell>
        </row>
        <row r="57">
          <cell r="I57">
            <v>7.5</v>
          </cell>
        </row>
        <row r="58">
          <cell r="B58">
            <v>98</v>
          </cell>
        </row>
        <row r="58">
          <cell r="I58">
            <v>8.4</v>
          </cell>
        </row>
        <row r="59">
          <cell r="B59">
            <v>91</v>
          </cell>
        </row>
        <row r="59">
          <cell r="I59">
            <v>6.2</v>
          </cell>
        </row>
        <row r="60">
          <cell r="B60">
            <v>158</v>
          </cell>
        </row>
        <row r="60">
          <cell r="I60">
            <v>5.8</v>
          </cell>
        </row>
        <row r="61">
          <cell r="B61">
            <v>96</v>
          </cell>
        </row>
        <row r="61">
          <cell r="I61">
            <v>6.8</v>
          </cell>
        </row>
        <row r="62">
          <cell r="B62">
            <v>127</v>
          </cell>
        </row>
        <row r="62">
          <cell r="I62">
            <v>5.4</v>
          </cell>
        </row>
        <row r="63">
          <cell r="B63">
            <v>110</v>
          </cell>
        </row>
        <row r="63">
          <cell r="I63">
            <v>6.6</v>
          </cell>
        </row>
        <row r="64">
          <cell r="B64">
            <v>150</v>
          </cell>
        </row>
        <row r="64">
          <cell r="I64">
            <v>6.9</v>
          </cell>
        </row>
        <row r="65">
          <cell r="B65">
            <v>144</v>
          </cell>
        </row>
        <row r="65">
          <cell r="I65">
            <v>7.3</v>
          </cell>
        </row>
        <row r="66">
          <cell r="B66">
            <v>152</v>
          </cell>
        </row>
        <row r="66">
          <cell r="I66">
            <v>9</v>
          </cell>
        </row>
        <row r="67">
          <cell r="B67">
            <v>96</v>
          </cell>
        </row>
        <row r="67">
          <cell r="I67">
            <v>8.3</v>
          </cell>
        </row>
        <row r="68">
          <cell r="B68">
            <v>94</v>
          </cell>
        </row>
        <row r="68">
          <cell r="I68">
            <v>6.5</v>
          </cell>
        </row>
        <row r="69">
          <cell r="B69">
            <v>126</v>
          </cell>
        </row>
        <row r="69">
          <cell r="I69">
            <v>7.9</v>
          </cell>
        </row>
        <row r="70">
          <cell r="B70">
            <v>126</v>
          </cell>
        </row>
        <row r="70">
          <cell r="I70">
            <v>7.5</v>
          </cell>
        </row>
        <row r="71">
          <cell r="B71">
            <v>106</v>
          </cell>
        </row>
        <row r="71">
          <cell r="I71">
            <v>4.8</v>
          </cell>
        </row>
        <row r="72">
          <cell r="B72">
            <v>112</v>
          </cell>
        </row>
        <row r="72">
          <cell r="I72">
            <v>5.2</v>
          </cell>
        </row>
        <row r="73">
          <cell r="B73">
            <v>123</v>
          </cell>
        </row>
        <row r="73">
          <cell r="I73">
            <v>6.9</v>
          </cell>
        </row>
        <row r="74">
          <cell r="B74">
            <v>96</v>
          </cell>
        </row>
        <row r="74">
          <cell r="I74">
            <v>5.4</v>
          </cell>
        </row>
        <row r="75">
          <cell r="B75">
            <v>113</v>
          </cell>
        </row>
        <row r="75">
          <cell r="I75">
            <v>7.9</v>
          </cell>
        </row>
        <row r="76">
          <cell r="B76">
            <v>176</v>
          </cell>
        </row>
        <row r="76">
          <cell r="I76">
            <v>6.1</v>
          </cell>
        </row>
        <row r="77">
          <cell r="B77">
            <v>118</v>
          </cell>
        </row>
        <row r="77">
          <cell r="I77">
            <v>5.8</v>
          </cell>
        </row>
        <row r="78">
          <cell r="B78">
            <v>95</v>
          </cell>
        </row>
        <row r="78">
          <cell r="I78">
            <v>8.3</v>
          </cell>
        </row>
        <row r="79">
          <cell r="B79">
            <v>106</v>
          </cell>
        </row>
        <row r="79">
          <cell r="I79">
            <v>7.8</v>
          </cell>
        </row>
        <row r="80">
          <cell r="B80">
            <v>124</v>
          </cell>
        </row>
        <row r="80">
          <cell r="I80">
            <v>7</v>
          </cell>
        </row>
        <row r="81">
          <cell r="B81">
            <v>132</v>
          </cell>
        </row>
        <row r="81">
          <cell r="I81">
            <v>6.1</v>
          </cell>
        </row>
        <row r="82">
          <cell r="B82">
            <v>97</v>
          </cell>
        </row>
        <row r="82">
          <cell r="I82">
            <v>7</v>
          </cell>
        </row>
        <row r="83">
          <cell r="B83">
            <v>130</v>
          </cell>
        </row>
        <row r="83">
          <cell r="I83">
            <v>7.6</v>
          </cell>
        </row>
        <row r="84">
          <cell r="B84">
            <v>128</v>
          </cell>
        </row>
        <row r="84">
          <cell r="I84">
            <v>6.3</v>
          </cell>
        </row>
        <row r="85">
          <cell r="B85">
            <v>136</v>
          </cell>
        </row>
        <row r="85">
          <cell r="I85">
            <v>7.8</v>
          </cell>
        </row>
        <row r="86">
          <cell r="B86">
            <v>93</v>
          </cell>
        </row>
        <row r="86">
          <cell r="I86">
            <v>6.4</v>
          </cell>
        </row>
        <row r="87">
          <cell r="B87">
            <v>130</v>
          </cell>
        </row>
        <row r="87">
          <cell r="I87">
            <v>6.5</v>
          </cell>
        </row>
        <row r="88">
          <cell r="B88">
            <v>102</v>
          </cell>
        </row>
        <row r="88">
          <cell r="I88">
            <v>7.9</v>
          </cell>
        </row>
        <row r="89">
          <cell r="B89">
            <v>101</v>
          </cell>
        </row>
        <row r="89">
          <cell r="I89">
            <v>7.8</v>
          </cell>
        </row>
        <row r="90">
          <cell r="B90">
            <v>100</v>
          </cell>
        </row>
        <row r="90">
          <cell r="I90">
            <v>6.6</v>
          </cell>
        </row>
        <row r="91">
          <cell r="B91">
            <v>120</v>
          </cell>
        </row>
        <row r="91">
          <cell r="I91">
            <v>5.5</v>
          </cell>
        </row>
        <row r="92">
          <cell r="B92">
            <v>98</v>
          </cell>
        </row>
        <row r="92">
          <cell r="I92">
            <v>8.2</v>
          </cell>
        </row>
        <row r="93">
          <cell r="B93">
            <v>109</v>
          </cell>
        </row>
        <row r="93">
          <cell r="I93">
            <v>6.4</v>
          </cell>
        </row>
        <row r="94">
          <cell r="B94">
            <v>121</v>
          </cell>
        </row>
        <row r="94">
          <cell r="I94">
            <v>8.1</v>
          </cell>
        </row>
        <row r="95">
          <cell r="B95">
            <v>169</v>
          </cell>
        </row>
        <row r="95">
          <cell r="I95">
            <v>8.6</v>
          </cell>
        </row>
        <row r="96">
          <cell r="B96">
            <v>148</v>
          </cell>
        </row>
        <row r="96">
          <cell r="I96">
            <v>8.8</v>
          </cell>
        </row>
        <row r="97">
          <cell r="B97">
            <v>182</v>
          </cell>
        </row>
        <row r="97">
          <cell r="I97">
            <v>7.9</v>
          </cell>
        </row>
        <row r="98">
          <cell r="B98">
            <v>106</v>
          </cell>
        </row>
        <row r="98">
          <cell r="I98">
            <v>6.7</v>
          </cell>
        </row>
        <row r="99">
          <cell r="B99">
            <v>166</v>
          </cell>
        </row>
        <row r="99">
          <cell r="I99">
            <v>7.8</v>
          </cell>
        </row>
        <row r="100">
          <cell r="B100">
            <v>132</v>
          </cell>
        </row>
        <row r="100">
          <cell r="I100">
            <v>7.8</v>
          </cell>
        </row>
        <row r="101">
          <cell r="B101">
            <v>137</v>
          </cell>
        </row>
        <row r="101">
          <cell r="I101">
            <v>6.6</v>
          </cell>
        </row>
        <row r="102">
          <cell r="B102">
            <v>109</v>
          </cell>
        </row>
        <row r="102">
          <cell r="I102">
            <v>6.1</v>
          </cell>
        </row>
        <row r="103">
          <cell r="B103">
            <v>98</v>
          </cell>
        </row>
        <row r="103">
          <cell r="I103">
            <v>5.6</v>
          </cell>
        </row>
        <row r="104">
          <cell r="B104">
            <v>113</v>
          </cell>
        </row>
        <row r="104">
          <cell r="I104">
            <v>6.4</v>
          </cell>
        </row>
        <row r="105">
          <cell r="B105">
            <v>93</v>
          </cell>
        </row>
        <row r="105">
          <cell r="I105">
            <v>6.1</v>
          </cell>
        </row>
        <row r="106">
          <cell r="B106">
            <v>123</v>
          </cell>
        </row>
        <row r="106">
          <cell r="I106">
            <v>7.3</v>
          </cell>
        </row>
        <row r="107">
          <cell r="B107">
            <v>126</v>
          </cell>
        </row>
        <row r="107">
          <cell r="I107">
            <v>6.6</v>
          </cell>
        </row>
        <row r="108">
          <cell r="B108">
            <v>113</v>
          </cell>
        </row>
        <row r="108">
          <cell r="I108">
            <v>6.3</v>
          </cell>
        </row>
        <row r="109">
          <cell r="B109">
            <v>184</v>
          </cell>
        </row>
        <row r="109">
          <cell r="I109">
            <v>6.1</v>
          </cell>
        </row>
        <row r="110">
          <cell r="B110">
            <v>144</v>
          </cell>
        </row>
        <row r="110">
          <cell r="I110">
            <v>7.1</v>
          </cell>
        </row>
        <row r="111">
          <cell r="B111">
            <v>206</v>
          </cell>
        </row>
        <row r="111">
          <cell r="I111">
            <v>5.5</v>
          </cell>
        </row>
        <row r="112">
          <cell r="B112">
            <v>138</v>
          </cell>
        </row>
        <row r="112">
          <cell r="I112">
            <v>7.5</v>
          </cell>
        </row>
        <row r="113">
          <cell r="B113">
            <v>157</v>
          </cell>
        </row>
        <row r="113">
          <cell r="I113">
            <v>7.6</v>
          </cell>
        </row>
        <row r="114">
          <cell r="B114">
            <v>102</v>
          </cell>
        </row>
        <row r="114">
          <cell r="I114">
            <v>6.4</v>
          </cell>
        </row>
        <row r="115">
          <cell r="B115">
            <v>104</v>
          </cell>
        </row>
        <row r="115">
          <cell r="I115">
            <v>7.2</v>
          </cell>
        </row>
        <row r="116">
          <cell r="B116">
            <v>115</v>
          </cell>
        </row>
        <row r="116">
          <cell r="I116">
            <v>6.7</v>
          </cell>
        </row>
        <row r="117">
          <cell r="B117">
            <v>111</v>
          </cell>
        </row>
        <row r="117">
          <cell r="I117">
            <v>8</v>
          </cell>
        </row>
        <row r="118">
          <cell r="B118">
            <v>128</v>
          </cell>
        </row>
        <row r="118">
          <cell r="I118">
            <v>8.3</v>
          </cell>
        </row>
        <row r="119">
          <cell r="B119">
            <v>89</v>
          </cell>
        </row>
        <row r="119">
          <cell r="I119">
            <v>6.7</v>
          </cell>
        </row>
        <row r="120">
          <cell r="B120">
            <v>105</v>
          </cell>
        </row>
        <row r="120">
          <cell r="I120">
            <v>5.9</v>
          </cell>
        </row>
        <row r="121">
          <cell r="B121">
            <v>119</v>
          </cell>
        </row>
        <row r="121">
          <cell r="I121">
            <v>6.7</v>
          </cell>
        </row>
        <row r="122">
          <cell r="B122">
            <v>129</v>
          </cell>
        </row>
        <row r="122">
          <cell r="I122">
            <v>6.7</v>
          </cell>
        </row>
        <row r="123">
          <cell r="B123">
            <v>102</v>
          </cell>
        </row>
        <row r="123">
          <cell r="I123">
            <v>7.6</v>
          </cell>
        </row>
        <row r="124">
          <cell r="B124">
            <v>138</v>
          </cell>
        </row>
        <row r="124">
          <cell r="I124">
            <v>7.2</v>
          </cell>
        </row>
        <row r="125">
          <cell r="B125">
            <v>112</v>
          </cell>
        </row>
        <row r="125">
          <cell r="I125">
            <v>7.1</v>
          </cell>
        </row>
        <row r="126">
          <cell r="B126">
            <v>120</v>
          </cell>
        </row>
        <row r="126">
          <cell r="I126">
            <v>8.1</v>
          </cell>
        </row>
        <row r="127">
          <cell r="B127">
            <v>146</v>
          </cell>
        </row>
        <row r="127">
          <cell r="I127">
            <v>6.7</v>
          </cell>
        </row>
        <row r="128">
          <cell r="B128">
            <v>115</v>
          </cell>
        </row>
        <row r="128">
          <cell r="I128">
            <v>7</v>
          </cell>
        </row>
        <row r="129">
          <cell r="B129">
            <v>96</v>
          </cell>
        </row>
        <row r="129">
          <cell r="I129">
            <v>6.9</v>
          </cell>
        </row>
        <row r="130">
          <cell r="B130">
            <v>88</v>
          </cell>
        </row>
        <row r="130">
          <cell r="I130">
            <v>5.1</v>
          </cell>
        </row>
        <row r="131">
          <cell r="B131">
            <v>99</v>
          </cell>
        </row>
        <row r="131">
          <cell r="I131">
            <v>5.8</v>
          </cell>
        </row>
        <row r="132">
          <cell r="B132">
            <v>113</v>
          </cell>
        </row>
        <row r="132">
          <cell r="I132">
            <v>6.2</v>
          </cell>
        </row>
        <row r="133">
          <cell r="B133">
            <v>131</v>
          </cell>
        </row>
        <row r="133">
          <cell r="I133">
            <v>7.4</v>
          </cell>
        </row>
        <row r="134">
          <cell r="B134">
            <v>119</v>
          </cell>
        </row>
        <row r="134">
          <cell r="I134">
            <v>5.8</v>
          </cell>
        </row>
        <row r="135">
          <cell r="B135">
            <v>91</v>
          </cell>
        </row>
        <row r="135">
          <cell r="I135">
            <v>6.2</v>
          </cell>
        </row>
        <row r="136">
          <cell r="B136">
            <v>90</v>
          </cell>
        </row>
        <row r="136">
          <cell r="I136">
            <v>7.3</v>
          </cell>
        </row>
        <row r="137">
          <cell r="B137">
            <v>103</v>
          </cell>
        </row>
        <row r="137">
          <cell r="I137">
            <v>4.2</v>
          </cell>
        </row>
        <row r="138">
          <cell r="B138">
            <v>124</v>
          </cell>
        </row>
        <row r="138">
          <cell r="I138">
            <v>6.9</v>
          </cell>
        </row>
        <row r="139">
          <cell r="B139">
            <v>131</v>
          </cell>
        </row>
        <row r="139">
          <cell r="I139">
            <v>6.4</v>
          </cell>
        </row>
        <row r="140">
          <cell r="B140">
            <v>88</v>
          </cell>
        </row>
        <row r="140">
          <cell r="I140">
            <v>5.4</v>
          </cell>
        </row>
        <row r="141">
          <cell r="B141">
            <v>85</v>
          </cell>
        </row>
        <row r="141">
          <cell r="I141">
            <v>6.7</v>
          </cell>
        </row>
        <row r="142">
          <cell r="B142">
            <v>111</v>
          </cell>
        </row>
        <row r="142">
          <cell r="I142">
            <v>5.8</v>
          </cell>
        </row>
        <row r="143">
          <cell r="B143">
            <v>92</v>
          </cell>
        </row>
        <row r="143">
          <cell r="I143">
            <v>6.9</v>
          </cell>
        </row>
        <row r="144">
          <cell r="B144">
            <v>196</v>
          </cell>
        </row>
        <row r="144">
          <cell r="I144">
            <v>7.2</v>
          </cell>
        </row>
        <row r="145">
          <cell r="B145">
            <v>93</v>
          </cell>
        </row>
        <row r="145">
          <cell r="I145">
            <v>6.9</v>
          </cell>
        </row>
        <row r="146">
          <cell r="B146">
            <v>133</v>
          </cell>
        </row>
        <row r="146">
          <cell r="I146">
            <v>6.1</v>
          </cell>
        </row>
        <row r="147">
          <cell r="B147">
            <v>116</v>
          </cell>
        </row>
        <row r="147">
          <cell r="I147">
            <v>5.5</v>
          </cell>
        </row>
        <row r="148">
          <cell r="B148">
            <v>153</v>
          </cell>
        </row>
        <row r="148">
          <cell r="I148">
            <v>6.6</v>
          </cell>
        </row>
        <row r="149">
          <cell r="B149">
            <v>88</v>
          </cell>
        </row>
        <row r="149">
          <cell r="I149">
            <v>6.1</v>
          </cell>
        </row>
        <row r="150">
          <cell r="B150">
            <v>115</v>
          </cell>
        </row>
        <row r="150">
          <cell r="I150">
            <v>6.3</v>
          </cell>
        </row>
        <row r="151">
          <cell r="B151">
            <v>95</v>
          </cell>
        </row>
        <row r="151">
          <cell r="I151">
            <v>7.2</v>
          </cell>
        </row>
        <row r="152">
          <cell r="B152">
            <v>133</v>
          </cell>
        </row>
        <row r="152">
          <cell r="I152">
            <v>7.4</v>
          </cell>
        </row>
        <row r="153">
          <cell r="B153">
            <v>97</v>
          </cell>
        </row>
        <row r="153">
          <cell r="I153">
            <v>7.3</v>
          </cell>
        </row>
        <row r="154">
          <cell r="B154">
            <v>90</v>
          </cell>
        </row>
        <row r="154">
          <cell r="I154">
            <v>6.1</v>
          </cell>
        </row>
        <row r="155">
          <cell r="B155">
            <v>154</v>
          </cell>
        </row>
        <row r="155">
          <cell r="I155">
            <v>7.7</v>
          </cell>
        </row>
        <row r="156">
          <cell r="B156">
            <v>150</v>
          </cell>
        </row>
        <row r="156">
          <cell r="I156">
            <v>6.1</v>
          </cell>
        </row>
        <row r="157">
          <cell r="B157">
            <v>127</v>
          </cell>
        </row>
        <row r="157">
          <cell r="I157">
            <v>8</v>
          </cell>
        </row>
        <row r="158">
          <cell r="B158">
            <v>121</v>
          </cell>
        </row>
        <row r="158">
          <cell r="I158">
            <v>7.3</v>
          </cell>
        </row>
        <row r="159">
          <cell r="B159">
            <v>102</v>
          </cell>
        </row>
        <row r="159">
          <cell r="I159">
            <v>7.9</v>
          </cell>
        </row>
        <row r="160">
          <cell r="B160">
            <v>126</v>
          </cell>
        </row>
        <row r="160">
          <cell r="I160">
            <v>5.5</v>
          </cell>
        </row>
        <row r="161">
          <cell r="B161">
            <v>121</v>
          </cell>
        </row>
        <row r="161">
          <cell r="I161">
            <v>5</v>
          </cell>
        </row>
        <row r="162">
          <cell r="B162">
            <v>215</v>
          </cell>
        </row>
        <row r="162">
          <cell r="I162">
            <v>7.7</v>
          </cell>
        </row>
        <row r="163">
          <cell r="B163">
            <v>127</v>
          </cell>
        </row>
        <row r="163">
          <cell r="I163">
            <v>6.6</v>
          </cell>
        </row>
        <row r="164">
          <cell r="B164">
            <v>138</v>
          </cell>
        </row>
        <row r="164">
          <cell r="I164">
            <v>5.7</v>
          </cell>
        </row>
        <row r="165">
          <cell r="B165">
            <v>122</v>
          </cell>
        </row>
        <row r="165">
          <cell r="I165">
            <v>5.8</v>
          </cell>
        </row>
        <row r="166">
          <cell r="B166">
            <v>124</v>
          </cell>
        </row>
        <row r="166">
          <cell r="I166">
            <v>6</v>
          </cell>
        </row>
        <row r="167">
          <cell r="B167">
            <v>106</v>
          </cell>
        </row>
        <row r="167">
          <cell r="I167">
            <v>6.4</v>
          </cell>
        </row>
        <row r="168">
          <cell r="B168">
            <v>124</v>
          </cell>
        </row>
        <row r="168">
          <cell r="I168">
            <v>6.9</v>
          </cell>
        </row>
        <row r="169">
          <cell r="B169">
            <v>128</v>
          </cell>
        </row>
        <row r="169">
          <cell r="I169">
            <v>6.4</v>
          </cell>
        </row>
        <row r="170">
          <cell r="B170">
            <v>138</v>
          </cell>
        </row>
        <row r="170">
          <cell r="I170">
            <v>7.4</v>
          </cell>
        </row>
        <row r="171">
          <cell r="B171">
            <v>115</v>
          </cell>
        </row>
        <row r="171">
          <cell r="I171">
            <v>5.5</v>
          </cell>
        </row>
        <row r="172">
          <cell r="B172">
            <v>100</v>
          </cell>
        </row>
        <row r="172">
          <cell r="I172">
            <v>5.9</v>
          </cell>
        </row>
        <row r="173">
          <cell r="B173">
            <v>135</v>
          </cell>
        </row>
        <row r="173">
          <cell r="I173">
            <v>6.8</v>
          </cell>
        </row>
        <row r="174">
          <cell r="B174">
            <v>117</v>
          </cell>
        </row>
        <row r="174">
          <cell r="I174">
            <v>6.8</v>
          </cell>
        </row>
        <row r="175">
          <cell r="B175">
            <v>156</v>
          </cell>
        </row>
        <row r="175">
          <cell r="I175">
            <v>8.1</v>
          </cell>
        </row>
        <row r="176">
          <cell r="B176">
            <v>96</v>
          </cell>
        </row>
        <row r="176">
          <cell r="I176">
            <v>6.5</v>
          </cell>
        </row>
        <row r="177">
          <cell r="B177">
            <v>107</v>
          </cell>
        </row>
        <row r="177">
          <cell r="I177">
            <v>7.2</v>
          </cell>
        </row>
        <row r="178">
          <cell r="B178">
            <v>92</v>
          </cell>
        </row>
        <row r="178">
          <cell r="I178">
            <v>6.7</v>
          </cell>
        </row>
        <row r="179">
          <cell r="B179">
            <v>115</v>
          </cell>
        </row>
        <row r="179">
          <cell r="I179">
            <v>8.1</v>
          </cell>
        </row>
        <row r="180">
          <cell r="B180">
            <v>92</v>
          </cell>
        </row>
        <row r="180">
          <cell r="I180">
            <v>7.6</v>
          </cell>
        </row>
        <row r="181">
          <cell r="B181">
            <v>117</v>
          </cell>
        </row>
        <row r="181">
          <cell r="I181">
            <v>7.4</v>
          </cell>
        </row>
        <row r="182">
          <cell r="B182">
            <v>146</v>
          </cell>
        </row>
        <row r="182">
          <cell r="I182">
            <v>7.6</v>
          </cell>
        </row>
        <row r="183">
          <cell r="B183">
            <v>94</v>
          </cell>
        </row>
        <row r="183">
          <cell r="I183">
            <v>6.7</v>
          </cell>
        </row>
        <row r="184">
          <cell r="B184">
            <v>116</v>
          </cell>
        </row>
        <row r="184">
          <cell r="I184">
            <v>6.5</v>
          </cell>
        </row>
        <row r="185">
          <cell r="B185">
            <v>147</v>
          </cell>
        </row>
        <row r="185">
          <cell r="I185">
            <v>6.6</v>
          </cell>
        </row>
        <row r="186">
          <cell r="B186">
            <v>90</v>
          </cell>
        </row>
        <row r="186">
          <cell r="I186">
            <v>6.7</v>
          </cell>
        </row>
        <row r="187">
          <cell r="B187">
            <v>101</v>
          </cell>
        </row>
        <row r="187">
          <cell r="I187">
            <v>6.4</v>
          </cell>
        </row>
        <row r="188">
          <cell r="B188">
            <v>138</v>
          </cell>
        </row>
        <row r="188">
          <cell r="I188">
            <v>5.8</v>
          </cell>
        </row>
        <row r="189">
          <cell r="B189">
            <v>107</v>
          </cell>
        </row>
        <row r="189">
          <cell r="I189">
            <v>7.4</v>
          </cell>
        </row>
        <row r="190">
          <cell r="B190">
            <v>142</v>
          </cell>
        </row>
        <row r="190">
          <cell r="I190">
            <v>7.8</v>
          </cell>
        </row>
        <row r="191">
          <cell r="B191">
            <v>165</v>
          </cell>
        </row>
        <row r="191">
          <cell r="I191">
            <v>6.6</v>
          </cell>
        </row>
        <row r="192">
          <cell r="B192">
            <v>100</v>
          </cell>
        </row>
        <row r="192">
          <cell r="I192">
            <v>4.9</v>
          </cell>
        </row>
        <row r="193">
          <cell r="B193">
            <v>82</v>
          </cell>
        </row>
        <row r="193">
          <cell r="I193">
            <v>6.5</v>
          </cell>
        </row>
        <row r="194">
          <cell r="B194">
            <v>98</v>
          </cell>
        </row>
        <row r="194">
          <cell r="I194">
            <v>6.2</v>
          </cell>
        </row>
        <row r="195">
          <cell r="B195">
            <v>95</v>
          </cell>
        </row>
        <row r="195">
          <cell r="I195">
            <v>7.3</v>
          </cell>
        </row>
        <row r="196">
          <cell r="B196">
            <v>159</v>
          </cell>
        </row>
        <row r="196">
          <cell r="I196">
            <v>7.5</v>
          </cell>
        </row>
        <row r="197">
          <cell r="B197">
            <v>96</v>
          </cell>
        </row>
        <row r="197">
          <cell r="I197">
            <v>5.6</v>
          </cell>
        </row>
        <row r="198">
          <cell r="B198">
            <v>143</v>
          </cell>
        </row>
        <row r="198">
          <cell r="I198">
            <v>8.1</v>
          </cell>
        </row>
        <row r="199">
          <cell r="B199">
            <v>123</v>
          </cell>
        </row>
        <row r="199">
          <cell r="I199">
            <v>6.7</v>
          </cell>
        </row>
        <row r="200">
          <cell r="B200">
            <v>174</v>
          </cell>
        </row>
        <row r="200">
          <cell r="I200">
            <v>6.6</v>
          </cell>
        </row>
        <row r="201">
          <cell r="B201">
            <v>101</v>
          </cell>
        </row>
        <row r="201">
          <cell r="I201">
            <v>6.4</v>
          </cell>
        </row>
        <row r="202">
          <cell r="B202">
            <v>134</v>
          </cell>
        </row>
        <row r="202">
          <cell r="I202">
            <v>7.5</v>
          </cell>
        </row>
        <row r="203">
          <cell r="B203">
            <v>132</v>
          </cell>
        </row>
        <row r="203">
          <cell r="I203">
            <v>7.3</v>
          </cell>
        </row>
        <row r="204">
          <cell r="B204">
            <v>129</v>
          </cell>
        </row>
        <row r="204">
          <cell r="I204">
            <v>7.5</v>
          </cell>
        </row>
        <row r="205">
          <cell r="B205">
            <v>106</v>
          </cell>
        </row>
        <row r="205">
          <cell r="I205">
            <v>5.8</v>
          </cell>
        </row>
        <row r="206">
          <cell r="B206">
            <v>113</v>
          </cell>
        </row>
        <row r="206">
          <cell r="I206">
            <v>7.5</v>
          </cell>
        </row>
        <row r="207">
          <cell r="B207">
            <v>102</v>
          </cell>
        </row>
        <row r="207">
          <cell r="I207">
            <v>6.6</v>
          </cell>
        </row>
        <row r="208">
          <cell r="B208">
            <v>135</v>
          </cell>
        </row>
        <row r="208">
          <cell r="I208">
            <v>6.7</v>
          </cell>
        </row>
        <row r="209">
          <cell r="B209">
            <v>125</v>
          </cell>
        </row>
        <row r="209">
          <cell r="I209">
            <v>3.7</v>
          </cell>
        </row>
        <row r="210">
          <cell r="B210">
            <v>110</v>
          </cell>
        </row>
        <row r="210">
          <cell r="I210">
            <v>6</v>
          </cell>
        </row>
        <row r="211">
          <cell r="B211">
            <v>124</v>
          </cell>
        </row>
        <row r="211">
          <cell r="I211">
            <v>6.4</v>
          </cell>
        </row>
        <row r="212">
          <cell r="B212">
            <v>123</v>
          </cell>
        </row>
        <row r="212">
          <cell r="I212">
            <v>6.1</v>
          </cell>
        </row>
        <row r="213">
          <cell r="B213">
            <v>130</v>
          </cell>
        </row>
        <row r="213">
          <cell r="I213">
            <v>6.4</v>
          </cell>
        </row>
        <row r="214">
          <cell r="B214">
            <v>92</v>
          </cell>
        </row>
        <row r="214">
          <cell r="I214">
            <v>5.6</v>
          </cell>
        </row>
        <row r="215">
          <cell r="B215">
            <v>127</v>
          </cell>
        </row>
        <row r="215">
          <cell r="I215">
            <v>8</v>
          </cell>
        </row>
        <row r="216">
          <cell r="B216">
            <v>123</v>
          </cell>
        </row>
        <row r="216">
          <cell r="I216">
            <v>5.2</v>
          </cell>
        </row>
        <row r="217">
          <cell r="B217">
            <v>123</v>
          </cell>
        </row>
        <row r="217">
          <cell r="I217">
            <v>7.1</v>
          </cell>
        </row>
        <row r="218">
          <cell r="B218">
            <v>107</v>
          </cell>
        </row>
        <row r="218">
          <cell r="I218">
            <v>4.8</v>
          </cell>
        </row>
        <row r="219">
          <cell r="B219">
            <v>124</v>
          </cell>
        </row>
        <row r="219">
          <cell r="I219">
            <v>7</v>
          </cell>
        </row>
        <row r="220">
          <cell r="B220">
            <v>77</v>
          </cell>
        </row>
        <row r="220">
          <cell r="I220">
            <v>5.4</v>
          </cell>
        </row>
        <row r="221">
          <cell r="B221">
            <v>109</v>
          </cell>
        </row>
        <row r="221">
          <cell r="I221">
            <v>6.6</v>
          </cell>
        </row>
        <row r="222">
          <cell r="B222">
            <v>134</v>
          </cell>
        </row>
        <row r="222">
          <cell r="I222">
            <v>6.7</v>
          </cell>
        </row>
        <row r="223">
          <cell r="B223">
            <v>117</v>
          </cell>
        </row>
        <row r="223">
          <cell r="I223">
            <v>6.2</v>
          </cell>
        </row>
        <row r="224">
          <cell r="B224">
            <v>135</v>
          </cell>
        </row>
        <row r="224">
          <cell r="I224">
            <v>6.1</v>
          </cell>
        </row>
        <row r="225">
          <cell r="B225">
            <v>121</v>
          </cell>
        </row>
        <row r="225">
          <cell r="I225">
            <v>5.3</v>
          </cell>
        </row>
        <row r="226">
          <cell r="B226">
            <v>117</v>
          </cell>
        </row>
        <row r="226">
          <cell r="I226">
            <v>6.3</v>
          </cell>
        </row>
        <row r="227">
          <cell r="B227">
            <v>124</v>
          </cell>
        </row>
        <row r="227">
          <cell r="I227">
            <v>7</v>
          </cell>
        </row>
        <row r="228">
          <cell r="B228">
            <v>140</v>
          </cell>
        </row>
        <row r="228">
          <cell r="I228">
            <v>7.6</v>
          </cell>
        </row>
        <row r="229">
          <cell r="B229">
            <v>142</v>
          </cell>
        </row>
        <row r="229">
          <cell r="I229">
            <v>6.7</v>
          </cell>
        </row>
        <row r="230">
          <cell r="B230">
            <v>92</v>
          </cell>
        </row>
        <row r="230">
          <cell r="I230">
            <v>8.1</v>
          </cell>
        </row>
        <row r="231">
          <cell r="B231">
            <v>138</v>
          </cell>
        </row>
        <row r="231">
          <cell r="I231">
            <v>6.7</v>
          </cell>
        </row>
        <row r="232">
          <cell r="B232">
            <v>136</v>
          </cell>
        </row>
        <row r="232">
          <cell r="I232">
            <v>6.5</v>
          </cell>
        </row>
        <row r="233">
          <cell r="B233">
            <v>98</v>
          </cell>
        </row>
        <row r="233">
          <cell r="I233">
            <v>7.3</v>
          </cell>
        </row>
        <row r="234">
          <cell r="B234">
            <v>153</v>
          </cell>
        </row>
        <row r="234">
          <cell r="I234">
            <v>6</v>
          </cell>
        </row>
        <row r="235">
          <cell r="B235">
            <v>120</v>
          </cell>
        </row>
        <row r="235">
          <cell r="I235">
            <v>6.1</v>
          </cell>
        </row>
        <row r="236">
          <cell r="B236">
            <v>101</v>
          </cell>
        </row>
        <row r="236">
          <cell r="I236">
            <v>5.9</v>
          </cell>
        </row>
        <row r="237">
          <cell r="B237">
            <v>91</v>
          </cell>
        </row>
        <row r="237">
          <cell r="I237">
            <v>7.8</v>
          </cell>
        </row>
        <row r="238">
          <cell r="B238">
            <v>108</v>
          </cell>
        </row>
        <row r="238">
          <cell r="I238">
            <v>5.8</v>
          </cell>
        </row>
        <row r="239">
          <cell r="B239">
            <v>112</v>
          </cell>
        </row>
        <row r="239">
          <cell r="I239">
            <v>6.3</v>
          </cell>
        </row>
        <row r="240">
          <cell r="B240">
            <v>100</v>
          </cell>
        </row>
        <row r="240">
          <cell r="I240">
            <v>4.3</v>
          </cell>
        </row>
        <row r="241">
          <cell r="B241">
            <v>108</v>
          </cell>
        </row>
        <row r="241">
          <cell r="I241">
            <v>6.4</v>
          </cell>
        </row>
        <row r="242">
          <cell r="B242">
            <v>114</v>
          </cell>
        </row>
        <row r="242">
          <cell r="I242">
            <v>6.1</v>
          </cell>
        </row>
        <row r="243">
          <cell r="B243">
            <v>119</v>
          </cell>
        </row>
        <row r="243">
          <cell r="I243">
            <v>6.5</v>
          </cell>
        </row>
        <row r="244">
          <cell r="B244">
            <v>142</v>
          </cell>
        </row>
        <row r="244">
          <cell r="I244">
            <v>7.1</v>
          </cell>
        </row>
        <row r="245">
          <cell r="B245">
            <v>125</v>
          </cell>
        </row>
        <row r="245">
          <cell r="I245">
            <v>6.4</v>
          </cell>
        </row>
        <row r="246">
          <cell r="B246">
            <v>126</v>
          </cell>
        </row>
        <row r="246">
          <cell r="I246">
            <v>6.5</v>
          </cell>
        </row>
        <row r="247">
          <cell r="B247">
            <v>119</v>
          </cell>
        </row>
        <row r="247">
          <cell r="I247">
            <v>6.3</v>
          </cell>
        </row>
        <row r="248">
          <cell r="B248">
            <v>170</v>
          </cell>
        </row>
        <row r="248">
          <cell r="I248">
            <v>7.5</v>
          </cell>
        </row>
        <row r="249">
          <cell r="B249">
            <v>85</v>
          </cell>
        </row>
        <row r="249">
          <cell r="I249">
            <v>4.9</v>
          </cell>
        </row>
        <row r="250">
          <cell r="B250">
            <v>119</v>
          </cell>
        </row>
        <row r="250">
          <cell r="I250">
            <v>5.8</v>
          </cell>
        </row>
        <row r="251">
          <cell r="B251">
            <v>102</v>
          </cell>
        </row>
        <row r="251">
          <cell r="I251">
            <v>6.2</v>
          </cell>
        </row>
        <row r="252">
          <cell r="B252">
            <v>103</v>
          </cell>
        </row>
        <row r="252">
          <cell r="I252">
            <v>5.5</v>
          </cell>
        </row>
        <row r="253">
          <cell r="B253">
            <v>76</v>
          </cell>
        </row>
        <row r="253">
          <cell r="I253">
            <v>5.4</v>
          </cell>
        </row>
        <row r="254">
          <cell r="B254">
            <v>120</v>
          </cell>
        </row>
        <row r="254">
          <cell r="I254">
            <v>5.8</v>
          </cell>
        </row>
        <row r="255">
          <cell r="B255">
            <v>127</v>
          </cell>
        </row>
        <row r="255">
          <cell r="I255">
            <v>7.1</v>
          </cell>
        </row>
        <row r="256">
          <cell r="B256">
            <v>105</v>
          </cell>
        </row>
        <row r="256">
          <cell r="I256">
            <v>5.4</v>
          </cell>
        </row>
        <row r="257">
          <cell r="B257">
            <v>121</v>
          </cell>
        </row>
        <row r="257">
          <cell r="I257">
            <v>3.7</v>
          </cell>
        </row>
        <row r="258">
          <cell r="B258">
            <v>114</v>
          </cell>
        </row>
        <row r="258">
          <cell r="I258">
            <v>6.7</v>
          </cell>
        </row>
        <row r="259">
          <cell r="B259">
            <v>129</v>
          </cell>
        </row>
        <row r="259">
          <cell r="I259">
            <v>7.2</v>
          </cell>
        </row>
        <row r="260">
          <cell r="B260">
            <v>171</v>
          </cell>
        </row>
        <row r="260">
          <cell r="I260">
            <v>8.8</v>
          </cell>
        </row>
        <row r="261">
          <cell r="B261">
            <v>120</v>
          </cell>
        </row>
        <row r="261">
          <cell r="I261">
            <v>5.8</v>
          </cell>
        </row>
        <row r="262">
          <cell r="B262">
            <v>165</v>
          </cell>
        </row>
        <row r="262">
          <cell r="I262">
            <v>6.8</v>
          </cell>
        </row>
        <row r="263">
          <cell r="B263">
            <v>82</v>
          </cell>
        </row>
        <row r="263">
          <cell r="I263">
            <v>3.8</v>
          </cell>
        </row>
        <row r="264">
          <cell r="B264">
            <v>115</v>
          </cell>
        </row>
        <row r="264">
          <cell r="I264">
            <v>7.1</v>
          </cell>
        </row>
        <row r="265">
          <cell r="B265">
            <v>194</v>
          </cell>
        </row>
        <row r="265">
          <cell r="I265">
            <v>7.2</v>
          </cell>
        </row>
        <row r="266">
          <cell r="B266">
            <v>84</v>
          </cell>
        </row>
        <row r="266">
          <cell r="I266">
            <v>5.9</v>
          </cell>
        </row>
        <row r="267">
          <cell r="B267">
            <v>97</v>
          </cell>
        </row>
        <row r="267">
          <cell r="I267">
            <v>7.1</v>
          </cell>
        </row>
        <row r="268">
          <cell r="B268">
            <v>151</v>
          </cell>
        </row>
        <row r="268">
          <cell r="I268">
            <v>8.1</v>
          </cell>
        </row>
        <row r="269">
          <cell r="B269">
            <v>136</v>
          </cell>
        </row>
        <row r="269">
          <cell r="I269">
            <v>6.9</v>
          </cell>
        </row>
        <row r="270">
          <cell r="B270">
            <v>104</v>
          </cell>
        </row>
        <row r="270">
          <cell r="I270">
            <v>4.4</v>
          </cell>
        </row>
        <row r="271">
          <cell r="B271">
            <v>127</v>
          </cell>
        </row>
        <row r="271">
          <cell r="I271">
            <v>6.5</v>
          </cell>
        </row>
        <row r="272">
          <cell r="B272">
            <v>171</v>
          </cell>
        </row>
        <row r="272">
          <cell r="I272">
            <v>8.5</v>
          </cell>
        </row>
        <row r="273">
          <cell r="B273">
            <v>145</v>
          </cell>
        </row>
        <row r="273">
          <cell r="I273">
            <v>7.7</v>
          </cell>
        </row>
        <row r="274">
          <cell r="B274">
            <v>174</v>
          </cell>
        </row>
        <row r="274">
          <cell r="I274">
            <v>7.4</v>
          </cell>
        </row>
        <row r="275">
          <cell r="B275">
            <v>144</v>
          </cell>
        </row>
        <row r="275">
          <cell r="I275">
            <v>8</v>
          </cell>
        </row>
        <row r="276">
          <cell r="B276">
            <v>119</v>
          </cell>
        </row>
        <row r="276">
          <cell r="I276">
            <v>5.7</v>
          </cell>
        </row>
        <row r="277">
          <cell r="B277">
            <v>153</v>
          </cell>
        </row>
        <row r="277">
          <cell r="I277">
            <v>8.5</v>
          </cell>
        </row>
        <row r="278">
          <cell r="B278">
            <v>140</v>
          </cell>
        </row>
        <row r="278">
          <cell r="I278">
            <v>7</v>
          </cell>
        </row>
        <row r="279">
          <cell r="B279">
            <v>176</v>
          </cell>
        </row>
        <row r="279">
          <cell r="I279">
            <v>7.8</v>
          </cell>
        </row>
        <row r="280">
          <cell r="B280">
            <v>141</v>
          </cell>
        </row>
        <row r="280">
          <cell r="I280">
            <v>7.2</v>
          </cell>
        </row>
        <row r="281">
          <cell r="B281">
            <v>106</v>
          </cell>
        </row>
        <row r="281">
          <cell r="I281">
            <v>6.4</v>
          </cell>
        </row>
        <row r="282">
          <cell r="B282">
            <v>98</v>
          </cell>
        </row>
        <row r="282">
          <cell r="I282">
            <v>5.5</v>
          </cell>
        </row>
        <row r="283">
          <cell r="B283">
            <v>116</v>
          </cell>
        </row>
        <row r="283">
          <cell r="I283">
            <v>6.7</v>
          </cell>
        </row>
        <row r="284">
          <cell r="B284">
            <v>115</v>
          </cell>
        </row>
        <row r="284">
          <cell r="I284">
            <v>6.1</v>
          </cell>
        </row>
        <row r="285">
          <cell r="B285">
            <v>165</v>
          </cell>
        </row>
        <row r="285">
          <cell r="I285">
            <v>8.5</v>
          </cell>
        </row>
        <row r="286">
          <cell r="B286">
            <v>91</v>
          </cell>
        </row>
        <row r="286">
          <cell r="I286">
            <v>6.9</v>
          </cell>
        </row>
        <row r="287">
          <cell r="B287">
            <v>78</v>
          </cell>
        </row>
        <row r="287">
          <cell r="I287">
            <v>7.3</v>
          </cell>
        </row>
        <row r="288">
          <cell r="B288">
            <v>103</v>
          </cell>
        </row>
        <row r="288">
          <cell r="I288">
            <v>6.7</v>
          </cell>
        </row>
        <row r="289">
          <cell r="B289">
            <v>131</v>
          </cell>
        </row>
        <row r="289">
          <cell r="I289">
            <v>6.9</v>
          </cell>
        </row>
        <row r="290">
          <cell r="B290">
            <v>104</v>
          </cell>
        </row>
        <row r="290">
          <cell r="I290">
            <v>5.1</v>
          </cell>
        </row>
        <row r="291">
          <cell r="B291">
            <v>101</v>
          </cell>
        </row>
        <row r="291">
          <cell r="I291">
            <v>6.8</v>
          </cell>
        </row>
        <row r="292">
          <cell r="B292">
            <v>102</v>
          </cell>
        </row>
        <row r="292">
          <cell r="I292">
            <v>6.7</v>
          </cell>
        </row>
        <row r="293">
          <cell r="B293">
            <v>103</v>
          </cell>
        </row>
        <row r="293">
          <cell r="I293">
            <v>6</v>
          </cell>
        </row>
        <row r="294">
          <cell r="B294">
            <v>121</v>
          </cell>
        </row>
        <row r="294">
          <cell r="I294">
            <v>5.7</v>
          </cell>
        </row>
        <row r="295">
          <cell r="B295">
            <v>143</v>
          </cell>
        </row>
        <row r="295">
          <cell r="I295">
            <v>8</v>
          </cell>
        </row>
        <row r="296">
          <cell r="B296">
            <v>240</v>
          </cell>
        </row>
        <row r="296">
          <cell r="I296">
            <v>8.2</v>
          </cell>
        </row>
        <row r="297">
          <cell r="B297">
            <v>121</v>
          </cell>
        </row>
        <row r="297">
          <cell r="I297">
            <v>5.4</v>
          </cell>
        </row>
        <row r="298">
          <cell r="B298">
            <v>129</v>
          </cell>
        </row>
        <row r="298">
          <cell r="I298">
            <v>7.2</v>
          </cell>
        </row>
        <row r="299">
          <cell r="B299">
            <v>172</v>
          </cell>
        </row>
        <row r="299">
          <cell r="I299">
            <v>7.5</v>
          </cell>
        </row>
        <row r="300">
          <cell r="B300">
            <v>101</v>
          </cell>
        </row>
        <row r="300">
          <cell r="I300">
            <v>7</v>
          </cell>
        </row>
        <row r="301">
          <cell r="B301">
            <v>87</v>
          </cell>
        </row>
        <row r="301">
          <cell r="I301">
            <v>3.3</v>
          </cell>
        </row>
        <row r="302">
          <cell r="B302">
            <v>101</v>
          </cell>
        </row>
        <row r="302">
          <cell r="I302">
            <v>6</v>
          </cell>
        </row>
        <row r="303">
          <cell r="B303">
            <v>95</v>
          </cell>
        </row>
        <row r="303">
          <cell r="I303">
            <v>7.1</v>
          </cell>
        </row>
        <row r="304">
          <cell r="B304">
            <v>102</v>
          </cell>
        </row>
        <row r="304">
          <cell r="I304">
            <v>5.4</v>
          </cell>
        </row>
        <row r="305">
          <cell r="B305">
            <v>131</v>
          </cell>
        </row>
        <row r="305">
          <cell r="I305">
            <v>6.1</v>
          </cell>
        </row>
        <row r="306">
          <cell r="B306">
            <v>114</v>
          </cell>
        </row>
        <row r="306">
          <cell r="I306">
            <v>5.3</v>
          </cell>
        </row>
        <row r="307">
          <cell r="B307">
            <v>94</v>
          </cell>
        </row>
        <row r="307">
          <cell r="I307">
            <v>2.2</v>
          </cell>
        </row>
        <row r="308">
          <cell r="B308">
            <v>122</v>
          </cell>
        </row>
        <row r="308">
          <cell r="I308">
            <v>7</v>
          </cell>
        </row>
        <row r="309">
          <cell r="B309">
            <v>95</v>
          </cell>
        </row>
        <row r="309">
          <cell r="I309">
            <v>3.8</v>
          </cell>
        </row>
        <row r="310">
          <cell r="B310">
            <v>115</v>
          </cell>
        </row>
        <row r="310">
          <cell r="I310">
            <v>6.9</v>
          </cell>
        </row>
        <row r="311">
          <cell r="B311">
            <v>88</v>
          </cell>
        </row>
        <row r="311">
          <cell r="I311">
            <v>7.2</v>
          </cell>
        </row>
        <row r="312">
          <cell r="B312">
            <v>110</v>
          </cell>
        </row>
        <row r="312">
          <cell r="I312">
            <v>7.3</v>
          </cell>
        </row>
        <row r="313">
          <cell r="B313">
            <v>130</v>
          </cell>
        </row>
        <row r="313">
          <cell r="I313">
            <v>6.3</v>
          </cell>
        </row>
        <row r="314">
          <cell r="B314">
            <v>216</v>
          </cell>
        </row>
        <row r="314">
          <cell r="I314">
            <v>7.5</v>
          </cell>
        </row>
        <row r="315">
          <cell r="B315">
            <v>146</v>
          </cell>
        </row>
        <row r="315">
          <cell r="I315">
            <v>7.6</v>
          </cell>
        </row>
        <row r="316">
          <cell r="B316">
            <v>85</v>
          </cell>
        </row>
        <row r="316">
          <cell r="I316">
            <v>6.8</v>
          </cell>
        </row>
        <row r="317">
          <cell r="B317">
            <v>93</v>
          </cell>
        </row>
        <row r="317">
          <cell r="I317">
            <v>5.2</v>
          </cell>
        </row>
        <row r="318">
          <cell r="B318">
            <v>152</v>
          </cell>
        </row>
        <row r="318">
          <cell r="I318">
            <v>7.7</v>
          </cell>
        </row>
        <row r="319">
          <cell r="B319">
            <v>85</v>
          </cell>
        </row>
        <row r="319">
          <cell r="I319">
            <v>6.2</v>
          </cell>
        </row>
        <row r="320">
          <cell r="B320">
            <v>126</v>
          </cell>
        </row>
        <row r="320">
          <cell r="I320">
            <v>7.7</v>
          </cell>
        </row>
        <row r="321">
          <cell r="B321">
            <v>146</v>
          </cell>
        </row>
        <row r="321">
          <cell r="I321">
            <v>4.3</v>
          </cell>
        </row>
        <row r="322">
          <cell r="B322">
            <v>89</v>
          </cell>
        </row>
        <row r="322">
          <cell r="I322">
            <v>6.9</v>
          </cell>
        </row>
        <row r="323">
          <cell r="B323">
            <v>88</v>
          </cell>
        </row>
        <row r="323">
          <cell r="I323">
            <v>6.6</v>
          </cell>
        </row>
        <row r="324">
          <cell r="B324">
            <v>105</v>
          </cell>
        </row>
        <row r="324">
          <cell r="I324">
            <v>7</v>
          </cell>
        </row>
        <row r="325">
          <cell r="B325">
            <v>135</v>
          </cell>
        </row>
        <row r="325">
          <cell r="I325">
            <v>6.7</v>
          </cell>
        </row>
        <row r="326">
          <cell r="B326">
            <v>100</v>
          </cell>
        </row>
        <row r="326">
          <cell r="I326">
            <v>8.2</v>
          </cell>
        </row>
        <row r="327">
          <cell r="B327">
            <v>192</v>
          </cell>
        </row>
        <row r="327">
          <cell r="I327">
            <v>8.9</v>
          </cell>
        </row>
        <row r="328">
          <cell r="B328">
            <v>172</v>
          </cell>
        </row>
        <row r="328">
          <cell r="I328">
            <v>8.7</v>
          </cell>
        </row>
        <row r="329">
          <cell r="B329">
            <v>102</v>
          </cell>
        </row>
        <row r="329">
          <cell r="I329">
            <v>5.5</v>
          </cell>
        </row>
        <row r="330">
          <cell r="B330">
            <v>100</v>
          </cell>
        </row>
        <row r="330">
          <cell r="I330">
            <v>5.7</v>
          </cell>
        </row>
        <row r="331">
          <cell r="B331">
            <v>119</v>
          </cell>
        </row>
        <row r="331">
          <cell r="I331">
            <v>6.3</v>
          </cell>
        </row>
        <row r="332">
          <cell r="B332">
            <v>92</v>
          </cell>
        </row>
        <row r="332">
          <cell r="I332">
            <v>5.9</v>
          </cell>
        </row>
        <row r="333">
          <cell r="B333">
            <v>105</v>
          </cell>
        </row>
        <row r="333">
          <cell r="I333">
            <v>7.6</v>
          </cell>
        </row>
        <row r="334">
          <cell r="B334">
            <v>107</v>
          </cell>
        </row>
        <row r="334">
          <cell r="I334">
            <v>6.6</v>
          </cell>
        </row>
        <row r="335">
          <cell r="B335">
            <v>101</v>
          </cell>
        </row>
        <row r="335">
          <cell r="I335">
            <v>5.3</v>
          </cell>
        </row>
        <row r="336">
          <cell r="B336">
            <v>137</v>
          </cell>
        </row>
        <row r="336">
          <cell r="I336">
            <v>6</v>
          </cell>
        </row>
        <row r="337">
          <cell r="B337">
            <v>115</v>
          </cell>
        </row>
        <row r="337">
          <cell r="I337">
            <v>8</v>
          </cell>
        </row>
        <row r="338">
          <cell r="B338">
            <v>124</v>
          </cell>
        </row>
        <row r="338">
          <cell r="I338">
            <v>5.6</v>
          </cell>
        </row>
        <row r="339">
          <cell r="B339">
            <v>118</v>
          </cell>
        </row>
        <row r="339">
          <cell r="I339">
            <v>5.9</v>
          </cell>
        </row>
        <row r="340">
          <cell r="B340">
            <v>98</v>
          </cell>
        </row>
        <row r="340">
          <cell r="I340">
            <v>7.3</v>
          </cell>
        </row>
        <row r="341">
          <cell r="B341">
            <v>82</v>
          </cell>
        </row>
        <row r="341">
          <cell r="I341">
            <v>7.9</v>
          </cell>
        </row>
        <row r="342">
          <cell r="B342">
            <v>98</v>
          </cell>
        </row>
        <row r="342">
          <cell r="I342">
            <v>6.8</v>
          </cell>
        </row>
        <row r="343">
          <cell r="B343">
            <v>90</v>
          </cell>
        </row>
        <row r="343">
          <cell r="I343">
            <v>6.6</v>
          </cell>
        </row>
        <row r="344">
          <cell r="B344">
            <v>130</v>
          </cell>
        </row>
        <row r="344">
          <cell r="I344">
            <v>6.6</v>
          </cell>
        </row>
        <row r="345">
          <cell r="B345">
            <v>90</v>
          </cell>
        </row>
        <row r="345">
          <cell r="I345">
            <v>7</v>
          </cell>
        </row>
        <row r="346">
          <cell r="B346">
            <v>94</v>
          </cell>
        </row>
        <row r="346">
          <cell r="I346">
            <v>7</v>
          </cell>
        </row>
        <row r="347">
          <cell r="B347">
            <v>114</v>
          </cell>
        </row>
        <row r="347">
          <cell r="I347">
            <v>7.3</v>
          </cell>
        </row>
        <row r="348">
          <cell r="B348">
            <v>94</v>
          </cell>
        </row>
        <row r="348">
          <cell r="I348">
            <v>5.5</v>
          </cell>
        </row>
        <row r="349">
          <cell r="B349">
            <v>151</v>
          </cell>
        </row>
        <row r="349">
          <cell r="I349">
            <v>8.5</v>
          </cell>
        </row>
        <row r="350">
          <cell r="B350">
            <v>88</v>
          </cell>
        </row>
        <row r="350">
          <cell r="I350">
            <v>7.5</v>
          </cell>
        </row>
        <row r="351">
          <cell r="B351">
            <v>121</v>
          </cell>
        </row>
        <row r="351">
          <cell r="I351">
            <v>7</v>
          </cell>
        </row>
        <row r="352">
          <cell r="B352">
            <v>158</v>
          </cell>
        </row>
        <row r="352">
          <cell r="I352">
            <v>7.8</v>
          </cell>
        </row>
        <row r="353">
          <cell r="B353">
            <v>128</v>
          </cell>
        </row>
        <row r="353">
          <cell r="I353">
            <v>7.6</v>
          </cell>
        </row>
        <row r="354">
          <cell r="B354">
            <v>128</v>
          </cell>
        </row>
        <row r="354">
          <cell r="I354">
            <v>7.6</v>
          </cell>
        </row>
        <row r="355">
          <cell r="B355">
            <v>95</v>
          </cell>
        </row>
        <row r="355">
          <cell r="I355">
            <v>6.8</v>
          </cell>
        </row>
        <row r="356">
          <cell r="B356">
            <v>92</v>
          </cell>
        </row>
        <row r="356">
          <cell r="I356">
            <v>5</v>
          </cell>
        </row>
        <row r="357">
          <cell r="B357">
            <v>121</v>
          </cell>
        </row>
        <row r="357">
          <cell r="I357">
            <v>7.1</v>
          </cell>
        </row>
        <row r="358">
          <cell r="B358">
            <v>113</v>
          </cell>
        </row>
        <row r="358">
          <cell r="I358">
            <v>5.5</v>
          </cell>
        </row>
        <row r="359">
          <cell r="B359">
            <v>106</v>
          </cell>
        </row>
        <row r="359">
          <cell r="I359">
            <v>5.6</v>
          </cell>
        </row>
        <row r="360">
          <cell r="B360">
            <v>146</v>
          </cell>
        </row>
        <row r="360">
          <cell r="I360">
            <v>7.1</v>
          </cell>
        </row>
        <row r="361">
          <cell r="B361">
            <v>88</v>
          </cell>
        </row>
        <row r="361">
          <cell r="I361">
            <v>4.9</v>
          </cell>
        </row>
        <row r="362">
          <cell r="B362">
            <v>150</v>
          </cell>
        </row>
        <row r="362">
          <cell r="I362">
            <v>7.4</v>
          </cell>
        </row>
        <row r="363">
          <cell r="B363">
            <v>119</v>
          </cell>
        </row>
        <row r="363">
          <cell r="I363">
            <v>5.7</v>
          </cell>
        </row>
        <row r="364">
          <cell r="B364">
            <v>128</v>
          </cell>
        </row>
        <row r="364">
          <cell r="I364">
            <v>6.4</v>
          </cell>
        </row>
        <row r="365">
          <cell r="B365">
            <v>106</v>
          </cell>
        </row>
        <row r="365">
          <cell r="I365">
            <v>5.9</v>
          </cell>
        </row>
        <row r="366">
          <cell r="B366">
            <v>117</v>
          </cell>
        </row>
        <row r="366">
          <cell r="I366">
            <v>5.5</v>
          </cell>
        </row>
        <row r="367">
          <cell r="B367">
            <v>129</v>
          </cell>
        </row>
        <row r="367">
          <cell r="I367">
            <v>6.9</v>
          </cell>
        </row>
        <row r="368">
          <cell r="B368">
            <v>116</v>
          </cell>
        </row>
        <row r="368">
          <cell r="I368">
            <v>6.2</v>
          </cell>
        </row>
        <row r="369">
          <cell r="B369">
            <v>114</v>
          </cell>
        </row>
        <row r="369">
          <cell r="I369">
            <v>7</v>
          </cell>
        </row>
        <row r="370">
          <cell r="B370">
            <v>114</v>
          </cell>
        </row>
        <row r="370">
          <cell r="I370">
            <v>5.6</v>
          </cell>
        </row>
        <row r="371">
          <cell r="B371">
            <v>96</v>
          </cell>
        </row>
        <row r="371">
          <cell r="I371">
            <v>7</v>
          </cell>
        </row>
        <row r="372">
          <cell r="B372">
            <v>132</v>
          </cell>
        </row>
        <row r="372">
          <cell r="I372">
            <v>6.8</v>
          </cell>
        </row>
        <row r="373">
          <cell r="B373">
            <v>104</v>
          </cell>
        </row>
        <row r="373">
          <cell r="I373">
            <v>5.4</v>
          </cell>
        </row>
        <row r="374">
          <cell r="B374">
            <v>111</v>
          </cell>
        </row>
        <row r="374">
          <cell r="I374">
            <v>6.1</v>
          </cell>
        </row>
        <row r="375">
          <cell r="B375">
            <v>138</v>
          </cell>
        </row>
        <row r="375">
          <cell r="I375">
            <v>6.7</v>
          </cell>
        </row>
        <row r="376">
          <cell r="B376">
            <v>129</v>
          </cell>
        </row>
        <row r="376">
          <cell r="I376">
            <v>6.9</v>
          </cell>
        </row>
        <row r="377">
          <cell r="B377">
            <v>144</v>
          </cell>
        </row>
        <row r="377">
          <cell r="I377">
            <v>8</v>
          </cell>
        </row>
        <row r="378">
          <cell r="B378">
            <v>110</v>
          </cell>
        </row>
        <row r="378">
          <cell r="I378">
            <v>4.4</v>
          </cell>
        </row>
        <row r="379">
          <cell r="B379">
            <v>140</v>
          </cell>
        </row>
        <row r="379">
          <cell r="I379">
            <v>7.3</v>
          </cell>
        </row>
        <row r="380">
          <cell r="B380">
            <v>113</v>
          </cell>
        </row>
        <row r="380">
          <cell r="I380">
            <v>6.3</v>
          </cell>
        </row>
        <row r="381">
          <cell r="B381">
            <v>143</v>
          </cell>
        </row>
        <row r="381">
          <cell r="I381">
            <v>7.7</v>
          </cell>
        </row>
        <row r="382">
          <cell r="B382">
            <v>108</v>
          </cell>
        </row>
        <row r="382">
          <cell r="I382">
            <v>6.5</v>
          </cell>
        </row>
        <row r="383">
          <cell r="B383">
            <v>108</v>
          </cell>
        </row>
        <row r="383">
          <cell r="I383">
            <v>7.8</v>
          </cell>
        </row>
        <row r="384">
          <cell r="B384">
            <v>124</v>
          </cell>
        </row>
        <row r="384">
          <cell r="I384">
            <v>6.4</v>
          </cell>
        </row>
        <row r="385">
          <cell r="B385">
            <v>116</v>
          </cell>
        </row>
        <row r="385">
          <cell r="I385">
            <v>7.8</v>
          </cell>
        </row>
        <row r="386">
          <cell r="B386">
            <v>110</v>
          </cell>
        </row>
        <row r="386">
          <cell r="I386">
            <v>5.8</v>
          </cell>
        </row>
        <row r="387">
          <cell r="B387">
            <v>91</v>
          </cell>
        </row>
        <row r="387">
          <cell r="I387">
            <v>7.1</v>
          </cell>
        </row>
        <row r="388">
          <cell r="B388">
            <v>107</v>
          </cell>
        </row>
        <row r="388">
          <cell r="I388">
            <v>7.1</v>
          </cell>
        </row>
        <row r="389">
          <cell r="B389">
            <v>115</v>
          </cell>
        </row>
        <row r="389">
          <cell r="I389">
            <v>6.8</v>
          </cell>
        </row>
        <row r="390">
          <cell r="B390">
            <v>100</v>
          </cell>
        </row>
        <row r="390">
          <cell r="I390">
            <v>4.8</v>
          </cell>
        </row>
        <row r="391">
          <cell r="B391">
            <v>104</v>
          </cell>
        </row>
        <row r="391">
          <cell r="I391">
            <v>6.2</v>
          </cell>
        </row>
        <row r="392">
          <cell r="B392">
            <v>138</v>
          </cell>
        </row>
        <row r="392">
          <cell r="I392">
            <v>6.9</v>
          </cell>
        </row>
        <row r="393">
          <cell r="B393">
            <v>140</v>
          </cell>
        </row>
        <row r="393">
          <cell r="I393">
            <v>7.3</v>
          </cell>
        </row>
        <row r="394">
          <cell r="B394">
            <v>120</v>
          </cell>
        </row>
        <row r="394">
          <cell r="I394">
            <v>6.6</v>
          </cell>
        </row>
        <row r="395">
          <cell r="B395">
            <v>122</v>
          </cell>
        </row>
        <row r="395">
          <cell r="I395">
            <v>6.9</v>
          </cell>
        </row>
        <row r="396">
          <cell r="B396">
            <v>83</v>
          </cell>
        </row>
        <row r="396">
          <cell r="I396">
            <v>6.2</v>
          </cell>
        </row>
        <row r="397">
          <cell r="B397">
            <v>139</v>
          </cell>
        </row>
        <row r="397">
          <cell r="I397">
            <v>6.7</v>
          </cell>
        </row>
        <row r="398">
          <cell r="B398">
            <v>131</v>
          </cell>
        </row>
        <row r="398">
          <cell r="I398">
            <v>7.6</v>
          </cell>
        </row>
        <row r="399">
          <cell r="B399">
            <v>104</v>
          </cell>
        </row>
        <row r="399">
          <cell r="I399">
            <v>6.7</v>
          </cell>
        </row>
        <row r="400">
          <cell r="B400">
            <v>130</v>
          </cell>
        </row>
        <row r="400">
          <cell r="I400">
            <v>6.2</v>
          </cell>
        </row>
        <row r="401">
          <cell r="B401">
            <v>145</v>
          </cell>
        </row>
        <row r="401">
          <cell r="I401">
            <v>7.3</v>
          </cell>
        </row>
        <row r="402">
          <cell r="B402">
            <v>104</v>
          </cell>
        </row>
        <row r="402">
          <cell r="I402">
            <v>6</v>
          </cell>
        </row>
        <row r="403">
          <cell r="B403">
            <v>97</v>
          </cell>
        </row>
        <row r="403">
          <cell r="I403">
            <v>7.1</v>
          </cell>
        </row>
        <row r="404">
          <cell r="B404">
            <v>178</v>
          </cell>
        </row>
        <row r="404">
          <cell r="I404">
            <v>7.1</v>
          </cell>
        </row>
        <row r="405">
          <cell r="B405">
            <v>108</v>
          </cell>
        </row>
        <row r="405">
          <cell r="I405">
            <v>5.5</v>
          </cell>
        </row>
        <row r="406">
          <cell r="B406">
            <v>106</v>
          </cell>
        </row>
        <row r="406">
          <cell r="I406">
            <v>5.6</v>
          </cell>
        </row>
        <row r="407">
          <cell r="B407">
            <v>112</v>
          </cell>
        </row>
        <row r="407">
          <cell r="I407">
            <v>7.5</v>
          </cell>
        </row>
        <row r="408">
          <cell r="B408">
            <v>135</v>
          </cell>
        </row>
        <row r="408">
          <cell r="I408">
            <v>5.4</v>
          </cell>
        </row>
        <row r="409">
          <cell r="B409">
            <v>109</v>
          </cell>
        </row>
        <row r="409">
          <cell r="I409">
            <v>4.3</v>
          </cell>
        </row>
        <row r="410">
          <cell r="B410">
            <v>86</v>
          </cell>
        </row>
        <row r="410">
          <cell r="I410">
            <v>4.9</v>
          </cell>
        </row>
        <row r="411">
          <cell r="B411">
            <v>95</v>
          </cell>
        </row>
        <row r="411">
          <cell r="I411">
            <v>7.1</v>
          </cell>
        </row>
        <row r="412">
          <cell r="B412">
            <v>107</v>
          </cell>
        </row>
        <row r="412">
          <cell r="I412">
            <v>6.4</v>
          </cell>
        </row>
        <row r="413">
          <cell r="B413">
            <v>82</v>
          </cell>
        </row>
        <row r="413">
          <cell r="I413">
            <v>4.3</v>
          </cell>
        </row>
        <row r="414">
          <cell r="B414">
            <v>88</v>
          </cell>
        </row>
        <row r="414">
          <cell r="I414">
            <v>6.1</v>
          </cell>
        </row>
        <row r="415">
          <cell r="B415">
            <v>120</v>
          </cell>
        </row>
        <row r="415">
          <cell r="I415">
            <v>7</v>
          </cell>
        </row>
        <row r="416">
          <cell r="B416">
            <v>162</v>
          </cell>
        </row>
        <row r="416">
          <cell r="I416">
            <v>7.7</v>
          </cell>
        </row>
        <row r="417">
          <cell r="B417">
            <v>123</v>
          </cell>
        </row>
        <row r="417">
          <cell r="I417">
            <v>5.9</v>
          </cell>
        </row>
        <row r="418">
          <cell r="B418">
            <v>101</v>
          </cell>
        </row>
        <row r="418">
          <cell r="I418">
            <v>6.7</v>
          </cell>
        </row>
        <row r="419">
          <cell r="B419">
            <v>113</v>
          </cell>
        </row>
        <row r="419">
          <cell r="I419">
            <v>6.5</v>
          </cell>
        </row>
        <row r="420">
          <cell r="B420">
            <v>110</v>
          </cell>
        </row>
        <row r="420">
          <cell r="I420">
            <v>7.1</v>
          </cell>
        </row>
        <row r="421">
          <cell r="B421">
            <v>142</v>
          </cell>
        </row>
        <row r="421">
          <cell r="I421">
            <v>7.3</v>
          </cell>
        </row>
        <row r="422">
          <cell r="B422">
            <v>102</v>
          </cell>
        </row>
        <row r="422">
          <cell r="I422">
            <v>6.5</v>
          </cell>
        </row>
        <row r="423">
          <cell r="B423">
            <v>126</v>
          </cell>
        </row>
        <row r="423">
          <cell r="I423">
            <v>7</v>
          </cell>
        </row>
        <row r="424">
          <cell r="B424">
            <v>83</v>
          </cell>
        </row>
        <row r="424">
          <cell r="I424">
            <v>6.8</v>
          </cell>
        </row>
        <row r="425">
          <cell r="B425">
            <v>85</v>
          </cell>
        </row>
        <row r="425">
          <cell r="I425">
            <v>7.2</v>
          </cell>
        </row>
        <row r="426">
          <cell r="B426">
            <v>120</v>
          </cell>
        </row>
        <row r="426">
          <cell r="I426">
            <v>6.1</v>
          </cell>
        </row>
        <row r="427">
          <cell r="B427">
            <v>116</v>
          </cell>
        </row>
        <row r="427">
          <cell r="I427">
            <v>6.7</v>
          </cell>
        </row>
        <row r="428">
          <cell r="B428">
            <v>113</v>
          </cell>
        </row>
        <row r="428">
          <cell r="I428">
            <v>6.4</v>
          </cell>
        </row>
        <row r="429">
          <cell r="B429">
            <v>87</v>
          </cell>
        </row>
        <row r="429">
          <cell r="I429">
            <v>4.4</v>
          </cell>
        </row>
        <row r="430">
          <cell r="B430">
            <v>101</v>
          </cell>
        </row>
        <row r="430">
          <cell r="I430">
            <v>5.4</v>
          </cell>
        </row>
        <row r="431">
          <cell r="B431">
            <v>110</v>
          </cell>
        </row>
        <row r="431">
          <cell r="I431">
            <v>6.5</v>
          </cell>
        </row>
        <row r="432">
          <cell r="B432">
            <v>128</v>
          </cell>
        </row>
        <row r="432">
          <cell r="I432">
            <v>6.7</v>
          </cell>
        </row>
        <row r="433">
          <cell r="B433">
            <v>138</v>
          </cell>
        </row>
        <row r="433">
          <cell r="I433">
            <v>8.1</v>
          </cell>
        </row>
        <row r="434">
          <cell r="B434">
            <v>88</v>
          </cell>
        </row>
        <row r="434">
          <cell r="I434">
            <v>5.6</v>
          </cell>
        </row>
        <row r="435">
          <cell r="B435">
            <v>91</v>
          </cell>
        </row>
        <row r="435">
          <cell r="I435">
            <v>6.3</v>
          </cell>
        </row>
        <row r="436">
          <cell r="B436">
            <v>138</v>
          </cell>
        </row>
        <row r="436">
          <cell r="I436">
            <v>7.3</v>
          </cell>
        </row>
        <row r="437">
          <cell r="B437">
            <v>99</v>
          </cell>
        </row>
        <row r="437">
          <cell r="I437">
            <v>6.1</v>
          </cell>
        </row>
        <row r="438">
          <cell r="B438">
            <v>117</v>
          </cell>
        </row>
        <row r="438">
          <cell r="I438">
            <v>7.7</v>
          </cell>
        </row>
        <row r="439">
          <cell r="B439">
            <v>117</v>
          </cell>
        </row>
        <row r="439">
          <cell r="I439">
            <v>6.4</v>
          </cell>
        </row>
        <row r="440">
          <cell r="B440">
            <v>123</v>
          </cell>
        </row>
        <row r="440">
          <cell r="I440">
            <v>6.8</v>
          </cell>
        </row>
        <row r="441">
          <cell r="B441">
            <v>118</v>
          </cell>
        </row>
        <row r="441">
          <cell r="I441">
            <v>6.6</v>
          </cell>
        </row>
        <row r="442">
          <cell r="B442">
            <v>154</v>
          </cell>
        </row>
        <row r="442">
          <cell r="I442">
            <v>7.2</v>
          </cell>
        </row>
        <row r="443">
          <cell r="B443">
            <v>118</v>
          </cell>
        </row>
        <row r="443">
          <cell r="I443">
            <v>6.9</v>
          </cell>
        </row>
        <row r="444">
          <cell r="B444">
            <v>90</v>
          </cell>
        </row>
        <row r="444">
          <cell r="I444">
            <v>5.2</v>
          </cell>
        </row>
        <row r="445">
          <cell r="B445">
            <v>113</v>
          </cell>
        </row>
        <row r="445">
          <cell r="I445">
            <v>4.9</v>
          </cell>
        </row>
        <row r="446">
          <cell r="B446">
            <v>88</v>
          </cell>
        </row>
        <row r="446">
          <cell r="I446">
            <v>6.3</v>
          </cell>
        </row>
        <row r="447">
          <cell r="B447">
            <v>93</v>
          </cell>
        </row>
        <row r="447">
          <cell r="I447">
            <v>5.6</v>
          </cell>
        </row>
        <row r="448">
          <cell r="B448">
            <v>104</v>
          </cell>
        </row>
        <row r="448">
          <cell r="I448">
            <v>5.5</v>
          </cell>
        </row>
        <row r="449">
          <cell r="B449">
            <v>135</v>
          </cell>
        </row>
        <row r="449">
          <cell r="I449">
            <v>6.7</v>
          </cell>
        </row>
        <row r="450">
          <cell r="B450">
            <v>134</v>
          </cell>
        </row>
        <row r="450">
          <cell r="I450">
            <v>7.6</v>
          </cell>
        </row>
        <row r="451">
          <cell r="B451">
            <v>98</v>
          </cell>
        </row>
        <row r="451">
          <cell r="I451">
            <v>5.7</v>
          </cell>
        </row>
        <row r="452">
          <cell r="B452">
            <v>80</v>
          </cell>
        </row>
        <row r="452">
          <cell r="I452">
            <v>4.6</v>
          </cell>
        </row>
        <row r="453">
          <cell r="B453">
            <v>83</v>
          </cell>
        </row>
        <row r="453">
          <cell r="I453">
            <v>7</v>
          </cell>
        </row>
        <row r="454">
          <cell r="B454">
            <v>102</v>
          </cell>
        </row>
        <row r="454">
          <cell r="I454">
            <v>5.2</v>
          </cell>
        </row>
        <row r="455">
          <cell r="B455">
            <v>130</v>
          </cell>
        </row>
        <row r="455">
          <cell r="I455">
            <v>5.1</v>
          </cell>
        </row>
        <row r="456">
          <cell r="B456">
            <v>129</v>
          </cell>
        </row>
        <row r="456">
          <cell r="I456">
            <v>6.6</v>
          </cell>
        </row>
        <row r="457">
          <cell r="B457">
            <v>89</v>
          </cell>
        </row>
        <row r="457">
          <cell r="I457">
            <v>6.7</v>
          </cell>
        </row>
        <row r="458">
          <cell r="B458">
            <v>74</v>
          </cell>
        </row>
        <row r="458">
          <cell r="I458">
            <v>7.3</v>
          </cell>
        </row>
        <row r="459">
          <cell r="B459">
            <v>96</v>
          </cell>
        </row>
        <row r="459">
          <cell r="I459">
            <v>5.9</v>
          </cell>
        </row>
        <row r="460">
          <cell r="B460">
            <v>114</v>
          </cell>
        </row>
        <row r="460">
          <cell r="I460">
            <v>5.6</v>
          </cell>
        </row>
        <row r="461">
          <cell r="B461">
            <v>99</v>
          </cell>
        </row>
        <row r="461">
          <cell r="I461">
            <v>6.5</v>
          </cell>
        </row>
        <row r="462">
          <cell r="B462">
            <v>129</v>
          </cell>
        </row>
        <row r="462">
          <cell r="I462">
            <v>5.9</v>
          </cell>
        </row>
        <row r="463">
          <cell r="B463">
            <v>113</v>
          </cell>
        </row>
        <row r="463">
          <cell r="I463">
            <v>7</v>
          </cell>
        </row>
        <row r="464">
          <cell r="B464">
            <v>90</v>
          </cell>
        </row>
        <row r="464">
          <cell r="I464">
            <v>5.3</v>
          </cell>
        </row>
        <row r="465">
          <cell r="B465">
            <v>118</v>
          </cell>
        </row>
        <row r="465">
          <cell r="I465">
            <v>5.9</v>
          </cell>
        </row>
        <row r="466">
          <cell r="B466">
            <v>106</v>
          </cell>
        </row>
        <row r="466">
          <cell r="I466">
            <v>6.3</v>
          </cell>
        </row>
        <row r="467">
          <cell r="B467">
            <v>89</v>
          </cell>
        </row>
        <row r="467">
          <cell r="I467">
            <v>6.3</v>
          </cell>
        </row>
        <row r="468">
          <cell r="B468">
            <v>145</v>
          </cell>
        </row>
        <row r="468">
          <cell r="I468">
            <v>7.3</v>
          </cell>
        </row>
        <row r="469">
          <cell r="B469">
            <v>114</v>
          </cell>
        </row>
        <row r="469">
          <cell r="I469">
            <v>5.8</v>
          </cell>
        </row>
        <row r="470">
          <cell r="B470">
            <v>87</v>
          </cell>
        </row>
        <row r="470">
          <cell r="I470">
            <v>5.2</v>
          </cell>
        </row>
        <row r="471">
          <cell r="B471">
            <v>119</v>
          </cell>
        </row>
        <row r="471">
          <cell r="I471">
            <v>2.4</v>
          </cell>
        </row>
        <row r="472">
          <cell r="B472">
            <v>91</v>
          </cell>
        </row>
        <row r="472">
          <cell r="I472">
            <v>5.7</v>
          </cell>
        </row>
        <row r="473">
          <cell r="B473">
            <v>118</v>
          </cell>
        </row>
        <row r="473">
          <cell r="I473">
            <v>5.8</v>
          </cell>
        </row>
        <row r="474">
          <cell r="B474">
            <v>116</v>
          </cell>
        </row>
        <row r="474">
          <cell r="I474">
            <v>5.6</v>
          </cell>
        </row>
        <row r="475">
          <cell r="B475">
            <v>177</v>
          </cell>
        </row>
        <row r="475">
          <cell r="I475">
            <v>6</v>
          </cell>
        </row>
        <row r="476">
          <cell r="B476">
            <v>97</v>
          </cell>
        </row>
        <row r="476">
          <cell r="I476">
            <v>5.8</v>
          </cell>
        </row>
        <row r="477">
          <cell r="B477">
            <v>106</v>
          </cell>
        </row>
        <row r="477">
          <cell r="I477">
            <v>6</v>
          </cell>
        </row>
        <row r="478">
          <cell r="B478">
            <v>106</v>
          </cell>
        </row>
        <row r="478">
          <cell r="I478">
            <v>5.7</v>
          </cell>
        </row>
        <row r="479">
          <cell r="B479">
            <v>94</v>
          </cell>
        </row>
        <row r="479">
          <cell r="I479">
            <v>6</v>
          </cell>
        </row>
        <row r="480">
          <cell r="B480">
            <v>104</v>
          </cell>
        </row>
        <row r="480">
          <cell r="I480">
            <v>7.8</v>
          </cell>
        </row>
        <row r="481">
          <cell r="B481">
            <v>102</v>
          </cell>
        </row>
        <row r="481">
          <cell r="I481">
            <v>4.2</v>
          </cell>
        </row>
        <row r="482">
          <cell r="B482">
            <v>105</v>
          </cell>
        </row>
        <row r="482">
          <cell r="I482">
            <v>5.6</v>
          </cell>
        </row>
        <row r="483">
          <cell r="B483">
            <v>135</v>
          </cell>
        </row>
        <row r="483">
          <cell r="I483">
            <v>8.2</v>
          </cell>
        </row>
        <row r="484">
          <cell r="B484">
            <v>73</v>
          </cell>
        </row>
        <row r="484">
          <cell r="I484">
            <v>8.5</v>
          </cell>
        </row>
        <row r="485">
          <cell r="B485">
            <v>94</v>
          </cell>
        </row>
        <row r="485">
          <cell r="I485">
            <v>5.8</v>
          </cell>
        </row>
        <row r="486">
          <cell r="B486">
            <v>95</v>
          </cell>
        </row>
        <row r="486">
          <cell r="I486">
            <v>6.5</v>
          </cell>
        </row>
        <row r="487">
          <cell r="B487">
            <v>124</v>
          </cell>
        </row>
        <row r="487">
          <cell r="I487">
            <v>7.2</v>
          </cell>
        </row>
        <row r="488">
          <cell r="B488">
            <v>136</v>
          </cell>
        </row>
        <row r="488">
          <cell r="I488">
            <v>6.7</v>
          </cell>
        </row>
        <row r="489">
          <cell r="B489">
            <v>91</v>
          </cell>
        </row>
        <row r="489">
          <cell r="I489">
            <v>3.4</v>
          </cell>
        </row>
        <row r="490">
          <cell r="B490">
            <v>107</v>
          </cell>
        </row>
        <row r="490">
          <cell r="I490">
            <v>5.9</v>
          </cell>
        </row>
        <row r="491">
          <cell r="B491">
            <v>108</v>
          </cell>
        </row>
        <row r="491">
          <cell r="I491">
            <v>7.8</v>
          </cell>
        </row>
        <row r="492">
          <cell r="B492">
            <v>99</v>
          </cell>
        </row>
        <row r="492">
          <cell r="I492">
            <v>5.9</v>
          </cell>
        </row>
        <row r="493">
          <cell r="B493">
            <v>92</v>
          </cell>
        </row>
        <row r="493">
          <cell r="I493">
            <v>4.1</v>
          </cell>
        </row>
        <row r="494">
          <cell r="B494">
            <v>87</v>
          </cell>
        </row>
        <row r="494">
          <cell r="I494">
            <v>6.8</v>
          </cell>
        </row>
        <row r="495">
          <cell r="B495">
            <v>110</v>
          </cell>
        </row>
        <row r="495">
          <cell r="I495">
            <v>5.8</v>
          </cell>
        </row>
        <row r="496">
          <cell r="B496">
            <v>98</v>
          </cell>
        </row>
        <row r="496">
          <cell r="I496">
            <v>7.5</v>
          </cell>
        </row>
        <row r="497">
          <cell r="B497">
            <v>154</v>
          </cell>
        </row>
        <row r="497">
          <cell r="I497">
            <v>6.9</v>
          </cell>
        </row>
        <row r="498">
          <cell r="B498">
            <v>129</v>
          </cell>
        </row>
        <row r="498">
          <cell r="I498">
            <v>6.5</v>
          </cell>
        </row>
        <row r="499">
          <cell r="B499">
            <v>86</v>
          </cell>
        </row>
        <row r="499">
          <cell r="I499">
            <v>6.9</v>
          </cell>
        </row>
        <row r="500">
          <cell r="B500">
            <v>109</v>
          </cell>
        </row>
        <row r="500">
          <cell r="I500">
            <v>7.9</v>
          </cell>
        </row>
        <row r="501">
          <cell r="B501">
            <v>104</v>
          </cell>
        </row>
        <row r="501">
          <cell r="I501">
            <v>7.4</v>
          </cell>
        </row>
        <row r="502">
          <cell r="B502">
            <v>110</v>
          </cell>
        </row>
        <row r="502">
          <cell r="I502">
            <v>6.7</v>
          </cell>
        </row>
        <row r="503">
          <cell r="B503">
            <v>136</v>
          </cell>
        </row>
        <row r="503">
          <cell r="I503">
            <v>7.4</v>
          </cell>
        </row>
        <row r="504">
          <cell r="B504">
            <v>115</v>
          </cell>
        </row>
        <row r="504">
          <cell r="I504">
            <v>6.9</v>
          </cell>
        </row>
        <row r="505">
          <cell r="B505">
            <v>99</v>
          </cell>
        </row>
        <row r="505">
          <cell r="I505">
            <v>6.8</v>
          </cell>
        </row>
        <row r="506">
          <cell r="B506">
            <v>117</v>
          </cell>
        </row>
        <row r="506">
          <cell r="I506">
            <v>6.7</v>
          </cell>
        </row>
        <row r="507">
          <cell r="B507">
            <v>125</v>
          </cell>
        </row>
        <row r="507">
          <cell r="I507">
            <v>5.1</v>
          </cell>
        </row>
        <row r="508">
          <cell r="B508">
            <v>110</v>
          </cell>
        </row>
        <row r="508">
          <cell r="I508">
            <v>4.1</v>
          </cell>
        </row>
        <row r="509">
          <cell r="B509">
            <v>125</v>
          </cell>
        </row>
        <row r="509">
          <cell r="I509">
            <v>7.3</v>
          </cell>
        </row>
        <row r="510">
          <cell r="B510">
            <v>102</v>
          </cell>
        </row>
        <row r="510">
          <cell r="I510">
            <v>6</v>
          </cell>
        </row>
        <row r="511">
          <cell r="B511">
            <v>128</v>
          </cell>
        </row>
        <row r="511">
          <cell r="I511">
            <v>7.3</v>
          </cell>
        </row>
        <row r="512">
          <cell r="B512">
            <v>100</v>
          </cell>
        </row>
        <row r="512">
          <cell r="I512">
            <v>5.4</v>
          </cell>
        </row>
        <row r="513">
          <cell r="B513">
            <v>124</v>
          </cell>
        </row>
        <row r="513">
          <cell r="I513">
            <v>5.9</v>
          </cell>
        </row>
        <row r="514">
          <cell r="B514">
            <v>102</v>
          </cell>
        </row>
        <row r="514">
          <cell r="I514">
            <v>7.1</v>
          </cell>
        </row>
        <row r="515">
          <cell r="B515">
            <v>90</v>
          </cell>
        </row>
        <row r="515">
          <cell r="I515">
            <v>6</v>
          </cell>
        </row>
        <row r="516">
          <cell r="B516">
            <v>130</v>
          </cell>
        </row>
        <row r="516">
          <cell r="I516">
            <v>6.5</v>
          </cell>
        </row>
        <row r="517">
          <cell r="B517">
            <v>118</v>
          </cell>
        </row>
        <row r="517">
          <cell r="I517">
            <v>5.7</v>
          </cell>
        </row>
        <row r="518">
          <cell r="B518">
            <v>163</v>
          </cell>
        </row>
        <row r="518">
          <cell r="I518">
            <v>7.6</v>
          </cell>
        </row>
        <row r="519">
          <cell r="B519">
            <v>142</v>
          </cell>
        </row>
        <row r="519">
          <cell r="I519">
            <v>6.6</v>
          </cell>
        </row>
        <row r="520">
          <cell r="B520">
            <v>100</v>
          </cell>
        </row>
        <row r="520">
          <cell r="I520">
            <v>5.4</v>
          </cell>
        </row>
        <row r="521">
          <cell r="B521">
            <v>116</v>
          </cell>
        </row>
        <row r="521">
          <cell r="I521">
            <v>7.3</v>
          </cell>
        </row>
        <row r="522">
          <cell r="B522">
            <v>131</v>
          </cell>
        </row>
        <row r="522">
          <cell r="I522">
            <v>6.5</v>
          </cell>
        </row>
        <row r="523">
          <cell r="B523">
            <v>91</v>
          </cell>
        </row>
        <row r="523">
          <cell r="I523">
            <v>6.6</v>
          </cell>
        </row>
        <row r="524">
          <cell r="B524">
            <v>123</v>
          </cell>
        </row>
        <row r="524">
          <cell r="I524">
            <v>6.6</v>
          </cell>
        </row>
        <row r="525">
          <cell r="B525">
            <v>134</v>
          </cell>
        </row>
        <row r="525">
          <cell r="I525">
            <v>5.9</v>
          </cell>
        </row>
        <row r="526">
          <cell r="B526">
            <v>148</v>
          </cell>
        </row>
        <row r="526">
          <cell r="I526">
            <v>6.7</v>
          </cell>
        </row>
        <row r="527">
          <cell r="B527">
            <v>110</v>
          </cell>
        </row>
        <row r="527">
          <cell r="I527">
            <v>6.1</v>
          </cell>
        </row>
        <row r="528">
          <cell r="B528">
            <v>113</v>
          </cell>
        </row>
        <row r="528">
          <cell r="I528">
            <v>6.6</v>
          </cell>
        </row>
        <row r="529">
          <cell r="B529">
            <v>94</v>
          </cell>
        </row>
        <row r="529">
          <cell r="I529">
            <v>6.6</v>
          </cell>
        </row>
        <row r="530">
          <cell r="B530">
            <v>116</v>
          </cell>
        </row>
        <row r="530">
          <cell r="I530">
            <v>5.3</v>
          </cell>
        </row>
        <row r="531">
          <cell r="B531">
            <v>99</v>
          </cell>
        </row>
        <row r="531">
          <cell r="I531">
            <v>6</v>
          </cell>
        </row>
        <row r="532">
          <cell r="B532">
            <v>93</v>
          </cell>
        </row>
        <row r="532">
          <cell r="I532">
            <v>4.7</v>
          </cell>
        </row>
        <row r="533">
          <cell r="B533">
            <v>113</v>
          </cell>
        </row>
        <row r="533">
          <cell r="I533">
            <v>6.1</v>
          </cell>
        </row>
        <row r="534">
          <cell r="B534">
            <v>106</v>
          </cell>
        </row>
        <row r="534">
          <cell r="I534">
            <v>7.2</v>
          </cell>
        </row>
        <row r="535">
          <cell r="B535">
            <v>91</v>
          </cell>
        </row>
        <row r="535">
          <cell r="I535">
            <v>6.4</v>
          </cell>
        </row>
        <row r="536">
          <cell r="B536">
            <v>128</v>
          </cell>
        </row>
        <row r="536">
          <cell r="I536">
            <v>6.1</v>
          </cell>
        </row>
        <row r="537">
          <cell r="B537">
            <v>98</v>
          </cell>
        </row>
        <row r="537">
          <cell r="I537">
            <v>5.9</v>
          </cell>
        </row>
        <row r="538">
          <cell r="B538">
            <v>134</v>
          </cell>
        </row>
        <row r="538">
          <cell r="I538">
            <v>6</v>
          </cell>
        </row>
        <row r="539">
          <cell r="B539">
            <v>97</v>
          </cell>
        </row>
        <row r="539">
          <cell r="I539">
            <v>6.3</v>
          </cell>
        </row>
        <row r="540">
          <cell r="B540">
            <v>112</v>
          </cell>
        </row>
        <row r="540">
          <cell r="I540">
            <v>5.6</v>
          </cell>
        </row>
        <row r="541">
          <cell r="B541">
            <v>153</v>
          </cell>
        </row>
        <row r="541">
          <cell r="I541">
            <v>6.4</v>
          </cell>
        </row>
        <row r="542">
          <cell r="B542">
            <v>110</v>
          </cell>
        </row>
        <row r="542">
          <cell r="I542">
            <v>7.1</v>
          </cell>
        </row>
        <row r="543">
          <cell r="B543">
            <v>122</v>
          </cell>
        </row>
        <row r="543">
          <cell r="I543">
            <v>6.6</v>
          </cell>
        </row>
        <row r="544">
          <cell r="B544">
            <v>87</v>
          </cell>
        </row>
        <row r="544">
          <cell r="I544">
            <v>4.6</v>
          </cell>
        </row>
        <row r="545">
          <cell r="B545">
            <v>178</v>
          </cell>
        </row>
        <row r="545">
          <cell r="I545">
            <v>8.4</v>
          </cell>
        </row>
        <row r="546">
          <cell r="B546">
            <v>125</v>
          </cell>
        </row>
        <row r="546">
          <cell r="I546">
            <v>7.1</v>
          </cell>
        </row>
        <row r="547">
          <cell r="B547">
            <v>87</v>
          </cell>
        </row>
        <row r="547">
          <cell r="I547">
            <v>7.4</v>
          </cell>
        </row>
        <row r="548">
          <cell r="B548">
            <v>152</v>
          </cell>
        </row>
        <row r="548">
          <cell r="I548">
            <v>6.9</v>
          </cell>
        </row>
        <row r="549">
          <cell r="B549">
            <v>116</v>
          </cell>
        </row>
        <row r="549">
          <cell r="I549">
            <v>4.5</v>
          </cell>
        </row>
        <row r="550">
          <cell r="B550">
            <v>109</v>
          </cell>
        </row>
        <row r="550">
          <cell r="I550">
            <v>7.1</v>
          </cell>
        </row>
        <row r="551">
          <cell r="B551">
            <v>108</v>
          </cell>
        </row>
        <row r="551">
          <cell r="I551">
            <v>6.5</v>
          </cell>
        </row>
        <row r="552">
          <cell r="B552">
            <v>85</v>
          </cell>
        </row>
        <row r="552">
          <cell r="I552">
            <v>5.3</v>
          </cell>
        </row>
        <row r="553">
          <cell r="B553">
            <v>106</v>
          </cell>
        </row>
        <row r="553">
          <cell r="I553">
            <v>6.7</v>
          </cell>
        </row>
        <row r="554">
          <cell r="B554">
            <v>93</v>
          </cell>
        </row>
        <row r="554">
          <cell r="I554">
            <v>7.2</v>
          </cell>
        </row>
        <row r="555">
          <cell r="B555">
            <v>117</v>
          </cell>
        </row>
        <row r="555">
          <cell r="I555">
            <v>7.2</v>
          </cell>
        </row>
        <row r="556">
          <cell r="B556">
            <v>116</v>
          </cell>
        </row>
        <row r="556">
          <cell r="I556">
            <v>5.5</v>
          </cell>
        </row>
        <row r="557">
          <cell r="B557">
            <v>132</v>
          </cell>
        </row>
        <row r="557">
          <cell r="I557">
            <v>5.8</v>
          </cell>
        </row>
        <row r="558">
          <cell r="B558">
            <v>92</v>
          </cell>
        </row>
        <row r="558">
          <cell r="I558">
            <v>6</v>
          </cell>
        </row>
        <row r="559">
          <cell r="B559">
            <v>139</v>
          </cell>
        </row>
        <row r="559">
          <cell r="I559">
            <v>6.6</v>
          </cell>
        </row>
        <row r="560">
          <cell r="B560">
            <v>153</v>
          </cell>
        </row>
        <row r="560">
          <cell r="I560">
            <v>8.3</v>
          </cell>
        </row>
        <row r="561">
          <cell r="B561">
            <v>142</v>
          </cell>
        </row>
        <row r="561">
          <cell r="I561">
            <v>6.7</v>
          </cell>
        </row>
        <row r="562">
          <cell r="B562">
            <v>124</v>
          </cell>
        </row>
        <row r="562">
          <cell r="I562">
            <v>7.1</v>
          </cell>
        </row>
        <row r="563">
          <cell r="B563">
            <v>117</v>
          </cell>
        </row>
        <row r="563">
          <cell r="I563">
            <v>6</v>
          </cell>
        </row>
        <row r="564">
          <cell r="B564">
            <v>141</v>
          </cell>
        </row>
        <row r="564">
          <cell r="I564">
            <v>6.9</v>
          </cell>
        </row>
        <row r="565">
          <cell r="B565">
            <v>110</v>
          </cell>
        </row>
        <row r="565">
          <cell r="I565">
            <v>5.6</v>
          </cell>
        </row>
        <row r="566">
          <cell r="B566">
            <v>109</v>
          </cell>
        </row>
        <row r="566">
          <cell r="I566">
            <v>5.6</v>
          </cell>
        </row>
        <row r="567">
          <cell r="B567">
            <v>88</v>
          </cell>
        </row>
        <row r="567">
          <cell r="I567">
            <v>4.5</v>
          </cell>
        </row>
        <row r="568">
          <cell r="B568">
            <v>124</v>
          </cell>
        </row>
        <row r="568">
          <cell r="I568">
            <v>7.1</v>
          </cell>
        </row>
        <row r="569">
          <cell r="B569">
            <v>119</v>
          </cell>
        </row>
        <row r="569">
          <cell r="I569">
            <v>6.5</v>
          </cell>
        </row>
        <row r="570">
          <cell r="B570">
            <v>103</v>
          </cell>
        </row>
        <row r="570">
          <cell r="I570">
            <v>6.4</v>
          </cell>
        </row>
        <row r="571">
          <cell r="B571">
            <v>116</v>
          </cell>
        </row>
        <row r="571">
          <cell r="I571">
            <v>5.8</v>
          </cell>
        </row>
        <row r="572">
          <cell r="B572">
            <v>125</v>
          </cell>
        </row>
        <row r="572">
          <cell r="I572">
            <v>8</v>
          </cell>
        </row>
        <row r="573">
          <cell r="B573">
            <v>125</v>
          </cell>
        </row>
        <row r="573">
          <cell r="I573">
            <v>6.2</v>
          </cell>
        </row>
        <row r="574">
          <cell r="B574">
            <v>146</v>
          </cell>
        </row>
        <row r="574">
          <cell r="I574">
            <v>7.2</v>
          </cell>
        </row>
        <row r="575">
          <cell r="B575">
            <v>118</v>
          </cell>
        </row>
        <row r="575">
          <cell r="I575">
            <v>6.1</v>
          </cell>
        </row>
        <row r="576">
          <cell r="B576">
            <v>171</v>
          </cell>
        </row>
        <row r="576">
          <cell r="I576">
            <v>7.6</v>
          </cell>
        </row>
        <row r="577">
          <cell r="B577">
            <v>136</v>
          </cell>
        </row>
        <row r="577">
          <cell r="I577">
            <v>6.3</v>
          </cell>
        </row>
        <row r="578">
          <cell r="B578">
            <v>92</v>
          </cell>
        </row>
        <row r="578">
          <cell r="I578">
            <v>6.3</v>
          </cell>
        </row>
        <row r="579">
          <cell r="B579">
            <v>116</v>
          </cell>
        </row>
        <row r="579">
          <cell r="I579">
            <v>6.3</v>
          </cell>
        </row>
        <row r="580">
          <cell r="B580">
            <v>127</v>
          </cell>
        </row>
        <row r="580">
          <cell r="I580">
            <v>7.7</v>
          </cell>
        </row>
        <row r="581">
          <cell r="B581">
            <v>136</v>
          </cell>
        </row>
        <row r="581">
          <cell r="I581">
            <v>7</v>
          </cell>
        </row>
        <row r="582">
          <cell r="B582">
            <v>111</v>
          </cell>
        </row>
        <row r="582">
          <cell r="I582">
            <v>5.3</v>
          </cell>
        </row>
        <row r="583">
          <cell r="B583">
            <v>116</v>
          </cell>
        </row>
        <row r="583">
          <cell r="I583">
            <v>5.6</v>
          </cell>
        </row>
        <row r="584">
          <cell r="B584">
            <v>113</v>
          </cell>
        </row>
        <row r="584">
          <cell r="I584">
            <v>5.2</v>
          </cell>
        </row>
        <row r="585">
          <cell r="B585">
            <v>97</v>
          </cell>
        </row>
        <row r="585">
          <cell r="I585">
            <v>5.4</v>
          </cell>
        </row>
        <row r="586">
          <cell r="B586">
            <v>88</v>
          </cell>
        </row>
        <row r="586">
          <cell r="I586">
            <v>6.4</v>
          </cell>
        </row>
        <row r="587">
          <cell r="B587">
            <v>136</v>
          </cell>
        </row>
        <row r="587">
          <cell r="I587">
            <v>5.9</v>
          </cell>
        </row>
        <row r="588">
          <cell r="B588">
            <v>125</v>
          </cell>
        </row>
        <row r="588">
          <cell r="I588">
            <v>6.3</v>
          </cell>
        </row>
        <row r="589">
          <cell r="B589">
            <v>116</v>
          </cell>
        </row>
        <row r="589">
          <cell r="I589">
            <v>6.5</v>
          </cell>
        </row>
        <row r="590">
          <cell r="B590">
            <v>98</v>
          </cell>
        </row>
        <row r="590">
          <cell r="I590">
            <v>3</v>
          </cell>
        </row>
        <row r="591">
          <cell r="B591">
            <v>91</v>
          </cell>
        </row>
        <row r="591">
          <cell r="I591">
            <v>3.6</v>
          </cell>
        </row>
        <row r="592">
          <cell r="B592">
            <v>97</v>
          </cell>
        </row>
        <row r="592">
          <cell r="I592">
            <v>5.8</v>
          </cell>
        </row>
        <row r="593">
          <cell r="B593">
            <v>95</v>
          </cell>
        </row>
        <row r="593">
          <cell r="I593">
            <v>6.2</v>
          </cell>
        </row>
        <row r="594">
          <cell r="B594">
            <v>88</v>
          </cell>
        </row>
        <row r="594">
          <cell r="I594">
            <v>5.6</v>
          </cell>
        </row>
        <row r="595">
          <cell r="B595">
            <v>133</v>
          </cell>
        </row>
        <row r="595">
          <cell r="I595">
            <v>5.4</v>
          </cell>
        </row>
        <row r="596">
          <cell r="B596">
            <v>106</v>
          </cell>
        </row>
        <row r="596">
          <cell r="I596">
            <v>6.1</v>
          </cell>
        </row>
        <row r="597">
          <cell r="B597">
            <v>116</v>
          </cell>
        </row>
        <row r="597">
          <cell r="I597">
            <v>4.2</v>
          </cell>
        </row>
        <row r="598">
          <cell r="B598">
            <v>115</v>
          </cell>
        </row>
        <row r="598">
          <cell r="I598">
            <v>6.7</v>
          </cell>
        </row>
        <row r="599">
          <cell r="B599">
            <v>99</v>
          </cell>
        </row>
        <row r="599">
          <cell r="I599">
            <v>4.2</v>
          </cell>
        </row>
        <row r="600">
          <cell r="B600">
            <v>124</v>
          </cell>
        </row>
        <row r="600">
          <cell r="I600">
            <v>6.4</v>
          </cell>
        </row>
        <row r="601">
          <cell r="B601">
            <v>124</v>
          </cell>
        </row>
        <row r="601">
          <cell r="I601">
            <v>4.9</v>
          </cell>
        </row>
        <row r="602">
          <cell r="B602">
            <v>124</v>
          </cell>
        </row>
        <row r="602">
          <cell r="I602">
            <v>6.8</v>
          </cell>
        </row>
        <row r="603">
          <cell r="B603">
            <v>87</v>
          </cell>
        </row>
        <row r="603">
          <cell r="I603">
            <v>7.7</v>
          </cell>
        </row>
        <row r="604">
          <cell r="B604">
            <v>105</v>
          </cell>
        </row>
        <row r="604">
          <cell r="I604">
            <v>5.6</v>
          </cell>
        </row>
        <row r="605">
          <cell r="B605">
            <v>125</v>
          </cell>
        </row>
        <row r="605">
          <cell r="I605">
            <v>6.4</v>
          </cell>
        </row>
        <row r="606">
          <cell r="B606">
            <v>141</v>
          </cell>
        </row>
        <row r="606">
          <cell r="I606">
            <v>7.2</v>
          </cell>
        </row>
        <row r="607">
          <cell r="B607">
            <v>121</v>
          </cell>
        </row>
        <row r="607">
          <cell r="I607">
            <v>6</v>
          </cell>
        </row>
        <row r="608">
          <cell r="B608">
            <v>111</v>
          </cell>
        </row>
        <row r="608">
          <cell r="I608">
            <v>5.9</v>
          </cell>
        </row>
        <row r="609">
          <cell r="B609">
            <v>157</v>
          </cell>
        </row>
        <row r="609">
          <cell r="I609">
            <v>7.9</v>
          </cell>
        </row>
        <row r="610">
          <cell r="B610">
            <v>128</v>
          </cell>
        </row>
        <row r="610">
          <cell r="I610">
            <v>7.1</v>
          </cell>
        </row>
        <row r="611">
          <cell r="B611">
            <v>105</v>
          </cell>
        </row>
        <row r="611">
          <cell r="I611">
            <v>5.9</v>
          </cell>
        </row>
        <row r="612">
          <cell r="B612">
            <v>113</v>
          </cell>
        </row>
        <row r="612">
          <cell r="I612">
            <v>6.2</v>
          </cell>
        </row>
        <row r="613">
          <cell r="B613">
            <v>121</v>
          </cell>
        </row>
        <row r="613">
          <cell r="I613">
            <v>7</v>
          </cell>
        </row>
        <row r="614">
          <cell r="B614">
            <v>102</v>
          </cell>
        </row>
        <row r="614">
          <cell r="I614">
            <v>5.4</v>
          </cell>
        </row>
        <row r="615">
          <cell r="B615">
            <v>169</v>
          </cell>
        </row>
        <row r="615">
          <cell r="I615">
            <v>8.6</v>
          </cell>
        </row>
        <row r="616">
          <cell r="B616">
            <v>132</v>
          </cell>
        </row>
        <row r="616">
          <cell r="I616">
            <v>6.5</v>
          </cell>
        </row>
        <row r="617">
          <cell r="B617">
            <v>127</v>
          </cell>
        </row>
        <row r="617">
          <cell r="I617">
            <v>6.4</v>
          </cell>
        </row>
        <row r="618">
          <cell r="B618">
            <v>103</v>
          </cell>
        </row>
        <row r="618">
          <cell r="I618">
            <v>7.6</v>
          </cell>
        </row>
        <row r="619">
          <cell r="B619">
            <v>136</v>
          </cell>
        </row>
        <row r="619">
          <cell r="I619">
            <v>5.5</v>
          </cell>
        </row>
        <row r="620">
          <cell r="B620">
            <v>150</v>
          </cell>
        </row>
        <row r="620">
          <cell r="I620">
            <v>7.4</v>
          </cell>
        </row>
        <row r="621">
          <cell r="B621">
            <v>136</v>
          </cell>
        </row>
        <row r="621">
          <cell r="I621">
            <v>8.7</v>
          </cell>
        </row>
        <row r="622">
          <cell r="B622">
            <v>140</v>
          </cell>
        </row>
        <row r="622">
          <cell r="I622">
            <v>7.6</v>
          </cell>
        </row>
        <row r="623">
          <cell r="B623">
            <v>104</v>
          </cell>
        </row>
        <row r="623">
          <cell r="I623">
            <v>5.5</v>
          </cell>
        </row>
        <row r="624">
          <cell r="B624">
            <v>158</v>
          </cell>
        </row>
        <row r="624">
          <cell r="I624">
            <v>7.6</v>
          </cell>
        </row>
        <row r="625">
          <cell r="B625">
            <v>119</v>
          </cell>
        </row>
        <row r="625">
          <cell r="I625">
            <v>6.5</v>
          </cell>
        </row>
        <row r="626">
          <cell r="B626">
            <v>106</v>
          </cell>
        </row>
        <row r="626">
          <cell r="I626">
            <v>6.9</v>
          </cell>
        </row>
        <row r="627">
          <cell r="B627">
            <v>136</v>
          </cell>
        </row>
        <row r="627">
          <cell r="I627">
            <v>6.7</v>
          </cell>
        </row>
        <row r="628">
          <cell r="B628">
            <v>95</v>
          </cell>
        </row>
        <row r="628">
          <cell r="I628">
            <v>6.6</v>
          </cell>
        </row>
        <row r="629">
          <cell r="B629">
            <v>137</v>
          </cell>
        </row>
        <row r="629">
          <cell r="I629">
            <v>7.2</v>
          </cell>
        </row>
        <row r="630">
          <cell r="B630">
            <v>130</v>
          </cell>
        </row>
        <row r="630">
          <cell r="I630">
            <v>6.4</v>
          </cell>
        </row>
        <row r="631">
          <cell r="B631">
            <v>124</v>
          </cell>
        </row>
        <row r="631">
          <cell r="I631">
            <v>6.4</v>
          </cell>
        </row>
        <row r="632">
          <cell r="B632">
            <v>108</v>
          </cell>
        </row>
        <row r="632">
          <cell r="I632">
            <v>6</v>
          </cell>
        </row>
        <row r="633">
          <cell r="B633">
            <v>104</v>
          </cell>
        </row>
        <row r="633">
          <cell r="I633">
            <v>6.1</v>
          </cell>
        </row>
        <row r="634">
          <cell r="B634">
            <v>129</v>
          </cell>
        </row>
        <row r="634">
          <cell r="I634">
            <v>6</v>
          </cell>
        </row>
        <row r="635">
          <cell r="B635">
            <v>117</v>
          </cell>
        </row>
        <row r="635">
          <cell r="I635">
            <v>6.4</v>
          </cell>
        </row>
        <row r="636">
          <cell r="B636">
            <v>99</v>
          </cell>
        </row>
        <row r="636">
          <cell r="I636">
            <v>6.4</v>
          </cell>
        </row>
        <row r="637">
          <cell r="B637">
            <v>159</v>
          </cell>
        </row>
        <row r="637">
          <cell r="I637">
            <v>7.3</v>
          </cell>
        </row>
        <row r="638">
          <cell r="B638">
            <v>118</v>
          </cell>
        </row>
        <row r="638">
          <cell r="I638">
            <v>5.2</v>
          </cell>
        </row>
        <row r="639">
          <cell r="B639">
            <v>105</v>
          </cell>
        </row>
        <row r="639">
          <cell r="I639">
            <v>6.6</v>
          </cell>
        </row>
        <row r="640">
          <cell r="B640">
            <v>103</v>
          </cell>
        </row>
        <row r="640">
          <cell r="I640">
            <v>6.3</v>
          </cell>
        </row>
        <row r="641">
          <cell r="B641">
            <v>122</v>
          </cell>
        </row>
        <row r="641">
          <cell r="I641">
            <v>5.9</v>
          </cell>
        </row>
        <row r="642">
          <cell r="B642">
            <v>143</v>
          </cell>
        </row>
        <row r="642">
          <cell r="I642">
            <v>6.7</v>
          </cell>
        </row>
        <row r="643">
          <cell r="B643">
            <v>96</v>
          </cell>
        </row>
        <row r="643">
          <cell r="I643">
            <v>5.4</v>
          </cell>
        </row>
        <row r="644">
          <cell r="B644">
            <v>111</v>
          </cell>
        </row>
        <row r="644">
          <cell r="I644">
            <v>6.4</v>
          </cell>
        </row>
        <row r="645">
          <cell r="B645">
            <v>121</v>
          </cell>
        </row>
        <row r="645">
          <cell r="I645">
            <v>6.7</v>
          </cell>
        </row>
        <row r="646">
          <cell r="B646">
            <v>135</v>
          </cell>
        </row>
        <row r="646">
          <cell r="I646">
            <v>6.2</v>
          </cell>
        </row>
        <row r="647">
          <cell r="B647">
            <v>101</v>
          </cell>
        </row>
        <row r="647">
          <cell r="I647">
            <v>6.1</v>
          </cell>
        </row>
        <row r="648">
          <cell r="B648">
            <v>151</v>
          </cell>
        </row>
        <row r="648">
          <cell r="I648">
            <v>8.8</v>
          </cell>
        </row>
        <row r="649">
          <cell r="B649">
            <v>131</v>
          </cell>
        </row>
        <row r="649">
          <cell r="I649">
            <v>7.1</v>
          </cell>
        </row>
        <row r="650">
          <cell r="B650">
            <v>100</v>
          </cell>
        </row>
        <row r="650">
          <cell r="I650">
            <v>5.7</v>
          </cell>
        </row>
        <row r="651">
          <cell r="B651">
            <v>105</v>
          </cell>
        </row>
        <row r="651">
          <cell r="I651">
            <v>5</v>
          </cell>
        </row>
        <row r="652">
          <cell r="B652">
            <v>92</v>
          </cell>
        </row>
        <row r="652">
          <cell r="I652">
            <v>5.1</v>
          </cell>
        </row>
        <row r="653">
          <cell r="B653">
            <v>130</v>
          </cell>
        </row>
        <row r="653">
          <cell r="I653">
            <v>6.9</v>
          </cell>
        </row>
        <row r="654">
          <cell r="B654">
            <v>100</v>
          </cell>
        </row>
        <row r="654">
          <cell r="I654">
            <v>4.8</v>
          </cell>
        </row>
        <row r="655">
          <cell r="B655">
            <v>102</v>
          </cell>
        </row>
        <row r="655">
          <cell r="I655">
            <v>6.5</v>
          </cell>
        </row>
        <row r="656">
          <cell r="B656">
            <v>133</v>
          </cell>
        </row>
        <row r="656">
          <cell r="I656">
            <v>5.1</v>
          </cell>
        </row>
        <row r="657">
          <cell r="B657">
            <v>121</v>
          </cell>
        </row>
        <row r="657">
          <cell r="I657">
            <v>7.1</v>
          </cell>
        </row>
        <row r="658">
          <cell r="B658">
            <v>147</v>
          </cell>
        </row>
        <row r="658">
          <cell r="I658">
            <v>7.5</v>
          </cell>
        </row>
        <row r="659">
          <cell r="B659">
            <v>94</v>
          </cell>
        </row>
        <row r="659">
          <cell r="I659">
            <v>6.2</v>
          </cell>
        </row>
        <row r="660">
          <cell r="B660">
            <v>94</v>
          </cell>
        </row>
        <row r="660">
          <cell r="I660">
            <v>6.3</v>
          </cell>
        </row>
        <row r="661">
          <cell r="B661">
            <v>127</v>
          </cell>
        </row>
        <row r="661">
          <cell r="I661">
            <v>8.1</v>
          </cell>
        </row>
        <row r="662">
          <cell r="B662">
            <v>212</v>
          </cell>
        </row>
        <row r="662">
          <cell r="I662">
            <v>6.6</v>
          </cell>
        </row>
        <row r="663">
          <cell r="B663">
            <v>141</v>
          </cell>
        </row>
        <row r="663">
          <cell r="I663">
            <v>6.9</v>
          </cell>
        </row>
        <row r="664">
          <cell r="B664">
            <v>103</v>
          </cell>
        </row>
        <row r="664">
          <cell r="I664">
            <v>6.1</v>
          </cell>
        </row>
        <row r="665">
          <cell r="B665">
            <v>98</v>
          </cell>
        </row>
        <row r="665">
          <cell r="I665">
            <v>4.3</v>
          </cell>
        </row>
        <row r="666">
          <cell r="B666">
            <v>116</v>
          </cell>
        </row>
        <row r="666">
          <cell r="I666">
            <v>6.6</v>
          </cell>
        </row>
        <row r="667">
          <cell r="B667">
            <v>114</v>
          </cell>
        </row>
        <row r="667">
          <cell r="I667">
            <v>6.8</v>
          </cell>
        </row>
        <row r="668">
          <cell r="B668">
            <v>87</v>
          </cell>
        </row>
        <row r="668">
          <cell r="I668">
            <v>3.8</v>
          </cell>
        </row>
        <row r="669">
          <cell r="B669">
            <v>125</v>
          </cell>
        </row>
        <row r="669">
          <cell r="I669">
            <v>5.9</v>
          </cell>
        </row>
        <row r="670">
          <cell r="B670">
            <v>187</v>
          </cell>
        </row>
        <row r="670">
          <cell r="I670">
            <v>7.9</v>
          </cell>
        </row>
        <row r="671">
          <cell r="B671">
            <v>93</v>
          </cell>
        </row>
        <row r="671">
          <cell r="I671">
            <v>6.3</v>
          </cell>
        </row>
        <row r="672">
          <cell r="B672">
            <v>95</v>
          </cell>
        </row>
        <row r="672">
          <cell r="I672">
            <v>5.5</v>
          </cell>
        </row>
        <row r="673">
          <cell r="B673">
            <v>117</v>
          </cell>
        </row>
        <row r="673">
          <cell r="I673">
            <v>7.7</v>
          </cell>
        </row>
        <row r="674">
          <cell r="B674">
            <v>106</v>
          </cell>
        </row>
        <row r="674">
          <cell r="I674">
            <v>6.3</v>
          </cell>
        </row>
        <row r="675">
          <cell r="B675">
            <v>115</v>
          </cell>
        </row>
        <row r="675">
          <cell r="I675">
            <v>7.1</v>
          </cell>
        </row>
        <row r="676">
          <cell r="B676">
            <v>189</v>
          </cell>
        </row>
        <row r="676">
          <cell r="I676">
            <v>8.5</v>
          </cell>
        </row>
        <row r="677">
          <cell r="B677">
            <v>81</v>
          </cell>
        </row>
        <row r="677">
          <cell r="I677">
            <v>5.8</v>
          </cell>
        </row>
        <row r="678">
          <cell r="B678">
            <v>149</v>
          </cell>
        </row>
        <row r="678">
          <cell r="I678">
            <v>8.1</v>
          </cell>
        </row>
        <row r="679">
          <cell r="B679">
            <v>119</v>
          </cell>
        </row>
        <row r="679">
          <cell r="I679">
            <v>7.9</v>
          </cell>
        </row>
        <row r="680">
          <cell r="B680">
            <v>130</v>
          </cell>
        </row>
        <row r="680">
          <cell r="I680">
            <v>7.2</v>
          </cell>
        </row>
        <row r="681">
          <cell r="B681">
            <v>116</v>
          </cell>
        </row>
        <row r="681">
          <cell r="I681">
            <v>6.3</v>
          </cell>
        </row>
        <row r="682">
          <cell r="B682">
            <v>103</v>
          </cell>
        </row>
        <row r="682">
          <cell r="I682">
            <v>8.1</v>
          </cell>
        </row>
        <row r="683">
          <cell r="B683">
            <v>99</v>
          </cell>
        </row>
        <row r="683">
          <cell r="I683">
            <v>7</v>
          </cell>
        </row>
        <row r="684">
          <cell r="B684">
            <v>92</v>
          </cell>
        </row>
        <row r="684">
          <cell r="I684">
            <v>5.5</v>
          </cell>
        </row>
        <row r="685">
          <cell r="B685">
            <v>109</v>
          </cell>
        </row>
        <row r="685">
          <cell r="I685">
            <v>6.7</v>
          </cell>
        </row>
        <row r="686">
          <cell r="B686">
            <v>87</v>
          </cell>
        </row>
        <row r="686">
          <cell r="I686">
            <v>5.2</v>
          </cell>
        </row>
        <row r="687">
          <cell r="B687">
            <v>111</v>
          </cell>
        </row>
        <row r="687">
          <cell r="I687">
            <v>7</v>
          </cell>
        </row>
        <row r="688">
          <cell r="B688">
            <v>101</v>
          </cell>
        </row>
        <row r="688">
          <cell r="I688">
            <v>6.1</v>
          </cell>
        </row>
        <row r="689">
          <cell r="B689">
            <v>83</v>
          </cell>
        </row>
        <row r="689">
          <cell r="I689">
            <v>6.6</v>
          </cell>
        </row>
        <row r="690">
          <cell r="B690">
            <v>113</v>
          </cell>
        </row>
        <row r="690">
          <cell r="I690">
            <v>5.5</v>
          </cell>
        </row>
        <row r="691">
          <cell r="B691">
            <v>107</v>
          </cell>
        </row>
        <row r="691">
          <cell r="I691">
            <v>5.9</v>
          </cell>
        </row>
        <row r="692">
          <cell r="B692">
            <v>94</v>
          </cell>
        </row>
        <row r="692">
          <cell r="I692">
            <v>5.4</v>
          </cell>
        </row>
        <row r="693">
          <cell r="B693">
            <v>132</v>
          </cell>
        </row>
        <row r="693">
          <cell r="I693">
            <v>6.4</v>
          </cell>
        </row>
        <row r="694">
          <cell r="B694">
            <v>140</v>
          </cell>
        </row>
        <row r="694">
          <cell r="I694">
            <v>5.7</v>
          </cell>
        </row>
        <row r="695">
          <cell r="B695">
            <v>125</v>
          </cell>
        </row>
        <row r="695">
          <cell r="I695">
            <v>6.7</v>
          </cell>
        </row>
        <row r="696">
          <cell r="B696">
            <v>111</v>
          </cell>
        </row>
        <row r="696">
          <cell r="I696">
            <v>7.1</v>
          </cell>
        </row>
        <row r="697">
          <cell r="B697">
            <v>156</v>
          </cell>
        </row>
        <row r="697">
          <cell r="I697">
            <v>6.8</v>
          </cell>
        </row>
        <row r="698">
          <cell r="B698">
            <v>170</v>
          </cell>
        </row>
        <row r="698">
          <cell r="I698">
            <v>6.5</v>
          </cell>
        </row>
        <row r="699">
          <cell r="B699">
            <v>120</v>
          </cell>
        </row>
        <row r="699">
          <cell r="I699">
            <v>7.6</v>
          </cell>
        </row>
        <row r="700">
          <cell r="B700">
            <v>100</v>
          </cell>
        </row>
        <row r="700">
          <cell r="I700">
            <v>5.5</v>
          </cell>
        </row>
        <row r="701">
          <cell r="B701">
            <v>115</v>
          </cell>
        </row>
        <row r="701">
          <cell r="I701">
            <v>6.5</v>
          </cell>
        </row>
        <row r="702">
          <cell r="B702">
            <v>130</v>
          </cell>
        </row>
        <row r="702">
          <cell r="I702">
            <v>7</v>
          </cell>
        </row>
        <row r="703">
          <cell r="B703">
            <v>105</v>
          </cell>
        </row>
        <row r="703">
          <cell r="I703">
            <v>5.8</v>
          </cell>
        </row>
        <row r="704">
          <cell r="B704">
            <v>111</v>
          </cell>
        </row>
        <row r="704">
          <cell r="I704">
            <v>7.3</v>
          </cell>
        </row>
        <row r="705">
          <cell r="B705">
            <v>106</v>
          </cell>
        </row>
        <row r="705">
          <cell r="I705">
            <v>6.6</v>
          </cell>
        </row>
        <row r="706">
          <cell r="B706">
            <v>89</v>
          </cell>
        </row>
        <row r="706">
          <cell r="I706">
            <v>4.4</v>
          </cell>
        </row>
        <row r="707">
          <cell r="B707">
            <v>100</v>
          </cell>
        </row>
        <row r="707">
          <cell r="I707">
            <v>7.7</v>
          </cell>
        </row>
        <row r="708">
          <cell r="B708">
            <v>91</v>
          </cell>
        </row>
        <row r="708">
          <cell r="I708">
            <v>5</v>
          </cell>
        </row>
        <row r="709">
          <cell r="B709">
            <v>146</v>
          </cell>
        </row>
        <row r="709">
          <cell r="I709">
            <v>7.7</v>
          </cell>
        </row>
        <row r="710">
          <cell r="B710">
            <v>98</v>
          </cell>
        </row>
        <row r="710">
          <cell r="I710">
            <v>4.4</v>
          </cell>
        </row>
        <row r="711">
          <cell r="B711">
            <v>101</v>
          </cell>
        </row>
        <row r="711">
          <cell r="I711">
            <v>6.1</v>
          </cell>
        </row>
        <row r="712">
          <cell r="B712">
            <v>94</v>
          </cell>
        </row>
        <row r="712">
          <cell r="I712">
            <v>5.4</v>
          </cell>
        </row>
        <row r="713">
          <cell r="B713">
            <v>132</v>
          </cell>
        </row>
        <row r="713">
          <cell r="I713">
            <v>6.8</v>
          </cell>
        </row>
        <row r="714">
          <cell r="B714">
            <v>115</v>
          </cell>
        </row>
        <row r="714">
          <cell r="I714">
            <v>6.5</v>
          </cell>
        </row>
        <row r="715">
          <cell r="B715">
            <v>92</v>
          </cell>
        </row>
        <row r="715">
          <cell r="I715">
            <v>7</v>
          </cell>
        </row>
        <row r="716">
          <cell r="B716">
            <v>124</v>
          </cell>
        </row>
        <row r="716">
          <cell r="I716">
            <v>6.3</v>
          </cell>
        </row>
        <row r="717">
          <cell r="B717">
            <v>119</v>
          </cell>
        </row>
        <row r="717">
          <cell r="I717">
            <v>6.3</v>
          </cell>
        </row>
        <row r="718">
          <cell r="B718">
            <v>124</v>
          </cell>
        </row>
        <row r="718">
          <cell r="I718">
            <v>6.1</v>
          </cell>
        </row>
        <row r="719">
          <cell r="B719">
            <v>93</v>
          </cell>
        </row>
        <row r="719">
          <cell r="I719">
            <v>6.1</v>
          </cell>
        </row>
        <row r="720">
          <cell r="B720">
            <v>98</v>
          </cell>
        </row>
        <row r="720">
          <cell r="I720">
            <v>5.3</v>
          </cell>
        </row>
        <row r="721">
          <cell r="B721">
            <v>92</v>
          </cell>
        </row>
        <row r="721">
          <cell r="I721">
            <v>5.4</v>
          </cell>
        </row>
        <row r="722">
          <cell r="B722">
            <v>105</v>
          </cell>
        </row>
        <row r="722">
          <cell r="I722">
            <v>6.2</v>
          </cell>
        </row>
        <row r="723">
          <cell r="B723">
            <v>124</v>
          </cell>
        </row>
        <row r="723">
          <cell r="I723">
            <v>6.6</v>
          </cell>
        </row>
        <row r="724">
          <cell r="B724">
            <v>99</v>
          </cell>
        </row>
        <row r="724">
          <cell r="I724">
            <v>5.9</v>
          </cell>
        </row>
        <row r="725">
          <cell r="B725">
            <v>116</v>
          </cell>
        </row>
        <row r="725">
          <cell r="I725">
            <v>6.3</v>
          </cell>
        </row>
        <row r="726">
          <cell r="B726">
            <v>124</v>
          </cell>
        </row>
        <row r="726">
          <cell r="I726">
            <v>7.2</v>
          </cell>
        </row>
        <row r="727">
          <cell r="B727">
            <v>96</v>
          </cell>
        </row>
        <row r="727">
          <cell r="I727">
            <v>6.8</v>
          </cell>
        </row>
        <row r="728">
          <cell r="B728">
            <v>104</v>
          </cell>
        </row>
        <row r="728">
          <cell r="I728">
            <v>6.1</v>
          </cell>
        </row>
        <row r="729">
          <cell r="B729">
            <v>100</v>
          </cell>
        </row>
        <row r="729">
          <cell r="I729">
            <v>7.8</v>
          </cell>
        </row>
        <row r="730">
          <cell r="B730">
            <v>115</v>
          </cell>
        </row>
        <row r="730">
          <cell r="I730">
            <v>5</v>
          </cell>
        </row>
        <row r="731">
          <cell r="B731">
            <v>101</v>
          </cell>
        </row>
        <row r="731">
          <cell r="I731">
            <v>6.2</v>
          </cell>
        </row>
        <row r="732">
          <cell r="B732">
            <v>113</v>
          </cell>
        </row>
        <row r="732">
          <cell r="I732">
            <v>6.7</v>
          </cell>
        </row>
        <row r="733">
          <cell r="B733">
            <v>100</v>
          </cell>
        </row>
        <row r="733">
          <cell r="I733">
            <v>4.9</v>
          </cell>
        </row>
        <row r="734">
          <cell r="B734">
            <v>134</v>
          </cell>
        </row>
        <row r="734">
          <cell r="I734">
            <v>7.4</v>
          </cell>
        </row>
        <row r="735">
          <cell r="B735">
            <v>125</v>
          </cell>
        </row>
        <row r="735">
          <cell r="I735">
            <v>6.2</v>
          </cell>
        </row>
        <row r="736">
          <cell r="B736">
            <v>94</v>
          </cell>
        </row>
        <row r="736">
          <cell r="I736">
            <v>4.9</v>
          </cell>
        </row>
        <row r="737">
          <cell r="B737">
            <v>107</v>
          </cell>
        </row>
        <row r="737">
          <cell r="I737">
            <v>6.1</v>
          </cell>
        </row>
        <row r="738">
          <cell r="B738">
            <v>91</v>
          </cell>
        </row>
        <row r="738">
          <cell r="I738">
            <v>6.1</v>
          </cell>
        </row>
        <row r="739">
          <cell r="B739">
            <v>116</v>
          </cell>
        </row>
        <row r="739">
          <cell r="I739">
            <v>6.4</v>
          </cell>
        </row>
        <row r="740">
          <cell r="B740">
            <v>100</v>
          </cell>
        </row>
        <row r="740">
          <cell r="I740">
            <v>6.3</v>
          </cell>
        </row>
        <row r="741">
          <cell r="B741">
            <v>117</v>
          </cell>
        </row>
        <row r="741">
          <cell r="I741">
            <v>6.6</v>
          </cell>
        </row>
        <row r="742">
          <cell r="B742">
            <v>110</v>
          </cell>
        </row>
        <row r="742">
          <cell r="I742">
            <v>5.7</v>
          </cell>
        </row>
        <row r="743">
          <cell r="B743">
            <v>96</v>
          </cell>
        </row>
        <row r="743">
          <cell r="I743">
            <v>5.9</v>
          </cell>
        </row>
        <row r="744">
          <cell r="B744">
            <v>101</v>
          </cell>
        </row>
        <row r="744">
          <cell r="I744">
            <v>6</v>
          </cell>
        </row>
        <row r="745">
          <cell r="B745">
            <v>111</v>
          </cell>
        </row>
        <row r="745">
          <cell r="I745">
            <v>6.1</v>
          </cell>
        </row>
        <row r="746">
          <cell r="B746">
            <v>117</v>
          </cell>
        </row>
        <row r="746">
          <cell r="I746">
            <v>6.7</v>
          </cell>
        </row>
        <row r="747">
          <cell r="B747">
            <v>126</v>
          </cell>
        </row>
        <row r="747">
          <cell r="I747">
            <v>6.7</v>
          </cell>
        </row>
        <row r="748">
          <cell r="B748">
            <v>152</v>
          </cell>
        </row>
        <row r="748">
          <cell r="I748">
            <v>7.9</v>
          </cell>
        </row>
        <row r="749">
          <cell r="B749">
            <v>101</v>
          </cell>
        </row>
        <row r="749">
          <cell r="I749">
            <v>4.3</v>
          </cell>
        </row>
        <row r="750">
          <cell r="B750">
            <v>87</v>
          </cell>
        </row>
        <row r="750">
          <cell r="I750">
            <v>5.7</v>
          </cell>
        </row>
        <row r="751">
          <cell r="B751">
            <v>85</v>
          </cell>
        </row>
        <row r="751">
          <cell r="I751">
            <v>6.7</v>
          </cell>
        </row>
        <row r="752">
          <cell r="B752">
            <v>130</v>
          </cell>
        </row>
        <row r="752">
          <cell r="I752">
            <v>6.7</v>
          </cell>
        </row>
        <row r="753">
          <cell r="B753">
            <v>104</v>
          </cell>
        </row>
        <row r="753">
          <cell r="I753">
            <v>6.1</v>
          </cell>
        </row>
        <row r="754">
          <cell r="B754">
            <v>121</v>
          </cell>
        </row>
        <row r="754">
          <cell r="I754">
            <v>5.6</v>
          </cell>
        </row>
        <row r="755">
          <cell r="B755">
            <v>140</v>
          </cell>
        </row>
        <row r="755">
          <cell r="I755">
            <v>6.6</v>
          </cell>
        </row>
        <row r="756">
          <cell r="B756">
            <v>131</v>
          </cell>
        </row>
        <row r="756">
          <cell r="I756">
            <v>6.9</v>
          </cell>
        </row>
        <row r="757">
          <cell r="B757">
            <v>91</v>
          </cell>
        </row>
        <row r="757">
          <cell r="I757">
            <v>4.8</v>
          </cell>
        </row>
        <row r="758">
          <cell r="B758">
            <v>118</v>
          </cell>
        </row>
        <row r="758">
          <cell r="I758">
            <v>6.2</v>
          </cell>
        </row>
        <row r="759">
          <cell r="B759">
            <v>130</v>
          </cell>
        </row>
        <row r="759">
          <cell r="I759">
            <v>6</v>
          </cell>
        </row>
        <row r="760">
          <cell r="B760">
            <v>90</v>
          </cell>
        </row>
        <row r="760">
          <cell r="I760">
            <v>4.9</v>
          </cell>
        </row>
        <row r="761">
          <cell r="B761">
            <v>103</v>
          </cell>
        </row>
        <row r="761">
          <cell r="I761">
            <v>5.6</v>
          </cell>
        </row>
        <row r="762">
          <cell r="B762">
            <v>122</v>
          </cell>
        </row>
        <row r="762">
          <cell r="I762">
            <v>6.1</v>
          </cell>
        </row>
        <row r="763">
          <cell r="B763">
            <v>106</v>
          </cell>
        </row>
        <row r="763">
          <cell r="I763">
            <v>6.1</v>
          </cell>
        </row>
        <row r="764">
          <cell r="B764">
            <v>103</v>
          </cell>
        </row>
        <row r="764">
          <cell r="I764">
            <v>4.8</v>
          </cell>
        </row>
        <row r="765">
          <cell r="B765">
            <v>107</v>
          </cell>
        </row>
        <row r="765">
          <cell r="I765">
            <v>5.5</v>
          </cell>
        </row>
        <row r="766">
          <cell r="B766">
            <v>156</v>
          </cell>
        </row>
        <row r="766">
          <cell r="I766">
            <v>3.8</v>
          </cell>
        </row>
        <row r="767">
          <cell r="B767">
            <v>127</v>
          </cell>
        </row>
        <row r="767">
          <cell r="I767">
            <v>6.5</v>
          </cell>
        </row>
        <row r="768">
          <cell r="B768">
            <v>132</v>
          </cell>
        </row>
        <row r="768">
          <cell r="I768">
            <v>6.7</v>
          </cell>
        </row>
        <row r="769">
          <cell r="B769">
            <v>108</v>
          </cell>
        </row>
        <row r="769">
          <cell r="I769">
            <v>8.1</v>
          </cell>
        </row>
        <row r="770">
          <cell r="B770">
            <v>114</v>
          </cell>
        </row>
        <row r="770">
          <cell r="I770">
            <v>4.9</v>
          </cell>
        </row>
        <row r="771">
          <cell r="B771">
            <v>133</v>
          </cell>
        </row>
        <row r="771">
          <cell r="I771">
            <v>7.3</v>
          </cell>
        </row>
        <row r="772">
          <cell r="B772">
            <v>103</v>
          </cell>
        </row>
        <row r="772">
          <cell r="I772">
            <v>6.4</v>
          </cell>
        </row>
        <row r="773">
          <cell r="B773">
            <v>95</v>
          </cell>
        </row>
        <row r="773">
          <cell r="I773">
            <v>6.7</v>
          </cell>
        </row>
        <row r="774">
          <cell r="B774">
            <v>90</v>
          </cell>
        </row>
        <row r="774">
          <cell r="I774">
            <v>3.6</v>
          </cell>
        </row>
        <row r="775">
          <cell r="B775">
            <v>87</v>
          </cell>
        </row>
        <row r="775">
          <cell r="I775">
            <v>5.7</v>
          </cell>
        </row>
        <row r="776">
          <cell r="B776">
            <v>114</v>
          </cell>
        </row>
        <row r="776">
          <cell r="I776">
            <v>6</v>
          </cell>
        </row>
        <row r="777">
          <cell r="B777">
            <v>103</v>
          </cell>
        </row>
        <row r="777">
          <cell r="I777">
            <v>4.7</v>
          </cell>
        </row>
        <row r="778">
          <cell r="B778">
            <v>125</v>
          </cell>
        </row>
        <row r="778">
          <cell r="I778">
            <v>6.3</v>
          </cell>
        </row>
        <row r="779">
          <cell r="B779">
            <v>97</v>
          </cell>
        </row>
        <row r="779">
          <cell r="I779">
            <v>5.9</v>
          </cell>
        </row>
        <row r="780">
          <cell r="B780">
            <v>125</v>
          </cell>
        </row>
        <row r="780">
          <cell r="I780">
            <v>5.9</v>
          </cell>
        </row>
        <row r="781">
          <cell r="B781">
            <v>136</v>
          </cell>
        </row>
        <row r="781">
          <cell r="I781">
            <v>7.5</v>
          </cell>
        </row>
        <row r="782">
          <cell r="B782">
            <v>116</v>
          </cell>
        </row>
        <row r="782">
          <cell r="I782">
            <v>5.6</v>
          </cell>
        </row>
        <row r="783">
          <cell r="B783">
            <v>103</v>
          </cell>
        </row>
        <row r="783">
          <cell r="I783">
            <v>6.4</v>
          </cell>
        </row>
        <row r="784">
          <cell r="B784">
            <v>97</v>
          </cell>
        </row>
        <row r="784">
          <cell r="I784">
            <v>6.3</v>
          </cell>
        </row>
        <row r="785">
          <cell r="B785">
            <v>96</v>
          </cell>
        </row>
        <row r="785">
          <cell r="I785">
            <v>4.3</v>
          </cell>
        </row>
        <row r="786">
          <cell r="B786">
            <v>131</v>
          </cell>
        </row>
        <row r="786">
          <cell r="I786">
            <v>5.9</v>
          </cell>
        </row>
        <row r="787">
          <cell r="B787">
            <v>95</v>
          </cell>
        </row>
        <row r="787">
          <cell r="I787">
            <v>5.5</v>
          </cell>
        </row>
        <row r="788">
          <cell r="B788">
            <v>86</v>
          </cell>
        </row>
        <row r="788">
          <cell r="I788">
            <v>6.2</v>
          </cell>
        </row>
        <row r="789">
          <cell r="B789">
            <v>142</v>
          </cell>
        </row>
        <row r="789">
          <cell r="I789">
            <v>8.8</v>
          </cell>
        </row>
        <row r="790">
          <cell r="B790">
            <v>92</v>
          </cell>
        </row>
        <row r="790">
          <cell r="I790">
            <v>5.2</v>
          </cell>
        </row>
        <row r="791">
          <cell r="B791">
            <v>108</v>
          </cell>
        </row>
        <row r="791">
          <cell r="I791">
            <v>7</v>
          </cell>
        </row>
        <row r="792">
          <cell r="B792">
            <v>84</v>
          </cell>
        </row>
        <row r="792">
          <cell r="I792">
            <v>6.6</v>
          </cell>
        </row>
        <row r="793">
          <cell r="B793">
            <v>188</v>
          </cell>
        </row>
        <row r="793">
          <cell r="I793">
            <v>7.3</v>
          </cell>
        </row>
        <row r="794">
          <cell r="B794">
            <v>95</v>
          </cell>
        </row>
        <row r="794">
          <cell r="I794">
            <v>5.6</v>
          </cell>
        </row>
        <row r="795">
          <cell r="B795">
            <v>118</v>
          </cell>
        </row>
        <row r="795">
          <cell r="I795">
            <v>6.6</v>
          </cell>
        </row>
        <row r="796">
          <cell r="B796">
            <v>92</v>
          </cell>
        </row>
        <row r="796">
          <cell r="I796">
            <v>5.4</v>
          </cell>
        </row>
        <row r="797">
          <cell r="B797">
            <v>74</v>
          </cell>
        </row>
        <row r="797">
          <cell r="I797">
            <v>6.3</v>
          </cell>
        </row>
        <row r="798">
          <cell r="B798">
            <v>134</v>
          </cell>
        </row>
        <row r="798">
          <cell r="I798">
            <v>7.9</v>
          </cell>
        </row>
        <row r="799">
          <cell r="B799">
            <v>101</v>
          </cell>
        </row>
        <row r="799">
          <cell r="I799">
            <v>6.3</v>
          </cell>
        </row>
        <row r="800">
          <cell r="B800">
            <v>100</v>
          </cell>
        </row>
        <row r="800">
          <cell r="I800">
            <v>6</v>
          </cell>
        </row>
        <row r="801">
          <cell r="B801">
            <v>132</v>
          </cell>
        </row>
        <row r="801">
          <cell r="I801">
            <v>7.2</v>
          </cell>
        </row>
        <row r="802">
          <cell r="B802">
            <v>105</v>
          </cell>
        </row>
        <row r="802">
          <cell r="I802">
            <v>5.1</v>
          </cell>
        </row>
        <row r="803">
          <cell r="B803">
            <v>123</v>
          </cell>
        </row>
        <row r="803">
          <cell r="I803">
            <v>7.3</v>
          </cell>
        </row>
        <row r="804">
          <cell r="B804">
            <v>117</v>
          </cell>
        </row>
        <row r="804">
          <cell r="I804">
            <v>8</v>
          </cell>
        </row>
        <row r="805">
          <cell r="B805">
            <v>98</v>
          </cell>
        </row>
        <row r="805">
          <cell r="I805">
            <v>6.2</v>
          </cell>
        </row>
        <row r="806">
          <cell r="B806">
            <v>128</v>
          </cell>
        </row>
        <row r="806">
          <cell r="I806">
            <v>6</v>
          </cell>
        </row>
        <row r="807">
          <cell r="B807">
            <v>114</v>
          </cell>
        </row>
        <row r="807">
          <cell r="I807">
            <v>6.7</v>
          </cell>
        </row>
        <row r="808">
          <cell r="B808">
            <v>111</v>
          </cell>
        </row>
        <row r="808">
          <cell r="I808">
            <v>8.1</v>
          </cell>
        </row>
        <row r="809">
          <cell r="B809">
            <v>85</v>
          </cell>
        </row>
        <row r="809">
          <cell r="I809">
            <v>6.4</v>
          </cell>
        </row>
        <row r="810">
          <cell r="B810">
            <v>137</v>
          </cell>
        </row>
        <row r="810">
          <cell r="I810">
            <v>8</v>
          </cell>
        </row>
        <row r="811">
          <cell r="B811">
            <v>97</v>
          </cell>
        </row>
        <row r="811">
          <cell r="I811">
            <v>6.3</v>
          </cell>
        </row>
        <row r="812">
          <cell r="B812">
            <v>104</v>
          </cell>
        </row>
        <row r="812">
          <cell r="I812">
            <v>6.4</v>
          </cell>
        </row>
        <row r="813">
          <cell r="B813">
            <v>110</v>
          </cell>
        </row>
        <row r="813">
          <cell r="I813">
            <v>6.6</v>
          </cell>
        </row>
        <row r="814">
          <cell r="B814">
            <v>133</v>
          </cell>
        </row>
        <row r="814">
          <cell r="I814">
            <v>6.4</v>
          </cell>
        </row>
        <row r="815">
          <cell r="B815">
            <v>94</v>
          </cell>
        </row>
        <row r="815">
          <cell r="I815">
            <v>6</v>
          </cell>
        </row>
        <row r="816">
          <cell r="B816">
            <v>104</v>
          </cell>
        </row>
        <row r="816">
          <cell r="I816">
            <v>6.6</v>
          </cell>
        </row>
        <row r="817">
          <cell r="B817">
            <v>91</v>
          </cell>
        </row>
        <row r="817">
          <cell r="I817">
            <v>5.9</v>
          </cell>
        </row>
        <row r="818">
          <cell r="B818">
            <v>145</v>
          </cell>
        </row>
        <row r="818">
          <cell r="I818">
            <v>6.4</v>
          </cell>
        </row>
        <row r="819">
          <cell r="B819">
            <v>135</v>
          </cell>
        </row>
        <row r="819">
          <cell r="I819">
            <v>6.3</v>
          </cell>
        </row>
        <row r="820">
          <cell r="B820">
            <v>122</v>
          </cell>
        </row>
        <row r="820">
          <cell r="I820">
            <v>7.3</v>
          </cell>
        </row>
        <row r="821">
          <cell r="B821">
            <v>110</v>
          </cell>
        </row>
        <row r="821">
          <cell r="I821">
            <v>6.8</v>
          </cell>
        </row>
        <row r="822">
          <cell r="B822">
            <v>95</v>
          </cell>
        </row>
        <row r="822">
          <cell r="I822">
            <v>7.2</v>
          </cell>
        </row>
        <row r="823">
          <cell r="B823">
            <v>102</v>
          </cell>
        </row>
        <row r="823">
          <cell r="I823">
            <v>5.7</v>
          </cell>
        </row>
        <row r="824">
          <cell r="B824">
            <v>94</v>
          </cell>
        </row>
        <row r="824">
          <cell r="I824">
            <v>6</v>
          </cell>
        </row>
        <row r="825">
          <cell r="B825">
            <v>126</v>
          </cell>
        </row>
        <row r="825">
          <cell r="I825">
            <v>6.5</v>
          </cell>
        </row>
        <row r="826">
          <cell r="B826">
            <v>118</v>
          </cell>
        </row>
        <row r="826">
          <cell r="I826">
            <v>5.8</v>
          </cell>
        </row>
        <row r="827">
          <cell r="B827">
            <v>99</v>
          </cell>
        </row>
        <row r="827">
          <cell r="I827">
            <v>5.8</v>
          </cell>
        </row>
        <row r="828">
          <cell r="B828">
            <v>88</v>
          </cell>
        </row>
        <row r="828">
          <cell r="I828">
            <v>6.7</v>
          </cell>
        </row>
        <row r="829">
          <cell r="B829">
            <v>141</v>
          </cell>
        </row>
        <row r="829">
          <cell r="I829">
            <v>7.8</v>
          </cell>
        </row>
        <row r="830">
          <cell r="B830">
            <v>107</v>
          </cell>
        </row>
        <row r="830">
          <cell r="I830">
            <v>5.6</v>
          </cell>
        </row>
        <row r="831">
          <cell r="B831">
            <v>116</v>
          </cell>
        </row>
        <row r="831">
          <cell r="I831">
            <v>5.8</v>
          </cell>
        </row>
        <row r="832">
          <cell r="B832">
            <v>143</v>
          </cell>
        </row>
        <row r="832">
          <cell r="I832">
            <v>7.4</v>
          </cell>
        </row>
        <row r="833">
          <cell r="B833">
            <v>114</v>
          </cell>
        </row>
        <row r="833">
          <cell r="I833">
            <v>6.9</v>
          </cell>
        </row>
        <row r="834">
          <cell r="B834">
            <v>93</v>
          </cell>
        </row>
        <row r="834">
          <cell r="I834">
            <v>5.5</v>
          </cell>
        </row>
        <row r="835">
          <cell r="B835">
            <v>280</v>
          </cell>
        </row>
        <row r="835">
          <cell r="I835">
            <v>6.3</v>
          </cell>
        </row>
        <row r="836">
          <cell r="B836">
            <v>100</v>
          </cell>
        </row>
        <row r="836">
          <cell r="I836">
            <v>4.7</v>
          </cell>
        </row>
        <row r="837">
          <cell r="B837">
            <v>107</v>
          </cell>
        </row>
        <row r="837">
          <cell r="I837">
            <v>5.6</v>
          </cell>
        </row>
        <row r="838">
          <cell r="B838">
            <v>119</v>
          </cell>
        </row>
        <row r="838">
          <cell r="I838">
            <v>6.4</v>
          </cell>
        </row>
        <row r="839">
          <cell r="B839">
            <v>95</v>
          </cell>
        </row>
        <row r="839">
          <cell r="I839">
            <v>4.2</v>
          </cell>
        </row>
        <row r="840">
          <cell r="B840">
            <v>119</v>
          </cell>
        </row>
        <row r="840">
          <cell r="I840">
            <v>6.4</v>
          </cell>
        </row>
        <row r="841">
          <cell r="B841">
            <v>133</v>
          </cell>
        </row>
        <row r="841">
          <cell r="I841">
            <v>7.7</v>
          </cell>
        </row>
        <row r="842">
          <cell r="B842">
            <v>117</v>
          </cell>
        </row>
        <row r="842">
          <cell r="I842">
            <v>6.7</v>
          </cell>
        </row>
        <row r="843">
          <cell r="B843">
            <v>123</v>
          </cell>
        </row>
        <row r="843">
          <cell r="I843">
            <v>7.7</v>
          </cell>
        </row>
        <row r="844">
          <cell r="B844">
            <v>92</v>
          </cell>
        </row>
        <row r="844">
          <cell r="I844">
            <v>5.7</v>
          </cell>
        </row>
        <row r="845">
          <cell r="B845">
            <v>170</v>
          </cell>
        </row>
        <row r="845">
          <cell r="I845">
            <v>7.6</v>
          </cell>
        </row>
        <row r="846">
          <cell r="B846">
            <v>123</v>
          </cell>
        </row>
        <row r="846">
          <cell r="I846">
            <v>6.4</v>
          </cell>
        </row>
        <row r="847">
          <cell r="B847">
            <v>110</v>
          </cell>
        </row>
        <row r="847">
          <cell r="I847">
            <v>5.6</v>
          </cell>
        </row>
        <row r="848">
          <cell r="B848">
            <v>116</v>
          </cell>
        </row>
        <row r="848">
          <cell r="I848">
            <v>6.8</v>
          </cell>
        </row>
        <row r="849">
          <cell r="B849">
            <v>121</v>
          </cell>
        </row>
        <row r="849">
          <cell r="I849">
            <v>2.4</v>
          </cell>
        </row>
        <row r="850">
          <cell r="B850">
            <v>128</v>
          </cell>
        </row>
        <row r="850">
          <cell r="I850">
            <v>6.2</v>
          </cell>
        </row>
        <row r="851">
          <cell r="B851">
            <v>99</v>
          </cell>
        </row>
        <row r="851">
          <cell r="I851">
            <v>5.9</v>
          </cell>
        </row>
        <row r="852">
          <cell r="B852">
            <v>94</v>
          </cell>
        </row>
        <row r="852">
          <cell r="I852">
            <v>7.1</v>
          </cell>
        </row>
        <row r="853">
          <cell r="B853">
            <v>127</v>
          </cell>
        </row>
        <row r="853">
          <cell r="I853">
            <v>7.6</v>
          </cell>
        </row>
        <row r="854">
          <cell r="B854">
            <v>89</v>
          </cell>
        </row>
        <row r="854">
          <cell r="I854">
            <v>5.5</v>
          </cell>
        </row>
        <row r="855">
          <cell r="B855">
            <v>123</v>
          </cell>
        </row>
        <row r="855">
          <cell r="I855">
            <v>7</v>
          </cell>
        </row>
        <row r="856">
          <cell r="B856">
            <v>135</v>
          </cell>
        </row>
        <row r="856">
          <cell r="I856">
            <v>7.1</v>
          </cell>
        </row>
        <row r="857">
          <cell r="B857">
            <v>118</v>
          </cell>
        </row>
        <row r="857">
          <cell r="I857">
            <v>7.4</v>
          </cell>
        </row>
        <row r="858">
          <cell r="B858">
            <v>189</v>
          </cell>
        </row>
        <row r="858">
          <cell r="I858">
            <v>7.6</v>
          </cell>
        </row>
        <row r="859">
          <cell r="B859">
            <v>172</v>
          </cell>
        </row>
        <row r="859">
          <cell r="I859">
            <v>5.9</v>
          </cell>
        </row>
        <row r="860">
          <cell r="B860">
            <v>124</v>
          </cell>
        </row>
        <row r="860">
          <cell r="I860">
            <v>5.9</v>
          </cell>
        </row>
        <row r="861">
          <cell r="B861">
            <v>141</v>
          </cell>
        </row>
        <row r="861">
          <cell r="I861">
            <v>8</v>
          </cell>
        </row>
        <row r="862">
          <cell r="B862">
            <v>157</v>
          </cell>
        </row>
        <row r="862">
          <cell r="I862">
            <v>7.4</v>
          </cell>
        </row>
        <row r="863">
          <cell r="B863">
            <v>106</v>
          </cell>
        </row>
        <row r="863">
          <cell r="I863">
            <v>5.8</v>
          </cell>
        </row>
        <row r="864">
          <cell r="B864">
            <v>108</v>
          </cell>
        </row>
        <row r="864">
          <cell r="I864">
            <v>6.3</v>
          </cell>
        </row>
        <row r="865">
          <cell r="B865">
            <v>125</v>
          </cell>
        </row>
        <row r="865">
          <cell r="I865">
            <v>5.7</v>
          </cell>
        </row>
        <row r="866">
          <cell r="B866">
            <v>107</v>
          </cell>
        </row>
        <row r="866">
          <cell r="I866">
            <v>5.1</v>
          </cell>
        </row>
        <row r="867">
          <cell r="B867">
            <v>215</v>
          </cell>
        </row>
        <row r="867">
          <cell r="I867">
            <v>7.6</v>
          </cell>
        </row>
        <row r="868">
          <cell r="B868">
            <v>118</v>
          </cell>
        </row>
        <row r="868">
          <cell r="I868">
            <v>6.4</v>
          </cell>
        </row>
        <row r="869">
          <cell r="B869">
            <v>118</v>
          </cell>
        </row>
        <row r="869">
          <cell r="I869">
            <v>7.4</v>
          </cell>
        </row>
        <row r="870">
          <cell r="B870">
            <v>178</v>
          </cell>
        </row>
        <row r="870">
          <cell r="I870">
            <v>8.2</v>
          </cell>
        </row>
        <row r="871">
          <cell r="B871">
            <v>92</v>
          </cell>
        </row>
        <row r="871">
          <cell r="I871">
            <v>6.5</v>
          </cell>
        </row>
        <row r="872">
          <cell r="B872">
            <v>104</v>
          </cell>
        </row>
        <row r="872">
          <cell r="I872">
            <v>5.5</v>
          </cell>
        </row>
        <row r="873">
          <cell r="B873">
            <v>116</v>
          </cell>
        </row>
        <row r="873">
          <cell r="I873">
            <v>6.5</v>
          </cell>
        </row>
        <row r="874">
          <cell r="B874">
            <v>90</v>
          </cell>
        </row>
        <row r="874">
          <cell r="I874">
            <v>5.6</v>
          </cell>
        </row>
        <row r="875">
          <cell r="B875">
            <v>130</v>
          </cell>
        </row>
        <row r="875">
          <cell r="I875">
            <v>4.6</v>
          </cell>
        </row>
        <row r="876">
          <cell r="B876">
            <v>90</v>
          </cell>
        </row>
        <row r="876">
          <cell r="I876">
            <v>7.9</v>
          </cell>
        </row>
        <row r="877">
          <cell r="B877">
            <v>106</v>
          </cell>
        </row>
        <row r="877">
          <cell r="I877">
            <v>7.1</v>
          </cell>
        </row>
        <row r="878">
          <cell r="B878">
            <v>155</v>
          </cell>
        </row>
        <row r="878">
          <cell r="I878">
            <v>6.9</v>
          </cell>
        </row>
        <row r="879">
          <cell r="B879">
            <v>139</v>
          </cell>
        </row>
        <row r="879">
          <cell r="I879">
            <v>7.3</v>
          </cell>
        </row>
        <row r="880">
          <cell r="B880">
            <v>112</v>
          </cell>
        </row>
        <row r="880">
          <cell r="I880">
            <v>7</v>
          </cell>
        </row>
        <row r="881">
          <cell r="B881">
            <v>139</v>
          </cell>
        </row>
        <row r="881">
          <cell r="I881">
            <v>7.7</v>
          </cell>
        </row>
        <row r="882">
          <cell r="B882">
            <v>115</v>
          </cell>
        </row>
        <row r="882">
          <cell r="I882">
            <v>6.7</v>
          </cell>
        </row>
        <row r="883">
          <cell r="B883">
            <v>143</v>
          </cell>
        </row>
        <row r="883">
          <cell r="I883">
            <v>6.3</v>
          </cell>
        </row>
        <row r="884">
          <cell r="B884">
            <v>96</v>
          </cell>
        </row>
        <row r="884">
          <cell r="I884">
            <v>5.8</v>
          </cell>
        </row>
        <row r="885">
          <cell r="B885">
            <v>112</v>
          </cell>
        </row>
        <row r="885">
          <cell r="I885">
            <v>7.1</v>
          </cell>
        </row>
        <row r="886">
          <cell r="B886">
            <v>131</v>
          </cell>
        </row>
        <row r="886">
          <cell r="I886">
            <v>7.3</v>
          </cell>
        </row>
        <row r="887">
          <cell r="B887">
            <v>116</v>
          </cell>
        </row>
        <row r="887">
          <cell r="I887">
            <v>6.4</v>
          </cell>
        </row>
        <row r="888">
          <cell r="B888">
            <v>112</v>
          </cell>
        </row>
        <row r="888">
          <cell r="I888">
            <v>7.1</v>
          </cell>
        </row>
        <row r="889">
          <cell r="B889">
            <v>123</v>
          </cell>
        </row>
        <row r="889">
          <cell r="I889">
            <v>7.6</v>
          </cell>
        </row>
        <row r="890">
          <cell r="B890">
            <v>104</v>
          </cell>
        </row>
        <row r="890">
          <cell r="I890">
            <v>6.8</v>
          </cell>
        </row>
        <row r="891">
          <cell r="B891">
            <v>107</v>
          </cell>
        </row>
        <row r="891">
          <cell r="I891">
            <v>6.6</v>
          </cell>
        </row>
        <row r="892">
          <cell r="B892">
            <v>124</v>
          </cell>
        </row>
        <row r="892">
          <cell r="I892">
            <v>6.7</v>
          </cell>
        </row>
        <row r="893">
          <cell r="B893">
            <v>96</v>
          </cell>
        </row>
        <row r="893">
          <cell r="I893">
            <v>6.1</v>
          </cell>
        </row>
        <row r="894">
          <cell r="B894">
            <v>125</v>
          </cell>
        </row>
        <row r="894">
          <cell r="I894">
            <v>6</v>
          </cell>
        </row>
        <row r="895">
          <cell r="B895">
            <v>129</v>
          </cell>
        </row>
        <row r="895">
          <cell r="I895">
            <v>7.6</v>
          </cell>
        </row>
        <row r="896">
          <cell r="B896">
            <v>90</v>
          </cell>
        </row>
        <row r="896">
          <cell r="I896">
            <v>7.1</v>
          </cell>
        </row>
        <row r="897">
          <cell r="B897">
            <v>109</v>
          </cell>
        </row>
        <row r="897">
          <cell r="I897">
            <v>5</v>
          </cell>
        </row>
        <row r="898">
          <cell r="B898">
            <v>121</v>
          </cell>
        </row>
        <row r="898">
          <cell r="I898">
            <v>6.2</v>
          </cell>
        </row>
        <row r="899">
          <cell r="B899">
            <v>95</v>
          </cell>
        </row>
        <row r="899">
          <cell r="I899">
            <v>5.6</v>
          </cell>
        </row>
        <row r="900">
          <cell r="B900">
            <v>118</v>
          </cell>
        </row>
        <row r="900">
          <cell r="I900">
            <v>7.4</v>
          </cell>
        </row>
        <row r="901">
          <cell r="B901">
            <v>80</v>
          </cell>
        </row>
        <row r="901">
          <cell r="I901">
            <v>5</v>
          </cell>
        </row>
        <row r="902">
          <cell r="B902">
            <v>99</v>
          </cell>
        </row>
        <row r="902">
          <cell r="I902">
            <v>5.2</v>
          </cell>
        </row>
        <row r="903">
          <cell r="B903">
            <v>133</v>
          </cell>
        </row>
        <row r="903">
          <cell r="I903">
            <v>7.6</v>
          </cell>
        </row>
        <row r="904">
          <cell r="B904">
            <v>127</v>
          </cell>
        </row>
        <row r="904">
          <cell r="I904">
            <v>6.6</v>
          </cell>
        </row>
        <row r="905">
          <cell r="B905">
            <v>106</v>
          </cell>
        </row>
        <row r="905">
          <cell r="I905">
            <v>7</v>
          </cell>
        </row>
        <row r="906">
          <cell r="B906">
            <v>98</v>
          </cell>
        </row>
        <row r="906">
          <cell r="I906">
            <v>5.7</v>
          </cell>
        </row>
        <row r="907">
          <cell r="B907">
            <v>132</v>
          </cell>
        </row>
        <row r="907">
          <cell r="I907">
            <v>8.2</v>
          </cell>
        </row>
        <row r="908">
          <cell r="B908">
            <v>114</v>
          </cell>
        </row>
        <row r="908">
          <cell r="I908">
            <v>6.2</v>
          </cell>
        </row>
        <row r="909">
          <cell r="B909">
            <v>78</v>
          </cell>
        </row>
        <row r="909">
          <cell r="I909">
            <v>6.6</v>
          </cell>
        </row>
        <row r="910">
          <cell r="B910">
            <v>101</v>
          </cell>
        </row>
        <row r="910">
          <cell r="I910">
            <v>4.7</v>
          </cell>
        </row>
        <row r="911">
          <cell r="B911">
            <v>113</v>
          </cell>
        </row>
        <row r="911">
          <cell r="I911">
            <v>6.3</v>
          </cell>
        </row>
        <row r="912">
          <cell r="B912">
            <v>98</v>
          </cell>
        </row>
        <row r="912">
          <cell r="I912">
            <v>6.1</v>
          </cell>
        </row>
        <row r="913">
          <cell r="B913">
            <v>124</v>
          </cell>
        </row>
        <row r="913">
          <cell r="I913">
            <v>6.7</v>
          </cell>
        </row>
        <row r="914">
          <cell r="B914">
            <v>109</v>
          </cell>
        </row>
        <row r="914">
          <cell r="I914">
            <v>6.1</v>
          </cell>
        </row>
        <row r="915">
          <cell r="B915">
            <v>128</v>
          </cell>
        </row>
        <row r="915">
          <cell r="I915">
            <v>7</v>
          </cell>
        </row>
        <row r="916">
          <cell r="B916">
            <v>144</v>
          </cell>
        </row>
        <row r="916">
          <cell r="I916">
            <v>7.4</v>
          </cell>
        </row>
        <row r="917">
          <cell r="B917">
            <v>95</v>
          </cell>
        </row>
        <row r="917">
          <cell r="I917">
            <v>7.3</v>
          </cell>
        </row>
        <row r="918">
          <cell r="B918">
            <v>105</v>
          </cell>
        </row>
        <row r="918">
          <cell r="I918">
            <v>5.8</v>
          </cell>
        </row>
        <row r="919">
          <cell r="B919">
            <v>121</v>
          </cell>
        </row>
        <row r="919">
          <cell r="I919">
            <v>6.7</v>
          </cell>
        </row>
        <row r="920">
          <cell r="B920">
            <v>125</v>
          </cell>
        </row>
        <row r="920">
          <cell r="I920">
            <v>5.8</v>
          </cell>
        </row>
        <row r="921">
          <cell r="B921">
            <v>129</v>
          </cell>
        </row>
        <row r="921">
          <cell r="I921">
            <v>7.8</v>
          </cell>
        </row>
        <row r="922">
          <cell r="B922">
            <v>132</v>
          </cell>
        </row>
        <row r="922">
          <cell r="I922">
            <v>6.6</v>
          </cell>
        </row>
        <row r="923">
          <cell r="B923">
            <v>118</v>
          </cell>
        </row>
        <row r="923">
          <cell r="I923">
            <v>6.5</v>
          </cell>
        </row>
        <row r="924">
          <cell r="B924">
            <v>113</v>
          </cell>
        </row>
        <row r="924">
          <cell r="I924">
            <v>6.7</v>
          </cell>
        </row>
        <row r="925">
          <cell r="B925">
            <v>140</v>
          </cell>
        </row>
        <row r="925">
          <cell r="I925">
            <v>7.3</v>
          </cell>
        </row>
        <row r="926">
          <cell r="B926">
            <v>89</v>
          </cell>
        </row>
        <row r="926">
          <cell r="I926">
            <v>5.8</v>
          </cell>
        </row>
        <row r="927">
          <cell r="B927">
            <v>104</v>
          </cell>
        </row>
        <row r="927">
          <cell r="I927">
            <v>5.5</v>
          </cell>
        </row>
        <row r="928">
          <cell r="B928">
            <v>106</v>
          </cell>
        </row>
        <row r="928">
          <cell r="I928">
            <v>6.3</v>
          </cell>
        </row>
        <row r="929">
          <cell r="B929">
            <v>141</v>
          </cell>
        </row>
        <row r="929">
          <cell r="I929">
            <v>7.4</v>
          </cell>
        </row>
        <row r="930">
          <cell r="B930">
            <v>124</v>
          </cell>
        </row>
        <row r="930">
          <cell r="I930">
            <v>5.9</v>
          </cell>
        </row>
        <row r="931">
          <cell r="B931">
            <v>98</v>
          </cell>
        </row>
        <row r="931">
          <cell r="I931">
            <v>6.2</v>
          </cell>
        </row>
        <row r="932">
          <cell r="B932">
            <v>108</v>
          </cell>
        </row>
        <row r="932">
          <cell r="I932">
            <v>5.9</v>
          </cell>
        </row>
        <row r="933">
          <cell r="B933">
            <v>114</v>
          </cell>
        </row>
        <row r="933">
          <cell r="I933">
            <v>6.5</v>
          </cell>
        </row>
        <row r="934">
          <cell r="B934">
            <v>101</v>
          </cell>
        </row>
        <row r="934">
          <cell r="I934">
            <v>4.4</v>
          </cell>
        </row>
        <row r="935">
          <cell r="B935">
            <v>93</v>
          </cell>
        </row>
        <row r="935">
          <cell r="I935">
            <v>3.5</v>
          </cell>
        </row>
        <row r="936">
          <cell r="B936">
            <v>119</v>
          </cell>
        </row>
        <row r="936">
          <cell r="I936">
            <v>6.6</v>
          </cell>
        </row>
        <row r="937">
          <cell r="B937">
            <v>119</v>
          </cell>
        </row>
        <row r="937">
          <cell r="I937">
            <v>6</v>
          </cell>
        </row>
        <row r="938">
          <cell r="B938">
            <v>99</v>
          </cell>
        </row>
        <row r="938">
          <cell r="I938">
            <v>6.4</v>
          </cell>
        </row>
        <row r="939">
          <cell r="B939">
            <v>137</v>
          </cell>
        </row>
        <row r="939">
          <cell r="I939">
            <v>6.5</v>
          </cell>
        </row>
        <row r="940">
          <cell r="B940">
            <v>117</v>
          </cell>
        </row>
        <row r="940">
          <cell r="I940">
            <v>4.3</v>
          </cell>
        </row>
        <row r="941">
          <cell r="B941">
            <v>87</v>
          </cell>
        </row>
        <row r="941">
          <cell r="I941">
            <v>4.2</v>
          </cell>
        </row>
        <row r="942">
          <cell r="B942">
            <v>129</v>
          </cell>
        </row>
        <row r="942">
          <cell r="I942">
            <v>6.5</v>
          </cell>
        </row>
        <row r="943">
          <cell r="B943">
            <v>115</v>
          </cell>
        </row>
        <row r="943">
          <cell r="I943">
            <v>6.1</v>
          </cell>
        </row>
        <row r="944">
          <cell r="B944">
            <v>132</v>
          </cell>
        </row>
        <row r="944">
          <cell r="I944">
            <v>6.3</v>
          </cell>
        </row>
        <row r="945">
          <cell r="B945">
            <v>131</v>
          </cell>
        </row>
        <row r="945">
          <cell r="I945">
            <v>6.2</v>
          </cell>
        </row>
        <row r="946">
          <cell r="B946">
            <v>95</v>
          </cell>
        </row>
        <row r="946">
          <cell r="I946">
            <v>5.9</v>
          </cell>
        </row>
        <row r="947">
          <cell r="B947">
            <v>125</v>
          </cell>
        </row>
        <row r="947">
          <cell r="I947">
            <v>5.9</v>
          </cell>
        </row>
        <row r="948">
          <cell r="B948">
            <v>98</v>
          </cell>
        </row>
        <row r="948">
          <cell r="I948">
            <v>6.5</v>
          </cell>
        </row>
        <row r="949">
          <cell r="B949">
            <v>110</v>
          </cell>
        </row>
        <row r="949">
          <cell r="I949">
            <v>6.4</v>
          </cell>
        </row>
        <row r="950">
          <cell r="B950">
            <v>118</v>
          </cell>
        </row>
        <row r="950">
          <cell r="I950">
            <v>6.5</v>
          </cell>
        </row>
        <row r="951">
          <cell r="B951">
            <v>101</v>
          </cell>
        </row>
        <row r="951">
          <cell r="I951">
            <v>5.7</v>
          </cell>
        </row>
        <row r="952">
          <cell r="B952">
            <v>90</v>
          </cell>
        </row>
        <row r="952">
          <cell r="I952">
            <v>8</v>
          </cell>
        </row>
        <row r="953">
          <cell r="B953">
            <v>119</v>
          </cell>
        </row>
        <row r="953">
          <cell r="I953">
            <v>7.3</v>
          </cell>
        </row>
        <row r="954">
          <cell r="B954">
            <v>139</v>
          </cell>
        </row>
        <row r="954">
          <cell r="I954">
            <v>6.7</v>
          </cell>
        </row>
        <row r="955">
          <cell r="B955">
            <v>130</v>
          </cell>
        </row>
        <row r="955">
          <cell r="I955">
            <v>7.5</v>
          </cell>
        </row>
        <row r="956">
          <cell r="B956">
            <v>100</v>
          </cell>
        </row>
        <row r="956">
          <cell r="I956">
            <v>5.4</v>
          </cell>
        </row>
        <row r="957">
          <cell r="B957">
            <v>114</v>
          </cell>
        </row>
        <row r="957">
          <cell r="I957">
            <v>6.6</v>
          </cell>
        </row>
        <row r="958">
          <cell r="B958">
            <v>96</v>
          </cell>
        </row>
        <row r="958">
          <cell r="I958">
            <v>7.7</v>
          </cell>
        </row>
        <row r="959">
          <cell r="B959">
            <v>110</v>
          </cell>
        </row>
        <row r="959">
          <cell r="I959">
            <v>5.8</v>
          </cell>
        </row>
        <row r="960">
          <cell r="B960">
            <v>158</v>
          </cell>
        </row>
        <row r="960">
          <cell r="I960">
            <v>6.4</v>
          </cell>
        </row>
        <row r="961">
          <cell r="B961">
            <v>102</v>
          </cell>
        </row>
        <row r="961">
          <cell r="I961">
            <v>5.6</v>
          </cell>
        </row>
        <row r="962">
          <cell r="B962">
            <v>84</v>
          </cell>
        </row>
        <row r="962">
          <cell r="I962">
            <v>6</v>
          </cell>
        </row>
        <row r="963">
          <cell r="B963">
            <v>115</v>
          </cell>
        </row>
        <row r="963">
          <cell r="I963">
            <v>6.2</v>
          </cell>
        </row>
        <row r="964">
          <cell r="B964">
            <v>99</v>
          </cell>
        </row>
        <row r="964">
          <cell r="I964">
            <v>5.9</v>
          </cell>
        </row>
        <row r="965">
          <cell r="B965">
            <v>135</v>
          </cell>
        </row>
        <row r="965">
          <cell r="I965">
            <v>5.1</v>
          </cell>
        </row>
        <row r="966">
          <cell r="B966">
            <v>108</v>
          </cell>
        </row>
        <row r="966">
          <cell r="I966">
            <v>6.8</v>
          </cell>
        </row>
        <row r="967">
          <cell r="B967">
            <v>127</v>
          </cell>
        </row>
        <row r="967">
          <cell r="I967">
            <v>6</v>
          </cell>
        </row>
        <row r="968">
          <cell r="B968">
            <v>107</v>
          </cell>
        </row>
        <row r="968">
          <cell r="I968">
            <v>5.1</v>
          </cell>
        </row>
        <row r="969">
          <cell r="B969">
            <v>95</v>
          </cell>
        </row>
        <row r="969">
          <cell r="I969">
            <v>5.8</v>
          </cell>
        </row>
        <row r="970">
          <cell r="B970">
            <v>124</v>
          </cell>
        </row>
        <row r="970">
          <cell r="I970">
            <v>6.2</v>
          </cell>
        </row>
        <row r="971">
          <cell r="B971">
            <v>109</v>
          </cell>
        </row>
        <row r="971">
          <cell r="I971">
            <v>6.4</v>
          </cell>
        </row>
        <row r="972">
          <cell r="B972">
            <v>102</v>
          </cell>
        </row>
        <row r="972">
          <cell r="I972">
            <v>4.8</v>
          </cell>
        </row>
        <row r="973">
          <cell r="B973">
            <v>88</v>
          </cell>
        </row>
        <row r="973">
          <cell r="I973">
            <v>4.9</v>
          </cell>
        </row>
        <row r="974">
          <cell r="B974">
            <v>87</v>
          </cell>
        </row>
        <row r="974">
          <cell r="I974">
            <v>5.6</v>
          </cell>
        </row>
        <row r="975">
          <cell r="B975">
            <v>104</v>
          </cell>
        </row>
        <row r="975">
          <cell r="I975">
            <v>5.5</v>
          </cell>
        </row>
        <row r="976">
          <cell r="B976">
            <v>96</v>
          </cell>
        </row>
        <row r="976">
          <cell r="I976">
            <v>3.7</v>
          </cell>
        </row>
        <row r="977">
          <cell r="B977">
            <v>85</v>
          </cell>
        </row>
        <row r="977">
          <cell r="I977">
            <v>5.9</v>
          </cell>
        </row>
        <row r="978">
          <cell r="B978">
            <v>104</v>
          </cell>
        </row>
        <row r="978">
          <cell r="I978">
            <v>6.3</v>
          </cell>
        </row>
        <row r="979">
          <cell r="B979">
            <v>190</v>
          </cell>
        </row>
        <row r="979">
          <cell r="I979">
            <v>7.6</v>
          </cell>
        </row>
        <row r="980">
          <cell r="B980">
            <v>127</v>
          </cell>
        </row>
        <row r="980">
          <cell r="I980">
            <v>8.3</v>
          </cell>
        </row>
        <row r="981">
          <cell r="B981">
            <v>120</v>
          </cell>
        </row>
        <row r="981">
          <cell r="I981">
            <v>6.9</v>
          </cell>
        </row>
        <row r="982">
          <cell r="B982">
            <v>118</v>
          </cell>
        </row>
        <row r="982">
          <cell r="I982">
            <v>6.7</v>
          </cell>
        </row>
        <row r="983">
          <cell r="B983">
            <v>112</v>
          </cell>
        </row>
        <row r="983">
          <cell r="I983">
            <v>6.8</v>
          </cell>
        </row>
        <row r="984">
          <cell r="B984">
            <v>114</v>
          </cell>
        </row>
        <row r="984">
          <cell r="I984">
            <v>7.1</v>
          </cell>
        </row>
        <row r="985">
          <cell r="B985">
            <v>137</v>
          </cell>
        </row>
        <row r="985">
          <cell r="I985">
            <v>6.4</v>
          </cell>
        </row>
        <row r="986">
          <cell r="B986">
            <v>112</v>
          </cell>
        </row>
        <row r="986">
          <cell r="I986">
            <v>6.4</v>
          </cell>
        </row>
        <row r="987">
          <cell r="B987">
            <v>120</v>
          </cell>
        </row>
        <row r="987">
          <cell r="I987">
            <v>7.4</v>
          </cell>
        </row>
        <row r="988">
          <cell r="B988">
            <v>123</v>
          </cell>
        </row>
        <row r="988">
          <cell r="I988">
            <v>6.4</v>
          </cell>
        </row>
        <row r="989">
          <cell r="B989">
            <v>93</v>
          </cell>
        </row>
        <row r="989">
          <cell r="I989">
            <v>6</v>
          </cell>
        </row>
        <row r="990">
          <cell r="B990">
            <v>123</v>
          </cell>
        </row>
        <row r="990">
          <cell r="I990">
            <v>6.5</v>
          </cell>
        </row>
        <row r="991">
          <cell r="B991">
            <v>122</v>
          </cell>
        </row>
        <row r="991">
          <cell r="I991">
            <v>7.8</v>
          </cell>
        </row>
        <row r="992">
          <cell r="B992">
            <v>115</v>
          </cell>
        </row>
        <row r="992">
          <cell r="I992">
            <v>6</v>
          </cell>
        </row>
        <row r="993">
          <cell r="B993">
            <v>123</v>
          </cell>
        </row>
        <row r="993">
          <cell r="I993">
            <v>7</v>
          </cell>
        </row>
        <row r="994">
          <cell r="B994">
            <v>96</v>
          </cell>
        </row>
        <row r="994">
          <cell r="I994">
            <v>6</v>
          </cell>
        </row>
        <row r="995">
          <cell r="B995">
            <v>105</v>
          </cell>
        </row>
        <row r="995">
          <cell r="I995">
            <v>6.1</v>
          </cell>
        </row>
        <row r="996">
          <cell r="B996">
            <v>113</v>
          </cell>
        </row>
        <row r="996">
          <cell r="I996">
            <v>6.8</v>
          </cell>
        </row>
        <row r="997">
          <cell r="B997">
            <v>132</v>
          </cell>
        </row>
        <row r="997">
          <cell r="I997">
            <v>6.4</v>
          </cell>
        </row>
        <row r="998">
          <cell r="B998">
            <v>75</v>
          </cell>
        </row>
        <row r="998">
          <cell r="I998">
            <v>4.5</v>
          </cell>
        </row>
        <row r="999">
          <cell r="B999">
            <v>108</v>
          </cell>
        </row>
        <row r="999">
          <cell r="I999">
            <v>5.8</v>
          </cell>
        </row>
        <row r="1000">
          <cell r="B1000">
            <v>105</v>
          </cell>
        </row>
        <row r="1000">
          <cell r="I1000">
            <v>6.3</v>
          </cell>
        </row>
        <row r="1001">
          <cell r="B1001">
            <v>102</v>
          </cell>
        </row>
        <row r="1001">
          <cell r="I1001">
            <v>5.7</v>
          </cell>
        </row>
        <row r="1002">
          <cell r="B1002">
            <v>118</v>
          </cell>
        </row>
        <row r="1002">
          <cell r="I1002">
            <v>7.2</v>
          </cell>
        </row>
        <row r="1003">
          <cell r="B1003">
            <v>111</v>
          </cell>
        </row>
        <row r="1003">
          <cell r="I1003">
            <v>7.6</v>
          </cell>
        </row>
        <row r="1004">
          <cell r="B1004">
            <v>81</v>
          </cell>
        </row>
        <row r="1004">
          <cell r="I1004">
            <v>4.7</v>
          </cell>
        </row>
        <row r="1005">
          <cell r="B1005">
            <v>116</v>
          </cell>
        </row>
        <row r="1005">
          <cell r="I1005">
            <v>6.6</v>
          </cell>
        </row>
        <row r="1006">
          <cell r="B1006">
            <v>86</v>
          </cell>
        </row>
        <row r="1006">
          <cell r="I1006">
            <v>6.8</v>
          </cell>
        </row>
        <row r="1007">
          <cell r="B1007">
            <v>127</v>
          </cell>
        </row>
        <row r="1007">
          <cell r="I1007">
            <v>7.3</v>
          </cell>
        </row>
        <row r="1008">
          <cell r="B1008">
            <v>91</v>
          </cell>
        </row>
        <row r="1008">
          <cell r="I1008">
            <v>4.8</v>
          </cell>
        </row>
        <row r="1009">
          <cell r="B1009">
            <v>98</v>
          </cell>
        </row>
        <row r="1009">
          <cell r="I1009">
            <v>6.3</v>
          </cell>
        </row>
        <row r="1010">
          <cell r="B1010">
            <v>84</v>
          </cell>
        </row>
        <row r="1010">
          <cell r="I1010">
            <v>5.5</v>
          </cell>
        </row>
        <row r="1011">
          <cell r="B1011">
            <v>109</v>
          </cell>
        </row>
        <row r="1011">
          <cell r="I1011">
            <v>6.2</v>
          </cell>
        </row>
        <row r="1012">
          <cell r="B1012">
            <v>93</v>
          </cell>
        </row>
        <row r="1012">
          <cell r="I1012">
            <v>5.8</v>
          </cell>
        </row>
        <row r="1013">
          <cell r="B1013">
            <v>113</v>
          </cell>
        </row>
        <row r="1013">
          <cell r="I1013">
            <v>5.7</v>
          </cell>
        </row>
        <row r="1014">
          <cell r="B1014">
            <v>141</v>
          </cell>
        </row>
        <row r="1014">
          <cell r="I1014">
            <v>6.5</v>
          </cell>
        </row>
        <row r="1015">
          <cell r="B1015">
            <v>119</v>
          </cell>
        </row>
        <row r="1015">
          <cell r="I1015">
            <v>6.7</v>
          </cell>
        </row>
        <row r="1016">
          <cell r="B1016">
            <v>97</v>
          </cell>
        </row>
        <row r="1016">
          <cell r="I1016">
            <v>7.4</v>
          </cell>
        </row>
        <row r="1017">
          <cell r="B1017">
            <v>117</v>
          </cell>
        </row>
        <row r="1017">
          <cell r="I1017">
            <v>6.9</v>
          </cell>
        </row>
        <row r="1018">
          <cell r="B1018">
            <v>101</v>
          </cell>
        </row>
        <row r="1018">
          <cell r="I1018">
            <v>5.5</v>
          </cell>
        </row>
        <row r="1019">
          <cell r="B1019">
            <v>153</v>
          </cell>
        </row>
        <row r="1019">
          <cell r="I1019">
            <v>8.1</v>
          </cell>
        </row>
        <row r="1020">
          <cell r="B1020">
            <v>122</v>
          </cell>
        </row>
        <row r="1020">
          <cell r="I1020">
            <v>7.7</v>
          </cell>
        </row>
        <row r="1021">
          <cell r="B1021">
            <v>102</v>
          </cell>
        </row>
        <row r="1021">
          <cell r="I1021">
            <v>7.3</v>
          </cell>
        </row>
        <row r="1022">
          <cell r="B1022">
            <v>83</v>
          </cell>
        </row>
        <row r="1022">
          <cell r="I1022">
            <v>5.2</v>
          </cell>
        </row>
        <row r="1023">
          <cell r="B1023">
            <v>103</v>
          </cell>
        </row>
        <row r="1023">
          <cell r="I1023">
            <v>7.1</v>
          </cell>
        </row>
        <row r="1024">
          <cell r="B1024">
            <v>110</v>
          </cell>
        </row>
        <row r="1024">
          <cell r="I1024">
            <v>7.1</v>
          </cell>
        </row>
        <row r="1025">
          <cell r="B1025">
            <v>136</v>
          </cell>
        </row>
        <row r="1025">
          <cell r="I1025">
            <v>7.2</v>
          </cell>
        </row>
        <row r="1026">
          <cell r="B1026">
            <v>91</v>
          </cell>
        </row>
        <row r="1026">
          <cell r="I1026">
            <v>6.5</v>
          </cell>
        </row>
        <row r="1027">
          <cell r="B1027">
            <v>89</v>
          </cell>
        </row>
        <row r="1027">
          <cell r="I1027">
            <v>4.6</v>
          </cell>
        </row>
        <row r="1028">
          <cell r="B1028">
            <v>107</v>
          </cell>
        </row>
        <row r="1028">
          <cell r="I1028">
            <v>5.6</v>
          </cell>
        </row>
        <row r="1029">
          <cell r="B1029">
            <v>129</v>
          </cell>
        </row>
        <row r="1029">
          <cell r="I1029">
            <v>7.7</v>
          </cell>
        </row>
        <row r="1030">
          <cell r="B1030">
            <v>95</v>
          </cell>
        </row>
        <row r="1030">
          <cell r="I1030">
            <v>7.2</v>
          </cell>
        </row>
        <row r="1031">
          <cell r="B1031">
            <v>122</v>
          </cell>
        </row>
        <row r="1031">
          <cell r="I1031">
            <v>6.8</v>
          </cell>
        </row>
        <row r="1032">
          <cell r="B1032">
            <v>110</v>
          </cell>
        </row>
        <row r="1032">
          <cell r="I1032">
            <v>5.4</v>
          </cell>
        </row>
        <row r="1033">
          <cell r="B1033">
            <v>135</v>
          </cell>
        </row>
        <row r="1033">
          <cell r="I1033">
            <v>6.3</v>
          </cell>
        </row>
        <row r="1034">
          <cell r="B1034">
            <v>95</v>
          </cell>
        </row>
        <row r="1034">
          <cell r="I1034">
            <v>5.6</v>
          </cell>
        </row>
        <row r="1035">
          <cell r="B1035">
            <v>109</v>
          </cell>
        </row>
        <row r="1035">
          <cell r="I1035">
            <v>6.8</v>
          </cell>
        </row>
        <row r="1036">
          <cell r="B1036">
            <v>93</v>
          </cell>
        </row>
        <row r="1036">
          <cell r="I1036">
            <v>4.3</v>
          </cell>
        </row>
        <row r="1037">
          <cell r="B1037">
            <v>94</v>
          </cell>
        </row>
        <row r="1037">
          <cell r="I1037">
            <v>6.3</v>
          </cell>
        </row>
        <row r="1038">
          <cell r="B1038">
            <v>117</v>
          </cell>
        </row>
        <row r="1038">
          <cell r="I1038">
            <v>6.5</v>
          </cell>
        </row>
        <row r="1039">
          <cell r="B1039">
            <v>112</v>
          </cell>
        </row>
        <row r="1039">
          <cell r="I1039">
            <v>6.4</v>
          </cell>
        </row>
        <row r="1040">
          <cell r="B1040">
            <v>111</v>
          </cell>
        </row>
        <row r="1040">
          <cell r="I1040">
            <v>6.3</v>
          </cell>
        </row>
        <row r="1041">
          <cell r="B1041">
            <v>96</v>
          </cell>
        </row>
        <row r="1041">
          <cell r="I1041">
            <v>5.9</v>
          </cell>
        </row>
        <row r="1042">
          <cell r="B1042">
            <v>141</v>
          </cell>
        </row>
        <row r="1042">
          <cell r="I1042">
            <v>6.5</v>
          </cell>
        </row>
        <row r="1043">
          <cell r="B1043">
            <v>94</v>
          </cell>
        </row>
        <row r="1043">
          <cell r="I1043">
            <v>6.5</v>
          </cell>
        </row>
        <row r="1044">
          <cell r="B1044">
            <v>87</v>
          </cell>
        </row>
        <row r="1044">
          <cell r="I1044">
            <v>6.1</v>
          </cell>
        </row>
        <row r="1045">
          <cell r="B1045">
            <v>88</v>
          </cell>
        </row>
        <row r="1045">
          <cell r="I1045">
            <v>5.9</v>
          </cell>
        </row>
        <row r="1046">
          <cell r="B1046">
            <v>177</v>
          </cell>
        </row>
        <row r="1046">
          <cell r="I1046">
            <v>6.6</v>
          </cell>
        </row>
        <row r="1047">
          <cell r="B1047">
            <v>133</v>
          </cell>
        </row>
        <row r="1047">
          <cell r="I1047">
            <v>7.4</v>
          </cell>
        </row>
        <row r="1048">
          <cell r="B1048">
            <v>119</v>
          </cell>
        </row>
        <row r="1048">
          <cell r="I1048">
            <v>7.3</v>
          </cell>
        </row>
        <row r="1049">
          <cell r="B1049">
            <v>102</v>
          </cell>
        </row>
        <row r="1049">
          <cell r="I1049">
            <v>6.6</v>
          </cell>
        </row>
        <row r="1050">
          <cell r="B1050">
            <v>101</v>
          </cell>
        </row>
        <row r="1050">
          <cell r="I1050">
            <v>5.6</v>
          </cell>
        </row>
        <row r="1051">
          <cell r="B1051">
            <v>91</v>
          </cell>
        </row>
        <row r="1051">
          <cell r="I1051">
            <v>5.3</v>
          </cell>
        </row>
        <row r="1052">
          <cell r="B1052">
            <v>117</v>
          </cell>
        </row>
        <row r="1052">
          <cell r="I1052">
            <v>6</v>
          </cell>
        </row>
        <row r="1053">
          <cell r="B1053">
            <v>86</v>
          </cell>
        </row>
        <row r="1053">
          <cell r="I1053">
            <v>5.4</v>
          </cell>
        </row>
        <row r="1054">
          <cell r="B1054">
            <v>124</v>
          </cell>
        </row>
        <row r="1054">
          <cell r="I1054">
            <v>6.8</v>
          </cell>
        </row>
        <row r="1055">
          <cell r="B1055">
            <v>134</v>
          </cell>
        </row>
        <row r="1055">
          <cell r="I1055">
            <v>6.4</v>
          </cell>
        </row>
        <row r="1056">
          <cell r="B1056">
            <v>100</v>
          </cell>
        </row>
        <row r="1056">
          <cell r="I1056">
            <v>4.9</v>
          </cell>
        </row>
        <row r="1057">
          <cell r="B1057">
            <v>220</v>
          </cell>
        </row>
        <row r="1057">
          <cell r="I1057">
            <v>5.8</v>
          </cell>
        </row>
        <row r="1058">
          <cell r="B1058">
            <v>212</v>
          </cell>
        </row>
        <row r="1058">
          <cell r="I1058">
            <v>7.1</v>
          </cell>
        </row>
        <row r="1059">
          <cell r="B1059">
            <v>128</v>
          </cell>
        </row>
        <row r="1059">
          <cell r="I1059">
            <v>7.2</v>
          </cell>
        </row>
        <row r="1060">
          <cell r="B1060">
            <v>106</v>
          </cell>
        </row>
        <row r="1060">
          <cell r="I1060">
            <v>6</v>
          </cell>
        </row>
        <row r="1061">
          <cell r="B1061">
            <v>160</v>
          </cell>
        </row>
        <row r="1061">
          <cell r="I1061">
            <v>6</v>
          </cell>
        </row>
        <row r="1062">
          <cell r="B1062">
            <v>114</v>
          </cell>
        </row>
        <row r="1062">
          <cell r="I1062">
            <v>7</v>
          </cell>
        </row>
        <row r="1063">
          <cell r="B1063">
            <v>99</v>
          </cell>
        </row>
        <row r="1063">
          <cell r="I1063">
            <v>5.4</v>
          </cell>
        </row>
        <row r="1064">
          <cell r="B1064">
            <v>74</v>
          </cell>
        </row>
        <row r="1064">
          <cell r="I1064">
            <v>6.5</v>
          </cell>
        </row>
        <row r="1065">
          <cell r="B1065">
            <v>139</v>
          </cell>
        </row>
        <row r="1065">
          <cell r="I1065">
            <v>6.4</v>
          </cell>
        </row>
        <row r="1066">
          <cell r="B1066">
            <v>103</v>
          </cell>
        </row>
        <row r="1066">
          <cell r="I1066">
            <v>4.9</v>
          </cell>
        </row>
        <row r="1067">
          <cell r="B1067">
            <v>101</v>
          </cell>
        </row>
        <row r="1067">
          <cell r="I1067">
            <v>6.3</v>
          </cell>
        </row>
        <row r="1068">
          <cell r="B1068">
            <v>130</v>
          </cell>
        </row>
        <row r="1068">
          <cell r="I1068">
            <v>7.7</v>
          </cell>
        </row>
        <row r="1069">
          <cell r="B1069">
            <v>130</v>
          </cell>
        </row>
        <row r="1069">
          <cell r="I1069">
            <v>7.8</v>
          </cell>
        </row>
        <row r="1070">
          <cell r="B1070">
            <v>110</v>
          </cell>
        </row>
        <row r="1070">
          <cell r="I1070">
            <v>5.5</v>
          </cell>
        </row>
        <row r="1071">
          <cell r="B1071">
            <v>147</v>
          </cell>
        </row>
        <row r="1071">
          <cell r="I1071">
            <v>7.5</v>
          </cell>
        </row>
        <row r="1072">
          <cell r="B1072">
            <v>96</v>
          </cell>
        </row>
        <row r="1072">
          <cell r="I1072">
            <v>6.4</v>
          </cell>
        </row>
        <row r="1073">
          <cell r="B1073">
            <v>118</v>
          </cell>
        </row>
        <row r="1073">
          <cell r="I1073">
            <v>5.6</v>
          </cell>
        </row>
        <row r="1074">
          <cell r="B1074">
            <v>88</v>
          </cell>
        </row>
        <row r="1074">
          <cell r="I1074">
            <v>7.5</v>
          </cell>
        </row>
        <row r="1075">
          <cell r="B1075">
            <v>325</v>
          </cell>
        </row>
        <row r="1075">
          <cell r="I1075">
            <v>6.8</v>
          </cell>
        </row>
        <row r="1076">
          <cell r="B1076">
            <v>102</v>
          </cell>
        </row>
        <row r="1076">
          <cell r="I1076">
            <v>6.8</v>
          </cell>
        </row>
        <row r="1077">
          <cell r="B1077">
            <v>110</v>
          </cell>
        </row>
        <row r="1077">
          <cell r="I1077">
            <v>6</v>
          </cell>
        </row>
        <row r="1078">
          <cell r="B1078">
            <v>136</v>
          </cell>
        </row>
        <row r="1078">
          <cell r="I1078">
            <v>7.3</v>
          </cell>
        </row>
        <row r="1079">
          <cell r="B1079">
            <v>103</v>
          </cell>
        </row>
        <row r="1079">
          <cell r="I1079">
            <v>6</v>
          </cell>
        </row>
        <row r="1080">
          <cell r="B1080">
            <v>103</v>
          </cell>
        </row>
        <row r="1080">
          <cell r="I1080">
            <v>7</v>
          </cell>
        </row>
        <row r="1081">
          <cell r="B1081">
            <v>90</v>
          </cell>
        </row>
        <row r="1081">
          <cell r="I1081">
            <v>5.1</v>
          </cell>
        </row>
        <row r="1082">
          <cell r="B1082">
            <v>154</v>
          </cell>
        </row>
        <row r="1082">
          <cell r="I1082">
            <v>6.8</v>
          </cell>
        </row>
        <row r="1083">
          <cell r="B1083">
            <v>99</v>
          </cell>
        </row>
        <row r="1083">
          <cell r="I1083">
            <v>6.5</v>
          </cell>
        </row>
        <row r="1084">
          <cell r="B1084">
            <v>93</v>
          </cell>
        </row>
        <row r="1084">
          <cell r="I1084">
            <v>6.6</v>
          </cell>
        </row>
        <row r="1085">
          <cell r="B1085">
            <v>109</v>
          </cell>
        </row>
        <row r="1085">
          <cell r="I1085">
            <v>7.2</v>
          </cell>
        </row>
        <row r="1086">
          <cell r="B1086">
            <v>124</v>
          </cell>
        </row>
        <row r="1086">
          <cell r="I1086">
            <v>7</v>
          </cell>
        </row>
        <row r="1087">
          <cell r="B1087">
            <v>84</v>
          </cell>
        </row>
        <row r="1087">
          <cell r="I1087">
            <v>7</v>
          </cell>
        </row>
        <row r="1088">
          <cell r="B1088">
            <v>90</v>
          </cell>
        </row>
        <row r="1088">
          <cell r="I1088">
            <v>5.9</v>
          </cell>
        </row>
        <row r="1089">
          <cell r="B1089">
            <v>117</v>
          </cell>
        </row>
        <row r="1089">
          <cell r="I1089">
            <v>5.4</v>
          </cell>
        </row>
        <row r="1090">
          <cell r="B1090">
            <v>123</v>
          </cell>
        </row>
        <row r="1090">
          <cell r="I1090">
            <v>6.6</v>
          </cell>
        </row>
        <row r="1091">
          <cell r="B1091">
            <v>251</v>
          </cell>
        </row>
        <row r="1091">
          <cell r="I1091">
            <v>7</v>
          </cell>
        </row>
        <row r="1092">
          <cell r="B1092">
            <v>105</v>
          </cell>
        </row>
        <row r="1092">
          <cell r="I1092">
            <v>6.5</v>
          </cell>
        </row>
        <row r="1093">
          <cell r="B1093">
            <v>115</v>
          </cell>
        </row>
        <row r="1093">
          <cell r="I1093">
            <v>6.3</v>
          </cell>
        </row>
        <row r="1094">
          <cell r="B1094">
            <v>122</v>
          </cell>
        </row>
        <row r="1094">
          <cell r="I1094">
            <v>6.5</v>
          </cell>
        </row>
        <row r="1095">
          <cell r="B1095">
            <v>119</v>
          </cell>
        </row>
        <row r="1095">
          <cell r="I1095">
            <v>6.5</v>
          </cell>
        </row>
        <row r="1096">
          <cell r="B1096">
            <v>81</v>
          </cell>
        </row>
        <row r="1096">
          <cell r="I1096">
            <v>5.8</v>
          </cell>
        </row>
        <row r="1097">
          <cell r="B1097">
            <v>133</v>
          </cell>
        </row>
        <row r="1097">
          <cell r="I1097">
            <v>6.6</v>
          </cell>
        </row>
        <row r="1098">
          <cell r="B1098">
            <v>100</v>
          </cell>
        </row>
        <row r="1098">
          <cell r="I1098">
            <v>5.4</v>
          </cell>
        </row>
        <row r="1099">
          <cell r="B1099">
            <v>120</v>
          </cell>
        </row>
        <row r="1099">
          <cell r="I1099">
            <v>6.1</v>
          </cell>
        </row>
        <row r="1100">
          <cell r="B1100">
            <v>104</v>
          </cell>
        </row>
        <row r="1100">
          <cell r="I1100">
            <v>4</v>
          </cell>
        </row>
        <row r="1101">
          <cell r="B1101">
            <v>122</v>
          </cell>
        </row>
        <row r="1101">
          <cell r="I1101">
            <v>7.6</v>
          </cell>
        </row>
        <row r="1102">
          <cell r="B1102">
            <v>80</v>
          </cell>
        </row>
        <row r="1102">
          <cell r="I1102">
            <v>7.9</v>
          </cell>
        </row>
        <row r="1103">
          <cell r="B1103">
            <v>91</v>
          </cell>
        </row>
        <row r="1103">
          <cell r="I1103">
            <v>5.3</v>
          </cell>
        </row>
        <row r="1104">
          <cell r="B1104">
            <v>112</v>
          </cell>
        </row>
        <row r="1104">
          <cell r="I1104">
            <v>6.6</v>
          </cell>
        </row>
        <row r="1105">
          <cell r="B1105">
            <v>100</v>
          </cell>
        </row>
        <row r="1105">
          <cell r="I1105">
            <v>6.3</v>
          </cell>
        </row>
        <row r="1106">
          <cell r="B1106">
            <v>105</v>
          </cell>
        </row>
        <row r="1106">
          <cell r="I1106">
            <v>7.2</v>
          </cell>
        </row>
        <row r="1107">
          <cell r="B1107">
            <v>110</v>
          </cell>
        </row>
        <row r="1107">
          <cell r="I1107">
            <v>7</v>
          </cell>
        </row>
        <row r="1108">
          <cell r="B1108">
            <v>144</v>
          </cell>
        </row>
        <row r="1108">
          <cell r="I1108">
            <v>6.9</v>
          </cell>
        </row>
        <row r="1109">
          <cell r="B1109">
            <v>108</v>
          </cell>
        </row>
        <row r="1109">
          <cell r="I1109">
            <v>5.2</v>
          </cell>
        </row>
        <row r="1110">
          <cell r="B1110">
            <v>107</v>
          </cell>
        </row>
        <row r="1110">
          <cell r="I1110">
            <v>8.1</v>
          </cell>
        </row>
        <row r="1111">
          <cell r="B1111">
            <v>102</v>
          </cell>
        </row>
        <row r="1111">
          <cell r="I1111">
            <v>6.6</v>
          </cell>
        </row>
        <row r="1112">
          <cell r="B1112">
            <v>100</v>
          </cell>
        </row>
        <row r="1112">
          <cell r="I1112">
            <v>6.2</v>
          </cell>
        </row>
        <row r="1113">
          <cell r="B1113">
            <v>126</v>
          </cell>
        </row>
        <row r="1113">
          <cell r="I1113">
            <v>7.2</v>
          </cell>
        </row>
        <row r="1114">
          <cell r="B1114">
            <v>138</v>
          </cell>
        </row>
        <row r="1114">
          <cell r="I1114">
            <v>7.3</v>
          </cell>
        </row>
        <row r="1115">
          <cell r="B1115">
            <v>108</v>
          </cell>
        </row>
        <row r="1115">
          <cell r="I1115">
            <v>6.7</v>
          </cell>
        </row>
        <row r="1116">
          <cell r="B1116">
            <v>105</v>
          </cell>
        </row>
        <row r="1116">
          <cell r="I1116">
            <v>6.4</v>
          </cell>
        </row>
        <row r="1117">
          <cell r="B1117">
            <v>108</v>
          </cell>
        </row>
        <row r="1117">
          <cell r="I1117">
            <v>7.8</v>
          </cell>
        </row>
        <row r="1118">
          <cell r="B1118">
            <v>89</v>
          </cell>
        </row>
        <row r="1118">
          <cell r="I1118">
            <v>6.4</v>
          </cell>
        </row>
        <row r="1119">
          <cell r="B1119">
            <v>129</v>
          </cell>
        </row>
        <row r="1119">
          <cell r="I1119">
            <v>4.1</v>
          </cell>
        </row>
        <row r="1120">
          <cell r="B1120">
            <v>84</v>
          </cell>
        </row>
        <row r="1120">
          <cell r="I1120">
            <v>4.1</v>
          </cell>
        </row>
        <row r="1121">
          <cell r="B1121">
            <v>149</v>
          </cell>
        </row>
        <row r="1121">
          <cell r="I1121">
            <v>7.4</v>
          </cell>
        </row>
        <row r="1122">
          <cell r="B1122">
            <v>94</v>
          </cell>
        </row>
        <row r="1122">
          <cell r="I1122">
            <v>5.8</v>
          </cell>
        </row>
        <row r="1123">
          <cell r="B1123">
            <v>121</v>
          </cell>
        </row>
        <row r="1123">
          <cell r="I1123">
            <v>7.6</v>
          </cell>
        </row>
        <row r="1124">
          <cell r="B1124">
            <v>128</v>
          </cell>
        </row>
        <row r="1124">
          <cell r="I1124">
            <v>7.2</v>
          </cell>
        </row>
        <row r="1125">
          <cell r="B1125">
            <v>134</v>
          </cell>
        </row>
        <row r="1125">
          <cell r="I1125">
            <v>7.8</v>
          </cell>
        </row>
        <row r="1126">
          <cell r="B1126">
            <v>120</v>
          </cell>
        </row>
        <row r="1126">
          <cell r="I1126">
            <v>7.7</v>
          </cell>
        </row>
        <row r="1127">
          <cell r="B1127">
            <v>129</v>
          </cell>
        </row>
        <row r="1127">
          <cell r="I1127">
            <v>6.4</v>
          </cell>
        </row>
        <row r="1128">
          <cell r="B1128">
            <v>89</v>
          </cell>
        </row>
        <row r="1128">
          <cell r="I1128">
            <v>5.1</v>
          </cell>
        </row>
        <row r="1129">
          <cell r="B1129">
            <v>116</v>
          </cell>
        </row>
        <row r="1129">
          <cell r="I1129">
            <v>5.5</v>
          </cell>
        </row>
        <row r="1130">
          <cell r="B1130">
            <v>118</v>
          </cell>
        </row>
        <row r="1130">
          <cell r="I1130">
            <v>7.4</v>
          </cell>
        </row>
        <row r="1131">
          <cell r="B1131">
            <v>107</v>
          </cell>
        </row>
        <row r="1131">
          <cell r="I1131">
            <v>6</v>
          </cell>
        </row>
        <row r="1132">
          <cell r="B1132">
            <v>155</v>
          </cell>
        </row>
        <row r="1132">
          <cell r="I1132">
            <v>7.5</v>
          </cell>
        </row>
        <row r="1133">
          <cell r="B1133">
            <v>123</v>
          </cell>
        </row>
        <row r="1133">
          <cell r="I1133">
            <v>7</v>
          </cell>
        </row>
        <row r="1134">
          <cell r="B1134">
            <v>128</v>
          </cell>
        </row>
        <row r="1134">
          <cell r="I1134">
            <v>7.5</v>
          </cell>
        </row>
        <row r="1135">
          <cell r="B1135">
            <v>139</v>
          </cell>
        </row>
        <row r="1135">
          <cell r="I1135">
            <v>7.3</v>
          </cell>
        </row>
        <row r="1136">
          <cell r="B1136">
            <v>109</v>
          </cell>
        </row>
        <row r="1136">
          <cell r="I1136">
            <v>5.7</v>
          </cell>
        </row>
        <row r="1137">
          <cell r="B1137">
            <v>120</v>
          </cell>
        </row>
        <row r="1137">
          <cell r="I1137">
            <v>7.3</v>
          </cell>
        </row>
        <row r="1138">
          <cell r="B1138">
            <v>121</v>
          </cell>
        </row>
        <row r="1138">
          <cell r="I1138">
            <v>7.2</v>
          </cell>
        </row>
        <row r="1139">
          <cell r="B1139">
            <v>102</v>
          </cell>
        </row>
        <row r="1139">
          <cell r="I1139">
            <v>5.9</v>
          </cell>
        </row>
        <row r="1140">
          <cell r="B1140">
            <v>117</v>
          </cell>
        </row>
        <row r="1140">
          <cell r="I1140">
            <v>7.8</v>
          </cell>
        </row>
        <row r="1141">
          <cell r="B1141">
            <v>178</v>
          </cell>
        </row>
        <row r="1141">
          <cell r="I1141">
            <v>7.7</v>
          </cell>
        </row>
        <row r="1142">
          <cell r="B1142">
            <v>147</v>
          </cell>
        </row>
        <row r="1142">
          <cell r="I1142">
            <v>8.1</v>
          </cell>
        </row>
        <row r="1143">
          <cell r="B1143">
            <v>90</v>
          </cell>
        </row>
        <row r="1143">
          <cell r="I1143">
            <v>6.6</v>
          </cell>
        </row>
        <row r="1144">
          <cell r="B1144">
            <v>105</v>
          </cell>
        </row>
        <row r="1144">
          <cell r="I1144">
            <v>7.1</v>
          </cell>
        </row>
        <row r="1145">
          <cell r="B1145">
            <v>114</v>
          </cell>
        </row>
        <row r="1145">
          <cell r="I1145">
            <v>5.9</v>
          </cell>
        </row>
        <row r="1146">
          <cell r="B1146">
            <v>206</v>
          </cell>
        </row>
        <row r="1146">
          <cell r="I1146">
            <v>8</v>
          </cell>
        </row>
        <row r="1147">
          <cell r="B1147">
            <v>99</v>
          </cell>
        </row>
        <row r="1147">
          <cell r="I1147">
            <v>4.6</v>
          </cell>
        </row>
        <row r="1148">
          <cell r="B1148">
            <v>123</v>
          </cell>
        </row>
        <row r="1148">
          <cell r="I1148">
            <v>6.1</v>
          </cell>
        </row>
        <row r="1149">
          <cell r="B1149">
            <v>102</v>
          </cell>
        </row>
        <row r="1149">
          <cell r="I1149">
            <v>6.4</v>
          </cell>
        </row>
        <row r="1150">
          <cell r="B1150">
            <v>109</v>
          </cell>
        </row>
        <row r="1150">
          <cell r="I1150">
            <v>6</v>
          </cell>
        </row>
        <row r="1151">
          <cell r="B1151">
            <v>82</v>
          </cell>
        </row>
        <row r="1151">
          <cell r="I1151">
            <v>5.2</v>
          </cell>
        </row>
        <row r="1152">
          <cell r="B1152">
            <v>142</v>
          </cell>
        </row>
        <row r="1152">
          <cell r="I1152">
            <v>7.6</v>
          </cell>
        </row>
        <row r="1153">
          <cell r="B1153">
            <v>106</v>
          </cell>
        </row>
        <row r="1153">
          <cell r="I1153">
            <v>6.4</v>
          </cell>
        </row>
        <row r="1154">
          <cell r="B1154">
            <v>106</v>
          </cell>
        </row>
        <row r="1154">
          <cell r="I1154">
            <v>6.1</v>
          </cell>
        </row>
        <row r="1155">
          <cell r="B1155">
            <v>108</v>
          </cell>
        </row>
        <row r="1155">
          <cell r="I1155">
            <v>6.1</v>
          </cell>
        </row>
        <row r="1156">
          <cell r="B1156">
            <v>98</v>
          </cell>
        </row>
        <row r="1156">
          <cell r="I1156">
            <v>5.2</v>
          </cell>
        </row>
        <row r="1157">
          <cell r="B1157">
            <v>131</v>
          </cell>
        </row>
        <row r="1157">
          <cell r="I1157">
            <v>7.7</v>
          </cell>
        </row>
        <row r="1158">
          <cell r="B1158">
            <v>118</v>
          </cell>
        </row>
        <row r="1158">
          <cell r="I1158">
            <v>7.3</v>
          </cell>
        </row>
        <row r="1159">
          <cell r="B1159">
            <v>113</v>
          </cell>
        </row>
        <row r="1159">
          <cell r="I1159">
            <v>6.9</v>
          </cell>
        </row>
        <row r="1160">
          <cell r="B1160">
            <v>130</v>
          </cell>
        </row>
        <row r="1160">
          <cell r="I1160">
            <v>8.5</v>
          </cell>
        </row>
        <row r="1161">
          <cell r="B1161">
            <v>116</v>
          </cell>
        </row>
        <row r="1161">
          <cell r="I1161">
            <v>6.3</v>
          </cell>
        </row>
        <row r="1162">
          <cell r="B1162">
            <v>89</v>
          </cell>
        </row>
        <row r="1162">
          <cell r="I1162">
            <v>5.9</v>
          </cell>
        </row>
        <row r="1163">
          <cell r="B1163">
            <v>139</v>
          </cell>
        </row>
        <row r="1163">
          <cell r="I1163">
            <v>7.8</v>
          </cell>
        </row>
        <row r="1164">
          <cell r="B1164">
            <v>130</v>
          </cell>
        </row>
        <row r="1164">
          <cell r="I1164">
            <v>6.7</v>
          </cell>
        </row>
        <row r="1165">
          <cell r="B1165">
            <v>107</v>
          </cell>
        </row>
        <row r="1165">
          <cell r="I1165">
            <v>6.4</v>
          </cell>
        </row>
        <row r="1166">
          <cell r="B1166">
            <v>116</v>
          </cell>
        </row>
        <row r="1166">
          <cell r="I1166">
            <v>5.9</v>
          </cell>
        </row>
        <row r="1167">
          <cell r="B1167">
            <v>96</v>
          </cell>
        </row>
        <row r="1167">
          <cell r="I1167">
            <v>6.6</v>
          </cell>
        </row>
        <row r="1168">
          <cell r="B1168">
            <v>99</v>
          </cell>
        </row>
        <row r="1168">
          <cell r="I1168">
            <v>6.8</v>
          </cell>
        </row>
        <row r="1169">
          <cell r="B1169">
            <v>104</v>
          </cell>
        </row>
        <row r="1169">
          <cell r="I1169">
            <v>6.5</v>
          </cell>
        </row>
        <row r="1170">
          <cell r="B1170">
            <v>105</v>
          </cell>
        </row>
        <row r="1170">
          <cell r="I1170">
            <v>6.6</v>
          </cell>
        </row>
        <row r="1171">
          <cell r="B1171">
            <v>101</v>
          </cell>
        </row>
        <row r="1171">
          <cell r="I1171">
            <v>5.8</v>
          </cell>
        </row>
        <row r="1172">
          <cell r="B1172">
            <v>134</v>
          </cell>
        </row>
        <row r="1172">
          <cell r="I1172">
            <v>6.9</v>
          </cell>
        </row>
        <row r="1173">
          <cell r="B1173">
            <v>135</v>
          </cell>
        </row>
        <row r="1173">
          <cell r="I1173">
            <v>7.1</v>
          </cell>
        </row>
        <row r="1174">
          <cell r="B1174">
            <v>98</v>
          </cell>
        </row>
        <row r="1174">
          <cell r="I1174">
            <v>5.8</v>
          </cell>
        </row>
        <row r="1175">
          <cell r="B1175">
            <v>155</v>
          </cell>
        </row>
        <row r="1175">
          <cell r="I1175">
            <v>7.2</v>
          </cell>
        </row>
        <row r="1176">
          <cell r="B1176">
            <v>106</v>
          </cell>
        </row>
        <row r="1176">
          <cell r="I1176">
            <v>6</v>
          </cell>
        </row>
        <row r="1177">
          <cell r="B1177">
            <v>102</v>
          </cell>
        </row>
        <row r="1177">
          <cell r="I1177">
            <v>4.7</v>
          </cell>
        </row>
        <row r="1178">
          <cell r="B1178">
            <v>95</v>
          </cell>
        </row>
        <row r="1178">
          <cell r="I1178">
            <v>5.2</v>
          </cell>
        </row>
        <row r="1179">
          <cell r="B1179">
            <v>103</v>
          </cell>
        </row>
        <row r="1179">
          <cell r="I1179">
            <v>5.5</v>
          </cell>
        </row>
        <row r="1180">
          <cell r="B1180">
            <v>109</v>
          </cell>
        </row>
        <row r="1180">
          <cell r="I1180">
            <v>7</v>
          </cell>
        </row>
        <row r="1181">
          <cell r="B1181">
            <v>95</v>
          </cell>
        </row>
        <row r="1181">
          <cell r="I1181">
            <v>5.8</v>
          </cell>
        </row>
        <row r="1182">
          <cell r="B1182">
            <v>111</v>
          </cell>
        </row>
        <row r="1182">
          <cell r="I1182">
            <v>6.2</v>
          </cell>
        </row>
        <row r="1183">
          <cell r="B1183">
            <v>123</v>
          </cell>
        </row>
        <row r="1183">
          <cell r="I1183">
            <v>6.5</v>
          </cell>
        </row>
        <row r="1184">
          <cell r="B1184">
            <v>140</v>
          </cell>
        </row>
        <row r="1184">
          <cell r="I1184">
            <v>7.2</v>
          </cell>
        </row>
        <row r="1185">
          <cell r="B1185">
            <v>94</v>
          </cell>
        </row>
        <row r="1185">
          <cell r="I1185">
            <v>5.1</v>
          </cell>
        </row>
        <row r="1186">
          <cell r="B1186">
            <v>94</v>
          </cell>
        </row>
        <row r="1186">
          <cell r="I1186">
            <v>4.7</v>
          </cell>
        </row>
        <row r="1187">
          <cell r="B1187">
            <v>92</v>
          </cell>
        </row>
        <row r="1187">
          <cell r="I1187">
            <v>5.9</v>
          </cell>
        </row>
        <row r="1188">
          <cell r="B1188">
            <v>102</v>
          </cell>
        </row>
        <row r="1188">
          <cell r="I1188">
            <v>5.8</v>
          </cell>
        </row>
        <row r="1189">
          <cell r="B1189">
            <v>123</v>
          </cell>
        </row>
        <row r="1189">
          <cell r="I1189">
            <v>7.2</v>
          </cell>
        </row>
        <row r="1190">
          <cell r="B1190">
            <v>104</v>
          </cell>
        </row>
        <row r="1190">
          <cell r="I1190">
            <v>6.2</v>
          </cell>
        </row>
        <row r="1191">
          <cell r="B1191">
            <v>102</v>
          </cell>
        </row>
        <row r="1191">
          <cell r="I1191">
            <v>5.7</v>
          </cell>
        </row>
        <row r="1192">
          <cell r="B1192">
            <v>136</v>
          </cell>
        </row>
        <row r="1192">
          <cell r="I1192">
            <v>6.1</v>
          </cell>
        </row>
        <row r="1193">
          <cell r="B1193">
            <v>93</v>
          </cell>
        </row>
        <row r="1193">
          <cell r="I1193">
            <v>6</v>
          </cell>
        </row>
        <row r="1194">
          <cell r="B1194">
            <v>129</v>
          </cell>
        </row>
        <row r="1194">
          <cell r="I1194">
            <v>6.9</v>
          </cell>
        </row>
        <row r="1195">
          <cell r="B1195">
            <v>107</v>
          </cell>
        </row>
        <row r="1195">
          <cell r="I1195">
            <v>6.5</v>
          </cell>
        </row>
        <row r="1196">
          <cell r="B1196">
            <v>117</v>
          </cell>
        </row>
        <row r="1196">
          <cell r="I1196">
            <v>5</v>
          </cell>
        </row>
        <row r="1197">
          <cell r="B1197">
            <v>116</v>
          </cell>
        </row>
        <row r="1197">
          <cell r="I1197">
            <v>5.7</v>
          </cell>
        </row>
        <row r="1198">
          <cell r="B1198">
            <v>135</v>
          </cell>
        </row>
        <row r="1198">
          <cell r="I1198">
            <v>7</v>
          </cell>
        </row>
        <row r="1199">
          <cell r="B1199">
            <v>107</v>
          </cell>
        </row>
        <row r="1199">
          <cell r="I1199">
            <v>5.1</v>
          </cell>
        </row>
        <row r="1200">
          <cell r="B1200">
            <v>90</v>
          </cell>
        </row>
        <row r="1200">
          <cell r="I1200">
            <v>5.3</v>
          </cell>
        </row>
        <row r="1201">
          <cell r="B1201">
            <v>99</v>
          </cell>
        </row>
        <row r="1201">
          <cell r="I1201">
            <v>4.4</v>
          </cell>
        </row>
        <row r="1202">
          <cell r="B1202">
            <v>104</v>
          </cell>
        </row>
        <row r="1202">
          <cell r="I1202">
            <v>4.7</v>
          </cell>
        </row>
        <row r="1203">
          <cell r="B1203">
            <v>115</v>
          </cell>
        </row>
        <row r="1203">
          <cell r="I1203">
            <v>6.7</v>
          </cell>
        </row>
        <row r="1204">
          <cell r="B1204">
            <v>119</v>
          </cell>
        </row>
        <row r="1204">
          <cell r="I1204">
            <v>6.7</v>
          </cell>
        </row>
        <row r="1205">
          <cell r="B1205">
            <v>99</v>
          </cell>
        </row>
        <row r="1205">
          <cell r="I1205">
            <v>5.7</v>
          </cell>
        </row>
        <row r="1206">
          <cell r="B1206">
            <v>112</v>
          </cell>
        </row>
        <row r="1206">
          <cell r="I1206">
            <v>7.4</v>
          </cell>
        </row>
        <row r="1207">
          <cell r="B1207">
            <v>128</v>
          </cell>
        </row>
        <row r="1207">
          <cell r="I1207">
            <v>6.1</v>
          </cell>
        </row>
        <row r="1208">
          <cell r="B1208">
            <v>112</v>
          </cell>
        </row>
        <row r="1208">
          <cell r="I1208">
            <v>6.4</v>
          </cell>
        </row>
        <row r="1209">
          <cell r="B1209">
            <v>86</v>
          </cell>
        </row>
        <row r="1209">
          <cell r="I1209">
            <v>6.2</v>
          </cell>
        </row>
        <row r="1210">
          <cell r="B1210">
            <v>108</v>
          </cell>
        </row>
        <row r="1210">
          <cell r="I1210">
            <v>6.2</v>
          </cell>
        </row>
        <row r="1211">
          <cell r="B1211">
            <v>128</v>
          </cell>
        </row>
        <row r="1211">
          <cell r="I1211">
            <v>5.9</v>
          </cell>
        </row>
        <row r="1212">
          <cell r="B1212">
            <v>84</v>
          </cell>
        </row>
        <row r="1212">
          <cell r="I1212">
            <v>4</v>
          </cell>
        </row>
        <row r="1213">
          <cell r="B1213">
            <v>111</v>
          </cell>
        </row>
        <row r="1213">
          <cell r="I1213">
            <v>6.2</v>
          </cell>
        </row>
        <row r="1214">
          <cell r="B1214">
            <v>131</v>
          </cell>
        </row>
        <row r="1214">
          <cell r="I1214">
            <v>4.6</v>
          </cell>
        </row>
        <row r="1215">
          <cell r="B1215">
            <v>123</v>
          </cell>
        </row>
        <row r="1215">
          <cell r="I1215">
            <v>6.4</v>
          </cell>
        </row>
        <row r="1216">
          <cell r="B1216">
            <v>101</v>
          </cell>
        </row>
        <row r="1216">
          <cell r="I1216">
            <v>5.9</v>
          </cell>
        </row>
        <row r="1217">
          <cell r="B1217">
            <v>102</v>
          </cell>
        </row>
        <row r="1217">
          <cell r="I1217">
            <v>5.1</v>
          </cell>
        </row>
        <row r="1218">
          <cell r="B1218">
            <v>114</v>
          </cell>
        </row>
        <row r="1218">
          <cell r="I1218">
            <v>7.6</v>
          </cell>
        </row>
        <row r="1219">
          <cell r="B1219">
            <v>107</v>
          </cell>
        </row>
        <row r="1219">
          <cell r="I1219">
            <v>4.2</v>
          </cell>
        </row>
        <row r="1220">
          <cell r="B1220">
            <v>87</v>
          </cell>
        </row>
        <row r="1220">
          <cell r="I1220">
            <v>7.8</v>
          </cell>
        </row>
        <row r="1221">
          <cell r="B1221">
            <v>103</v>
          </cell>
        </row>
        <row r="1221">
          <cell r="I1221">
            <v>5.8</v>
          </cell>
        </row>
        <row r="1222">
          <cell r="B1222">
            <v>99</v>
          </cell>
        </row>
        <row r="1222">
          <cell r="I1222">
            <v>5.9</v>
          </cell>
        </row>
        <row r="1223">
          <cell r="B1223">
            <v>122</v>
          </cell>
        </row>
        <row r="1223">
          <cell r="I1223">
            <v>8.4</v>
          </cell>
        </row>
        <row r="1224">
          <cell r="B1224">
            <v>91</v>
          </cell>
        </row>
        <row r="1224">
          <cell r="I1224">
            <v>4.8</v>
          </cell>
        </row>
        <row r="1225">
          <cell r="B1225">
            <v>103</v>
          </cell>
        </row>
        <row r="1225">
          <cell r="I1225">
            <v>6.2</v>
          </cell>
        </row>
        <row r="1226">
          <cell r="B1226">
            <v>107</v>
          </cell>
        </row>
        <row r="1226">
          <cell r="I1226">
            <v>6.5</v>
          </cell>
        </row>
        <row r="1227">
          <cell r="B1227">
            <v>106</v>
          </cell>
        </row>
        <row r="1227">
          <cell r="I1227">
            <v>6.3</v>
          </cell>
        </row>
        <row r="1228">
          <cell r="B1228">
            <v>101</v>
          </cell>
        </row>
        <row r="1228">
          <cell r="I1228">
            <v>3.3</v>
          </cell>
        </row>
        <row r="1229">
          <cell r="B1229">
            <v>109</v>
          </cell>
        </row>
        <row r="1229">
          <cell r="I1229">
            <v>5.9</v>
          </cell>
        </row>
        <row r="1230">
          <cell r="B1230">
            <v>89</v>
          </cell>
        </row>
        <row r="1230">
          <cell r="I1230">
            <v>5.8</v>
          </cell>
        </row>
        <row r="1231">
          <cell r="B1231">
            <v>119</v>
          </cell>
        </row>
        <row r="1231">
          <cell r="I1231">
            <v>4.7</v>
          </cell>
        </row>
        <row r="1232">
          <cell r="B1232">
            <v>83</v>
          </cell>
        </row>
        <row r="1232">
          <cell r="I1232">
            <v>4.1</v>
          </cell>
        </row>
        <row r="1233">
          <cell r="B1233">
            <v>108</v>
          </cell>
        </row>
        <row r="1233">
          <cell r="I1233">
            <v>6.8</v>
          </cell>
        </row>
        <row r="1234">
          <cell r="B1234">
            <v>102</v>
          </cell>
        </row>
        <row r="1234">
          <cell r="I1234">
            <v>6.2</v>
          </cell>
        </row>
        <row r="1235">
          <cell r="B1235">
            <v>93</v>
          </cell>
        </row>
        <row r="1235">
          <cell r="I1235">
            <v>4.5</v>
          </cell>
        </row>
        <row r="1236">
          <cell r="B1236">
            <v>84</v>
          </cell>
        </row>
        <row r="1236">
          <cell r="I1236">
            <v>5.8</v>
          </cell>
        </row>
        <row r="1237">
          <cell r="B1237">
            <v>107</v>
          </cell>
        </row>
        <row r="1237">
          <cell r="I1237">
            <v>7.3</v>
          </cell>
        </row>
        <row r="1238">
          <cell r="B1238">
            <v>91</v>
          </cell>
        </row>
        <row r="1238">
          <cell r="I1238">
            <v>5.9</v>
          </cell>
        </row>
        <row r="1239">
          <cell r="B1239">
            <v>94</v>
          </cell>
        </row>
        <row r="1239">
          <cell r="I1239">
            <v>4.4</v>
          </cell>
        </row>
        <row r="1240">
          <cell r="B1240">
            <v>115</v>
          </cell>
        </row>
        <row r="1240">
          <cell r="I1240">
            <v>5.8</v>
          </cell>
        </row>
        <row r="1241">
          <cell r="B1241">
            <v>93</v>
          </cell>
        </row>
        <row r="1241">
          <cell r="I1241">
            <v>5.1</v>
          </cell>
        </row>
        <row r="1242">
          <cell r="B1242">
            <v>105</v>
          </cell>
        </row>
        <row r="1242">
          <cell r="I1242">
            <v>6.9</v>
          </cell>
        </row>
        <row r="1243">
          <cell r="B1243">
            <v>107</v>
          </cell>
        </row>
        <row r="1243">
          <cell r="I1243">
            <v>6.2</v>
          </cell>
        </row>
        <row r="1244">
          <cell r="B1244">
            <v>101</v>
          </cell>
        </row>
        <row r="1244">
          <cell r="I1244">
            <v>6.9</v>
          </cell>
        </row>
        <row r="1245">
          <cell r="B1245">
            <v>111</v>
          </cell>
        </row>
        <row r="1245">
          <cell r="I1245">
            <v>7.3</v>
          </cell>
        </row>
        <row r="1246">
          <cell r="B1246">
            <v>113</v>
          </cell>
        </row>
        <row r="1246">
          <cell r="I1246">
            <v>7.1</v>
          </cell>
        </row>
        <row r="1247">
          <cell r="B1247">
            <v>112</v>
          </cell>
        </row>
        <row r="1247">
          <cell r="I1247">
            <v>6</v>
          </cell>
        </row>
        <row r="1248">
          <cell r="B1248">
            <v>126</v>
          </cell>
        </row>
        <row r="1248">
          <cell r="I1248">
            <v>7</v>
          </cell>
        </row>
        <row r="1249">
          <cell r="B1249">
            <v>98</v>
          </cell>
        </row>
        <row r="1249">
          <cell r="I1249">
            <v>7.6</v>
          </cell>
        </row>
        <row r="1250">
          <cell r="B1250">
            <v>159</v>
          </cell>
        </row>
        <row r="1250">
          <cell r="I1250">
            <v>8.4</v>
          </cell>
        </row>
        <row r="1251">
          <cell r="B1251">
            <v>107</v>
          </cell>
        </row>
        <row r="1251">
          <cell r="I1251">
            <v>7.1</v>
          </cell>
        </row>
        <row r="1252">
          <cell r="B1252">
            <v>87</v>
          </cell>
        </row>
        <row r="1252">
          <cell r="I1252">
            <v>7</v>
          </cell>
        </row>
        <row r="1253">
          <cell r="B1253">
            <v>119</v>
          </cell>
        </row>
        <row r="1253">
          <cell r="I1253">
            <v>8</v>
          </cell>
        </row>
        <row r="1254">
          <cell r="B1254">
            <v>110</v>
          </cell>
        </row>
        <row r="1254">
          <cell r="I1254">
            <v>5.3</v>
          </cell>
        </row>
        <row r="1255">
          <cell r="B1255">
            <v>125</v>
          </cell>
        </row>
        <row r="1255">
          <cell r="I1255">
            <v>4.9</v>
          </cell>
        </row>
        <row r="1256">
          <cell r="B1256">
            <v>113</v>
          </cell>
        </row>
        <row r="1256">
          <cell r="I1256">
            <v>6.4</v>
          </cell>
        </row>
        <row r="1257">
          <cell r="B1257">
            <v>150</v>
          </cell>
        </row>
        <row r="1257">
          <cell r="I1257">
            <v>7.4</v>
          </cell>
        </row>
        <row r="1258">
          <cell r="B1258">
            <v>108</v>
          </cell>
        </row>
        <row r="1258">
          <cell r="I1258">
            <v>6.1</v>
          </cell>
        </row>
        <row r="1259">
          <cell r="B1259">
            <v>96</v>
          </cell>
        </row>
        <row r="1259">
          <cell r="I1259">
            <v>6.5</v>
          </cell>
        </row>
        <row r="1260">
          <cell r="B1260">
            <v>93</v>
          </cell>
        </row>
        <row r="1260">
          <cell r="I1260">
            <v>5.7</v>
          </cell>
        </row>
        <row r="1261">
          <cell r="B1261">
            <v>100</v>
          </cell>
        </row>
        <row r="1261">
          <cell r="I1261">
            <v>5.1</v>
          </cell>
        </row>
        <row r="1262">
          <cell r="B1262">
            <v>118</v>
          </cell>
        </row>
        <row r="1262">
          <cell r="I1262">
            <v>6.6</v>
          </cell>
        </row>
        <row r="1263">
          <cell r="B1263">
            <v>122</v>
          </cell>
        </row>
        <row r="1263">
          <cell r="I1263">
            <v>6.5</v>
          </cell>
        </row>
        <row r="1264">
          <cell r="B1264">
            <v>120</v>
          </cell>
        </row>
        <row r="1264">
          <cell r="I1264">
            <v>6.9</v>
          </cell>
        </row>
        <row r="1265">
          <cell r="B1265">
            <v>146</v>
          </cell>
        </row>
        <row r="1265">
          <cell r="I1265">
            <v>7.6</v>
          </cell>
        </row>
        <row r="1266">
          <cell r="B1266">
            <v>115</v>
          </cell>
        </row>
        <row r="1266">
          <cell r="I1266">
            <v>5.6</v>
          </cell>
        </row>
        <row r="1267">
          <cell r="B1267">
            <v>123</v>
          </cell>
        </row>
        <row r="1267">
          <cell r="I1267">
            <v>6.2</v>
          </cell>
        </row>
        <row r="1268">
          <cell r="B1268">
            <v>94</v>
          </cell>
        </row>
        <row r="1268">
          <cell r="I1268">
            <v>4.4</v>
          </cell>
        </row>
        <row r="1269">
          <cell r="B1269">
            <v>102</v>
          </cell>
        </row>
        <row r="1269">
          <cell r="I1269">
            <v>5.6</v>
          </cell>
        </row>
        <row r="1270">
          <cell r="B1270">
            <v>98</v>
          </cell>
        </row>
        <row r="1270">
          <cell r="I1270">
            <v>5.5</v>
          </cell>
        </row>
        <row r="1271">
          <cell r="B1271">
            <v>133</v>
          </cell>
        </row>
        <row r="1271">
          <cell r="I1271">
            <v>6.7</v>
          </cell>
        </row>
        <row r="1272">
          <cell r="B1272">
            <v>118</v>
          </cell>
        </row>
        <row r="1272">
          <cell r="I1272">
            <v>6.1</v>
          </cell>
        </row>
        <row r="1273">
          <cell r="B1273">
            <v>105</v>
          </cell>
        </row>
        <row r="1273">
          <cell r="I1273">
            <v>6.2</v>
          </cell>
        </row>
        <row r="1274">
          <cell r="B1274">
            <v>109</v>
          </cell>
        </row>
        <row r="1274">
          <cell r="I1274">
            <v>7.3</v>
          </cell>
        </row>
        <row r="1275">
          <cell r="B1275">
            <v>129</v>
          </cell>
        </row>
        <row r="1275">
          <cell r="I1275">
            <v>6.6</v>
          </cell>
        </row>
        <row r="1276">
          <cell r="B1276">
            <v>109</v>
          </cell>
        </row>
        <row r="1276">
          <cell r="I1276">
            <v>8.2</v>
          </cell>
        </row>
        <row r="1277">
          <cell r="B1277">
            <v>127</v>
          </cell>
        </row>
        <row r="1277">
          <cell r="I1277">
            <v>6.4</v>
          </cell>
        </row>
        <row r="1278">
          <cell r="B1278">
            <v>118</v>
          </cell>
        </row>
        <row r="1278">
          <cell r="I1278">
            <v>6.4</v>
          </cell>
        </row>
        <row r="1279">
          <cell r="B1279">
            <v>110</v>
          </cell>
        </row>
        <row r="1279">
          <cell r="I1279">
            <v>5.2</v>
          </cell>
        </row>
        <row r="1280">
          <cell r="B1280">
            <v>90</v>
          </cell>
        </row>
        <row r="1280">
          <cell r="I1280">
            <v>6.5</v>
          </cell>
        </row>
        <row r="1281">
          <cell r="B1281">
            <v>144</v>
          </cell>
        </row>
        <row r="1281">
          <cell r="I1281">
            <v>7.1</v>
          </cell>
        </row>
        <row r="1282">
          <cell r="B1282">
            <v>130</v>
          </cell>
        </row>
        <row r="1282">
          <cell r="I1282">
            <v>7.3</v>
          </cell>
        </row>
        <row r="1283">
          <cell r="B1283">
            <v>112</v>
          </cell>
        </row>
        <row r="1283">
          <cell r="I1283">
            <v>5.2</v>
          </cell>
        </row>
        <row r="1284">
          <cell r="B1284">
            <v>133</v>
          </cell>
        </row>
        <row r="1284">
          <cell r="I1284">
            <v>7.7</v>
          </cell>
        </row>
        <row r="1285">
          <cell r="B1285">
            <v>150</v>
          </cell>
        </row>
        <row r="1285">
          <cell r="I1285">
            <v>7.6</v>
          </cell>
        </row>
        <row r="1286">
          <cell r="B1286">
            <v>110</v>
          </cell>
        </row>
        <row r="1286">
          <cell r="I1286">
            <v>5.7</v>
          </cell>
        </row>
        <row r="1287">
          <cell r="B1287">
            <v>96</v>
          </cell>
        </row>
        <row r="1287">
          <cell r="I1287">
            <v>7</v>
          </cell>
        </row>
        <row r="1288">
          <cell r="B1288">
            <v>96</v>
          </cell>
        </row>
        <row r="1288">
          <cell r="I1288">
            <v>6</v>
          </cell>
        </row>
        <row r="1289">
          <cell r="B1289">
            <v>123</v>
          </cell>
        </row>
        <row r="1289">
          <cell r="I1289">
            <v>8.1</v>
          </cell>
        </row>
        <row r="1290">
          <cell r="B1290">
            <v>188</v>
          </cell>
        </row>
        <row r="1290">
          <cell r="I1290">
            <v>8</v>
          </cell>
        </row>
        <row r="1291">
          <cell r="B1291">
            <v>107</v>
          </cell>
        </row>
        <row r="1291">
          <cell r="I1291">
            <v>5.6</v>
          </cell>
        </row>
        <row r="1292">
          <cell r="B1292">
            <v>110</v>
          </cell>
        </row>
        <row r="1292">
          <cell r="I1292">
            <v>6.1</v>
          </cell>
        </row>
        <row r="1293">
          <cell r="B1293">
            <v>113</v>
          </cell>
        </row>
        <row r="1293">
          <cell r="I1293">
            <v>6.9</v>
          </cell>
        </row>
        <row r="1294">
          <cell r="B1294">
            <v>122</v>
          </cell>
        </row>
        <row r="1294">
          <cell r="I1294">
            <v>5.2</v>
          </cell>
        </row>
        <row r="1295">
          <cell r="B1295">
            <v>116</v>
          </cell>
        </row>
        <row r="1295">
          <cell r="I1295">
            <v>7</v>
          </cell>
        </row>
        <row r="1296">
          <cell r="B1296">
            <v>93</v>
          </cell>
        </row>
        <row r="1296">
          <cell r="I1296">
            <v>6.3</v>
          </cell>
        </row>
        <row r="1297">
          <cell r="B1297">
            <v>118</v>
          </cell>
        </row>
        <row r="1297">
          <cell r="I1297">
            <v>7</v>
          </cell>
        </row>
        <row r="1298">
          <cell r="B1298">
            <v>93</v>
          </cell>
        </row>
        <row r="1298">
          <cell r="I1298">
            <v>6.9</v>
          </cell>
        </row>
        <row r="1299">
          <cell r="B1299">
            <v>121</v>
          </cell>
        </row>
        <row r="1299">
          <cell r="I1299">
            <v>6.2</v>
          </cell>
        </row>
        <row r="1300">
          <cell r="B1300">
            <v>101</v>
          </cell>
        </row>
        <row r="1300">
          <cell r="I1300">
            <v>6.4</v>
          </cell>
        </row>
        <row r="1301">
          <cell r="B1301">
            <v>107</v>
          </cell>
        </row>
        <row r="1301">
          <cell r="I1301">
            <v>6.4</v>
          </cell>
        </row>
        <row r="1302">
          <cell r="B1302">
            <v>124</v>
          </cell>
        </row>
        <row r="1302">
          <cell r="I1302">
            <v>5.7</v>
          </cell>
        </row>
        <row r="1303">
          <cell r="B1303">
            <v>109</v>
          </cell>
        </row>
        <row r="1303">
          <cell r="I1303">
            <v>6.1</v>
          </cell>
        </row>
        <row r="1304">
          <cell r="B1304">
            <v>105</v>
          </cell>
        </row>
        <row r="1304">
          <cell r="I1304">
            <v>5.4</v>
          </cell>
        </row>
        <row r="1305">
          <cell r="B1305">
            <v>130</v>
          </cell>
        </row>
        <row r="1305">
          <cell r="I1305">
            <v>6.7</v>
          </cell>
        </row>
        <row r="1306">
          <cell r="B1306">
            <v>127</v>
          </cell>
        </row>
        <row r="1306">
          <cell r="I1306">
            <v>6.8</v>
          </cell>
        </row>
        <row r="1307">
          <cell r="B1307">
            <v>114</v>
          </cell>
        </row>
        <row r="1307">
          <cell r="I1307">
            <v>6</v>
          </cell>
        </row>
        <row r="1308">
          <cell r="B1308">
            <v>106</v>
          </cell>
        </row>
        <row r="1308">
          <cell r="I1308">
            <v>7.8</v>
          </cell>
        </row>
        <row r="1309">
          <cell r="B1309">
            <v>95</v>
          </cell>
        </row>
        <row r="1309">
          <cell r="I1309">
            <v>5.3</v>
          </cell>
        </row>
        <row r="1310">
          <cell r="B1310">
            <v>81</v>
          </cell>
        </row>
        <row r="1310">
          <cell r="I1310">
            <v>4.5</v>
          </cell>
        </row>
        <row r="1311">
          <cell r="B1311">
            <v>95</v>
          </cell>
        </row>
        <row r="1311">
          <cell r="I1311">
            <v>5.4</v>
          </cell>
        </row>
        <row r="1312">
          <cell r="B1312">
            <v>108</v>
          </cell>
        </row>
        <row r="1312">
          <cell r="I1312">
            <v>7.8</v>
          </cell>
        </row>
        <row r="1313">
          <cell r="B1313">
            <v>105</v>
          </cell>
        </row>
        <row r="1313">
          <cell r="I1313">
            <v>7.2</v>
          </cell>
        </row>
        <row r="1314">
          <cell r="B1314">
            <v>95</v>
          </cell>
        </row>
        <row r="1314">
          <cell r="I1314">
            <v>6.6</v>
          </cell>
        </row>
        <row r="1315">
          <cell r="B1315">
            <v>126</v>
          </cell>
        </row>
        <row r="1315">
          <cell r="I1315">
            <v>7.6</v>
          </cell>
        </row>
        <row r="1316">
          <cell r="B1316">
            <v>102</v>
          </cell>
        </row>
        <row r="1316">
          <cell r="I1316">
            <v>5.9</v>
          </cell>
        </row>
        <row r="1317">
          <cell r="B1317">
            <v>121</v>
          </cell>
        </row>
        <row r="1317">
          <cell r="I1317">
            <v>6.7</v>
          </cell>
        </row>
        <row r="1318">
          <cell r="B1318">
            <v>129</v>
          </cell>
        </row>
        <row r="1318">
          <cell r="I1318">
            <v>7.7</v>
          </cell>
        </row>
        <row r="1319">
          <cell r="B1319">
            <v>88</v>
          </cell>
        </row>
        <row r="1319">
          <cell r="I1319">
            <v>5.4</v>
          </cell>
        </row>
        <row r="1320">
          <cell r="B1320">
            <v>106</v>
          </cell>
        </row>
        <row r="1320">
          <cell r="I1320">
            <v>6.9</v>
          </cell>
        </row>
        <row r="1321">
          <cell r="B1321">
            <v>110</v>
          </cell>
        </row>
        <row r="1321">
          <cell r="I1321">
            <v>7.7</v>
          </cell>
        </row>
        <row r="1322">
          <cell r="B1322">
            <v>109</v>
          </cell>
        </row>
        <row r="1322">
          <cell r="I1322">
            <v>6.8</v>
          </cell>
        </row>
        <row r="1323">
          <cell r="B1323">
            <v>143</v>
          </cell>
        </row>
        <row r="1323">
          <cell r="I1323">
            <v>6.4</v>
          </cell>
        </row>
        <row r="1324">
          <cell r="B1324">
            <v>120</v>
          </cell>
        </row>
        <row r="1324">
          <cell r="I1324">
            <v>5.7</v>
          </cell>
        </row>
        <row r="1325">
          <cell r="B1325">
            <v>128</v>
          </cell>
        </row>
        <row r="1325">
          <cell r="I1325">
            <v>7.3</v>
          </cell>
        </row>
        <row r="1326">
          <cell r="B1326">
            <v>123</v>
          </cell>
        </row>
        <row r="1326">
          <cell r="I1326">
            <v>6.8</v>
          </cell>
        </row>
        <row r="1327">
          <cell r="B1327">
            <v>129</v>
          </cell>
        </row>
        <row r="1327">
          <cell r="I1327">
            <v>6.3</v>
          </cell>
        </row>
        <row r="1328">
          <cell r="B1328">
            <v>105</v>
          </cell>
        </row>
        <row r="1328">
          <cell r="I1328">
            <v>5.9</v>
          </cell>
        </row>
        <row r="1329">
          <cell r="B1329">
            <v>162</v>
          </cell>
        </row>
        <row r="1329">
          <cell r="I1329">
            <v>7.4</v>
          </cell>
        </row>
        <row r="1330">
          <cell r="B1330">
            <v>138</v>
          </cell>
        </row>
        <row r="1330">
          <cell r="I1330">
            <v>8.3</v>
          </cell>
        </row>
        <row r="1331">
          <cell r="B1331">
            <v>100</v>
          </cell>
        </row>
        <row r="1331">
          <cell r="I1331">
            <v>6.2</v>
          </cell>
        </row>
        <row r="1332">
          <cell r="B1332">
            <v>90</v>
          </cell>
        </row>
        <row r="1332">
          <cell r="I1332">
            <v>6.3</v>
          </cell>
        </row>
        <row r="1333">
          <cell r="B1333">
            <v>108</v>
          </cell>
        </row>
        <row r="1333">
          <cell r="I1333">
            <v>5.8</v>
          </cell>
        </row>
        <row r="1334">
          <cell r="B1334">
            <v>101</v>
          </cell>
        </row>
        <row r="1334">
          <cell r="I1334">
            <v>7.5</v>
          </cell>
        </row>
        <row r="1335">
          <cell r="B1335">
            <v>109</v>
          </cell>
        </row>
        <row r="1335">
          <cell r="I1335">
            <v>6.3</v>
          </cell>
        </row>
        <row r="1336">
          <cell r="B1336">
            <v>132</v>
          </cell>
        </row>
        <row r="1336">
          <cell r="I1336">
            <v>6.4</v>
          </cell>
        </row>
        <row r="1337">
          <cell r="B1337">
            <v>123</v>
          </cell>
        </row>
        <row r="1337">
          <cell r="I1337">
            <v>7.2</v>
          </cell>
        </row>
        <row r="1338">
          <cell r="B1338">
            <v>87</v>
          </cell>
        </row>
        <row r="1338">
          <cell r="I1338">
            <v>6.3</v>
          </cell>
        </row>
        <row r="1339">
          <cell r="B1339">
            <v>109</v>
          </cell>
        </row>
        <row r="1339">
          <cell r="I1339">
            <v>6.9</v>
          </cell>
        </row>
        <row r="1340">
          <cell r="B1340">
            <v>109</v>
          </cell>
        </row>
        <row r="1340">
          <cell r="I1340">
            <v>6.6</v>
          </cell>
        </row>
        <row r="1341">
          <cell r="B1341">
            <v>92</v>
          </cell>
        </row>
        <row r="1341">
          <cell r="I1341">
            <v>6</v>
          </cell>
        </row>
        <row r="1342">
          <cell r="B1342">
            <v>125</v>
          </cell>
        </row>
        <row r="1342">
          <cell r="I1342">
            <v>7.5</v>
          </cell>
        </row>
        <row r="1343">
          <cell r="B1343">
            <v>202</v>
          </cell>
        </row>
        <row r="1343">
          <cell r="I1343">
            <v>7.7</v>
          </cell>
        </row>
        <row r="1344">
          <cell r="B1344">
            <v>134</v>
          </cell>
        </row>
        <row r="1344">
          <cell r="I1344">
            <v>6.2</v>
          </cell>
        </row>
        <row r="1345">
          <cell r="B1345">
            <v>88</v>
          </cell>
        </row>
        <row r="1345">
          <cell r="I1345">
            <v>5.4</v>
          </cell>
        </row>
        <row r="1346">
          <cell r="B1346">
            <v>92</v>
          </cell>
        </row>
        <row r="1346">
          <cell r="I1346">
            <v>6.6</v>
          </cell>
        </row>
        <row r="1347">
          <cell r="B1347">
            <v>91</v>
          </cell>
        </row>
        <row r="1347">
          <cell r="I1347">
            <v>5.3</v>
          </cell>
        </row>
        <row r="1348">
          <cell r="B1348">
            <v>75</v>
          </cell>
        </row>
        <row r="1348">
          <cell r="I1348">
            <v>5.6</v>
          </cell>
        </row>
        <row r="1349">
          <cell r="B1349">
            <v>98</v>
          </cell>
        </row>
        <row r="1349">
          <cell r="I1349">
            <v>5.9</v>
          </cell>
        </row>
        <row r="1350">
          <cell r="B1350">
            <v>147</v>
          </cell>
        </row>
        <row r="1350">
          <cell r="I1350">
            <v>7.8</v>
          </cell>
        </row>
        <row r="1351">
          <cell r="B1351">
            <v>100</v>
          </cell>
        </row>
        <row r="1351">
          <cell r="I1351">
            <v>6.7</v>
          </cell>
        </row>
        <row r="1352">
          <cell r="B1352">
            <v>120</v>
          </cell>
        </row>
        <row r="1352">
          <cell r="I1352">
            <v>7.4</v>
          </cell>
        </row>
        <row r="1353">
          <cell r="B1353">
            <v>104</v>
          </cell>
        </row>
        <row r="1353">
          <cell r="I1353">
            <v>6.2</v>
          </cell>
        </row>
        <row r="1354">
          <cell r="B1354">
            <v>103</v>
          </cell>
        </row>
        <row r="1354">
          <cell r="I1354">
            <v>5.4</v>
          </cell>
        </row>
        <row r="1355">
          <cell r="B1355">
            <v>109</v>
          </cell>
        </row>
        <row r="1355">
          <cell r="I1355">
            <v>6.7</v>
          </cell>
        </row>
        <row r="1356">
          <cell r="B1356">
            <v>104</v>
          </cell>
        </row>
        <row r="1356">
          <cell r="I1356">
            <v>5.3</v>
          </cell>
        </row>
        <row r="1357">
          <cell r="B1357">
            <v>112</v>
          </cell>
        </row>
        <row r="1357">
          <cell r="I1357">
            <v>5.9</v>
          </cell>
        </row>
        <row r="1358">
          <cell r="B1358">
            <v>95</v>
          </cell>
        </row>
        <row r="1358">
          <cell r="I1358">
            <v>4.8</v>
          </cell>
        </row>
        <row r="1359">
          <cell r="B1359">
            <v>102</v>
          </cell>
        </row>
        <row r="1359">
          <cell r="I1359">
            <v>3.8</v>
          </cell>
        </row>
        <row r="1360">
          <cell r="B1360">
            <v>150</v>
          </cell>
        </row>
        <row r="1360">
          <cell r="I1360">
            <v>8.5</v>
          </cell>
        </row>
        <row r="1361">
          <cell r="B1361">
            <v>101</v>
          </cell>
        </row>
        <row r="1361">
          <cell r="I1361">
            <v>6.8</v>
          </cell>
        </row>
        <row r="1362">
          <cell r="B1362">
            <v>108</v>
          </cell>
        </row>
        <row r="1362">
          <cell r="I1362">
            <v>5.3</v>
          </cell>
        </row>
        <row r="1363">
          <cell r="B1363">
            <v>98</v>
          </cell>
        </row>
        <row r="1363">
          <cell r="I1363">
            <v>7.3</v>
          </cell>
        </row>
        <row r="1364">
          <cell r="B1364">
            <v>137</v>
          </cell>
        </row>
        <row r="1364">
          <cell r="I1364">
            <v>6.6</v>
          </cell>
        </row>
        <row r="1365">
          <cell r="B1365">
            <v>112</v>
          </cell>
        </row>
        <row r="1365">
          <cell r="I1365">
            <v>6.2</v>
          </cell>
        </row>
        <row r="1366">
          <cell r="B1366">
            <v>101</v>
          </cell>
        </row>
        <row r="1366">
          <cell r="I1366">
            <v>5.2</v>
          </cell>
        </row>
        <row r="1367">
          <cell r="B1367">
            <v>103</v>
          </cell>
        </row>
        <row r="1367">
          <cell r="I1367">
            <v>6.2</v>
          </cell>
        </row>
        <row r="1368">
          <cell r="B1368">
            <v>101</v>
          </cell>
        </row>
        <row r="1368">
          <cell r="I1368">
            <v>6.2</v>
          </cell>
        </row>
        <row r="1369">
          <cell r="B1369">
            <v>112</v>
          </cell>
        </row>
        <row r="1369">
          <cell r="I1369">
            <v>6.6</v>
          </cell>
        </row>
        <row r="1370">
          <cell r="B1370">
            <v>102</v>
          </cell>
        </row>
        <row r="1370">
          <cell r="I1370">
            <v>6.2</v>
          </cell>
        </row>
        <row r="1371">
          <cell r="B1371">
            <v>101</v>
          </cell>
        </row>
        <row r="1371">
          <cell r="I1371">
            <v>5.1</v>
          </cell>
        </row>
        <row r="1372">
          <cell r="B1372">
            <v>155</v>
          </cell>
        </row>
        <row r="1372">
          <cell r="I1372">
            <v>6.6</v>
          </cell>
        </row>
        <row r="1373">
          <cell r="B1373">
            <v>109</v>
          </cell>
        </row>
        <row r="1373">
          <cell r="I1373">
            <v>6.1</v>
          </cell>
        </row>
        <row r="1374">
          <cell r="B1374">
            <v>140</v>
          </cell>
        </row>
        <row r="1374">
          <cell r="I1374">
            <v>6.6</v>
          </cell>
        </row>
        <row r="1375">
          <cell r="B1375">
            <v>108</v>
          </cell>
        </row>
        <row r="1375">
          <cell r="I1375">
            <v>5.9</v>
          </cell>
        </row>
        <row r="1376">
          <cell r="B1376">
            <v>96</v>
          </cell>
        </row>
        <row r="1376">
          <cell r="I1376">
            <v>6.3</v>
          </cell>
        </row>
        <row r="1377">
          <cell r="B1377">
            <v>123</v>
          </cell>
        </row>
        <row r="1377">
          <cell r="I1377">
            <v>7.1</v>
          </cell>
        </row>
        <row r="1378">
          <cell r="B1378">
            <v>106</v>
          </cell>
        </row>
        <row r="1378">
          <cell r="I1378">
            <v>5</v>
          </cell>
        </row>
        <row r="1379">
          <cell r="B1379">
            <v>76</v>
          </cell>
        </row>
        <row r="1379">
          <cell r="I1379">
            <v>5.6</v>
          </cell>
        </row>
        <row r="1380">
          <cell r="B1380">
            <v>107</v>
          </cell>
        </row>
        <row r="1380">
          <cell r="I1380">
            <v>7.4</v>
          </cell>
        </row>
        <row r="1381">
          <cell r="B1381">
            <v>82</v>
          </cell>
        </row>
        <row r="1381">
          <cell r="I1381">
            <v>4.5</v>
          </cell>
        </row>
        <row r="1382">
          <cell r="B1382">
            <v>109</v>
          </cell>
        </row>
        <row r="1382">
          <cell r="I1382">
            <v>6.2</v>
          </cell>
        </row>
        <row r="1383">
          <cell r="B1383">
            <v>99</v>
          </cell>
        </row>
        <row r="1383">
          <cell r="I1383">
            <v>5</v>
          </cell>
        </row>
        <row r="1384">
          <cell r="B1384">
            <v>91</v>
          </cell>
        </row>
        <row r="1384">
          <cell r="I1384">
            <v>6.5</v>
          </cell>
        </row>
        <row r="1385">
          <cell r="B1385">
            <v>87</v>
          </cell>
        </row>
        <row r="1385">
          <cell r="I1385">
            <v>5.1</v>
          </cell>
        </row>
        <row r="1386">
          <cell r="B1386">
            <v>125</v>
          </cell>
        </row>
        <row r="1386">
          <cell r="I1386">
            <v>6.5</v>
          </cell>
        </row>
        <row r="1387">
          <cell r="B1387">
            <v>118</v>
          </cell>
        </row>
        <row r="1387">
          <cell r="I1387">
            <v>6.2</v>
          </cell>
        </row>
        <row r="1388">
          <cell r="B1388">
            <v>98</v>
          </cell>
        </row>
        <row r="1388">
          <cell r="I1388">
            <v>6.3</v>
          </cell>
        </row>
        <row r="1389">
          <cell r="B1389">
            <v>92</v>
          </cell>
        </row>
        <row r="1389">
          <cell r="I1389">
            <v>3.8</v>
          </cell>
        </row>
        <row r="1390">
          <cell r="B1390">
            <v>92</v>
          </cell>
        </row>
        <row r="1390">
          <cell r="I1390">
            <v>6.2</v>
          </cell>
        </row>
        <row r="1391">
          <cell r="B1391">
            <v>115</v>
          </cell>
        </row>
        <row r="1391">
          <cell r="I1391">
            <v>5.7</v>
          </cell>
        </row>
        <row r="1392">
          <cell r="B1392">
            <v>120</v>
          </cell>
        </row>
        <row r="1392">
          <cell r="I1392">
            <v>6.7</v>
          </cell>
        </row>
        <row r="1393">
          <cell r="B1393">
            <v>111</v>
          </cell>
        </row>
        <row r="1393">
          <cell r="I1393">
            <v>6.8</v>
          </cell>
        </row>
        <row r="1394">
          <cell r="B1394">
            <v>94</v>
          </cell>
        </row>
        <row r="1394">
          <cell r="I1394">
            <v>6</v>
          </cell>
        </row>
        <row r="1395">
          <cell r="B1395">
            <v>100</v>
          </cell>
        </row>
        <row r="1395">
          <cell r="I1395">
            <v>7.3</v>
          </cell>
        </row>
        <row r="1396">
          <cell r="B1396">
            <v>101</v>
          </cell>
        </row>
        <row r="1396">
          <cell r="I1396">
            <v>5.5</v>
          </cell>
        </row>
        <row r="1397">
          <cell r="B1397">
            <v>139</v>
          </cell>
        </row>
        <row r="1397">
          <cell r="I1397">
            <v>6.7</v>
          </cell>
        </row>
        <row r="1398">
          <cell r="B1398">
            <v>91</v>
          </cell>
        </row>
        <row r="1398">
          <cell r="I1398">
            <v>4.8</v>
          </cell>
        </row>
        <row r="1399">
          <cell r="B1399">
            <v>109</v>
          </cell>
        </row>
        <row r="1399">
          <cell r="I1399">
            <v>5.7</v>
          </cell>
        </row>
        <row r="1400">
          <cell r="B1400">
            <v>102</v>
          </cell>
        </row>
        <row r="1400">
          <cell r="I1400">
            <v>5.1</v>
          </cell>
        </row>
        <row r="1401">
          <cell r="B1401">
            <v>103</v>
          </cell>
        </row>
        <row r="1401">
          <cell r="I1401">
            <v>6</v>
          </cell>
        </row>
        <row r="1402">
          <cell r="B1402">
            <v>83</v>
          </cell>
        </row>
        <row r="1402">
          <cell r="I1402">
            <v>4.2</v>
          </cell>
        </row>
        <row r="1403">
          <cell r="B1403">
            <v>123</v>
          </cell>
        </row>
        <row r="1403">
          <cell r="I1403">
            <v>7.4</v>
          </cell>
        </row>
        <row r="1404">
          <cell r="B1404">
            <v>101</v>
          </cell>
        </row>
        <row r="1404">
          <cell r="I1404">
            <v>4.6</v>
          </cell>
        </row>
        <row r="1405">
          <cell r="B1405">
            <v>117</v>
          </cell>
        </row>
        <row r="1405">
          <cell r="I1405">
            <v>6.9</v>
          </cell>
        </row>
        <row r="1406">
          <cell r="B1406">
            <v>114</v>
          </cell>
        </row>
        <row r="1406">
          <cell r="I1406">
            <v>6.9</v>
          </cell>
        </row>
        <row r="1407">
          <cell r="B1407">
            <v>330</v>
          </cell>
        </row>
        <row r="1407">
          <cell r="I1407">
            <v>8</v>
          </cell>
        </row>
        <row r="1408">
          <cell r="B1408">
            <v>121</v>
          </cell>
        </row>
        <row r="1408">
          <cell r="I1408">
            <v>6.4</v>
          </cell>
        </row>
        <row r="1409">
          <cell r="B1409">
            <v>114</v>
          </cell>
        </row>
        <row r="1409">
          <cell r="I1409">
            <v>6.3</v>
          </cell>
        </row>
        <row r="1410">
          <cell r="B1410">
            <v>148</v>
          </cell>
        </row>
        <row r="1410">
          <cell r="I1410">
            <v>6.8</v>
          </cell>
        </row>
        <row r="1411">
          <cell r="B1411">
            <v>113</v>
          </cell>
        </row>
        <row r="1411">
          <cell r="I1411">
            <v>6.8</v>
          </cell>
        </row>
        <row r="1412">
          <cell r="B1412">
            <v>91</v>
          </cell>
        </row>
        <row r="1412">
          <cell r="I1412">
            <v>5.4</v>
          </cell>
        </row>
        <row r="1413">
          <cell r="B1413">
            <v>139</v>
          </cell>
        </row>
        <row r="1413">
          <cell r="I1413">
            <v>7.2</v>
          </cell>
        </row>
        <row r="1414">
          <cell r="B1414">
            <v>96</v>
          </cell>
        </row>
        <row r="1414">
          <cell r="I1414">
            <v>7.3</v>
          </cell>
        </row>
        <row r="1415">
          <cell r="B1415">
            <v>102</v>
          </cell>
        </row>
        <row r="1415">
          <cell r="I1415">
            <v>5.2</v>
          </cell>
        </row>
        <row r="1416">
          <cell r="B1416">
            <v>96</v>
          </cell>
        </row>
        <row r="1416">
          <cell r="I1416">
            <v>5.5</v>
          </cell>
        </row>
        <row r="1417">
          <cell r="B1417">
            <v>101</v>
          </cell>
        </row>
        <row r="1417">
          <cell r="I1417">
            <v>7.7</v>
          </cell>
        </row>
        <row r="1418">
          <cell r="B1418">
            <v>128</v>
          </cell>
        </row>
        <row r="1418">
          <cell r="I1418">
            <v>7.1</v>
          </cell>
        </row>
        <row r="1419">
          <cell r="B1419">
            <v>109</v>
          </cell>
        </row>
        <row r="1419">
          <cell r="I1419">
            <v>5.3</v>
          </cell>
        </row>
        <row r="1420">
          <cell r="B1420">
            <v>114</v>
          </cell>
        </row>
        <row r="1420">
          <cell r="I1420">
            <v>5.6</v>
          </cell>
        </row>
        <row r="1421">
          <cell r="B1421">
            <v>105</v>
          </cell>
        </row>
        <row r="1421">
          <cell r="I1421">
            <v>5.7</v>
          </cell>
        </row>
        <row r="1422">
          <cell r="B1422">
            <v>141</v>
          </cell>
        </row>
        <row r="1422">
          <cell r="I1422">
            <v>7.1</v>
          </cell>
        </row>
        <row r="1423">
          <cell r="B1423">
            <v>138</v>
          </cell>
        </row>
        <row r="1423">
          <cell r="I1423">
            <v>7.6</v>
          </cell>
        </row>
        <row r="1424">
          <cell r="B1424">
            <v>101</v>
          </cell>
        </row>
        <row r="1424">
          <cell r="I1424">
            <v>5.5</v>
          </cell>
        </row>
        <row r="1425">
          <cell r="B1425">
            <v>99</v>
          </cell>
        </row>
        <row r="1425">
          <cell r="I1425">
            <v>5.1</v>
          </cell>
        </row>
        <row r="1426">
          <cell r="B1426">
            <v>85</v>
          </cell>
        </row>
        <row r="1426">
          <cell r="I1426">
            <v>6.3</v>
          </cell>
        </row>
        <row r="1427">
          <cell r="B1427">
            <v>89</v>
          </cell>
        </row>
        <row r="1427">
          <cell r="I1427">
            <v>4.9</v>
          </cell>
        </row>
        <row r="1428">
          <cell r="B1428">
            <v>99</v>
          </cell>
        </row>
        <row r="1428">
          <cell r="I1428">
            <v>6.5</v>
          </cell>
        </row>
        <row r="1429">
          <cell r="B1429">
            <v>105</v>
          </cell>
        </row>
        <row r="1429">
          <cell r="I1429">
            <v>5.6</v>
          </cell>
        </row>
        <row r="1430">
          <cell r="B1430">
            <v>97</v>
          </cell>
        </row>
        <row r="1430">
          <cell r="I1430">
            <v>5.3</v>
          </cell>
        </row>
        <row r="1431">
          <cell r="B1431">
            <v>140</v>
          </cell>
        </row>
        <row r="1431">
          <cell r="I1431">
            <v>6.5</v>
          </cell>
        </row>
        <row r="1432">
          <cell r="B1432">
            <v>118</v>
          </cell>
        </row>
        <row r="1432">
          <cell r="I1432">
            <v>6.8</v>
          </cell>
        </row>
        <row r="1433">
          <cell r="B1433">
            <v>94</v>
          </cell>
        </row>
        <row r="1433">
          <cell r="I1433">
            <v>6.5</v>
          </cell>
        </row>
        <row r="1434">
          <cell r="B1434">
            <v>124</v>
          </cell>
        </row>
        <row r="1434">
          <cell r="I1434">
            <v>6</v>
          </cell>
        </row>
        <row r="1435">
          <cell r="B1435">
            <v>134</v>
          </cell>
        </row>
        <row r="1435">
          <cell r="I1435">
            <v>8.4</v>
          </cell>
        </row>
        <row r="1436">
          <cell r="B1436">
            <v>113</v>
          </cell>
        </row>
        <row r="1436">
          <cell r="I1436">
            <v>6</v>
          </cell>
        </row>
        <row r="1437">
          <cell r="B1437">
            <v>124</v>
          </cell>
        </row>
        <row r="1437">
          <cell r="I1437">
            <v>7.6</v>
          </cell>
        </row>
        <row r="1438">
          <cell r="B1438">
            <v>97</v>
          </cell>
        </row>
        <row r="1438">
          <cell r="I1438">
            <v>6.9</v>
          </cell>
        </row>
        <row r="1439">
          <cell r="B1439">
            <v>123</v>
          </cell>
        </row>
        <row r="1439">
          <cell r="I1439">
            <v>6.4</v>
          </cell>
        </row>
        <row r="1440">
          <cell r="B1440">
            <v>99</v>
          </cell>
        </row>
        <row r="1440">
          <cell r="I1440">
            <v>5.1</v>
          </cell>
        </row>
        <row r="1441">
          <cell r="B1441">
            <v>101</v>
          </cell>
        </row>
        <row r="1441">
          <cell r="I1441">
            <v>7</v>
          </cell>
        </row>
        <row r="1442">
          <cell r="B1442">
            <v>92</v>
          </cell>
        </row>
        <row r="1442">
          <cell r="I1442">
            <v>5.7</v>
          </cell>
        </row>
        <row r="1443">
          <cell r="B1443">
            <v>131</v>
          </cell>
        </row>
        <row r="1443">
          <cell r="I1443">
            <v>6.8</v>
          </cell>
        </row>
        <row r="1444">
          <cell r="B1444">
            <v>107</v>
          </cell>
        </row>
        <row r="1444">
          <cell r="I1444">
            <v>6.7</v>
          </cell>
        </row>
        <row r="1445">
          <cell r="B1445">
            <v>103</v>
          </cell>
        </row>
        <row r="1445">
          <cell r="I1445">
            <v>6.2</v>
          </cell>
        </row>
        <row r="1446">
          <cell r="B1446">
            <v>129</v>
          </cell>
        </row>
        <row r="1446">
          <cell r="I1446">
            <v>7.2</v>
          </cell>
        </row>
        <row r="1447">
          <cell r="B1447">
            <v>107</v>
          </cell>
        </row>
        <row r="1447">
          <cell r="I1447">
            <v>6.2</v>
          </cell>
        </row>
        <row r="1448">
          <cell r="B1448">
            <v>89</v>
          </cell>
        </row>
        <row r="1448">
          <cell r="I1448">
            <v>5.6</v>
          </cell>
        </row>
        <row r="1449">
          <cell r="B1449">
            <v>113</v>
          </cell>
        </row>
        <row r="1449">
          <cell r="I1449">
            <v>4.4</v>
          </cell>
        </row>
        <row r="1450">
          <cell r="B1450">
            <v>93</v>
          </cell>
        </row>
        <row r="1450">
          <cell r="I1450">
            <v>7.5</v>
          </cell>
        </row>
        <row r="1451">
          <cell r="B1451">
            <v>120</v>
          </cell>
        </row>
        <row r="1451">
          <cell r="I1451">
            <v>7.1</v>
          </cell>
        </row>
        <row r="1452">
          <cell r="B1452">
            <v>98</v>
          </cell>
        </row>
        <row r="1452">
          <cell r="I1452">
            <v>6.4</v>
          </cell>
        </row>
        <row r="1453">
          <cell r="B1453">
            <v>105</v>
          </cell>
        </row>
        <row r="1453">
          <cell r="I1453">
            <v>7.1</v>
          </cell>
        </row>
        <row r="1454">
          <cell r="B1454">
            <v>98</v>
          </cell>
        </row>
        <row r="1454">
          <cell r="I1454">
            <v>6.9</v>
          </cell>
        </row>
        <row r="1455">
          <cell r="B1455">
            <v>96</v>
          </cell>
        </row>
        <row r="1455">
          <cell r="I1455">
            <v>7.5</v>
          </cell>
        </row>
        <row r="1456">
          <cell r="B1456">
            <v>87</v>
          </cell>
        </row>
        <row r="1456">
          <cell r="I1456">
            <v>6.3</v>
          </cell>
        </row>
        <row r="1457">
          <cell r="B1457">
            <v>107</v>
          </cell>
        </row>
        <row r="1457">
          <cell r="I1457">
            <v>6.4</v>
          </cell>
        </row>
        <row r="1458">
          <cell r="B1458">
            <v>90</v>
          </cell>
        </row>
        <row r="1458">
          <cell r="I1458">
            <v>5.9</v>
          </cell>
        </row>
        <row r="1459">
          <cell r="B1459">
            <v>121</v>
          </cell>
        </row>
        <row r="1459">
          <cell r="I1459">
            <v>6.8</v>
          </cell>
        </row>
        <row r="1460">
          <cell r="B1460">
            <v>119</v>
          </cell>
        </row>
        <row r="1460">
          <cell r="I1460">
            <v>6.3</v>
          </cell>
        </row>
        <row r="1461">
          <cell r="B1461">
            <v>107</v>
          </cell>
        </row>
        <row r="1461">
          <cell r="I1461">
            <v>3.6</v>
          </cell>
        </row>
        <row r="1462">
          <cell r="B1462">
            <v>110</v>
          </cell>
        </row>
        <row r="1462">
          <cell r="I1462">
            <v>5.3</v>
          </cell>
        </row>
        <row r="1463">
          <cell r="B1463">
            <v>100</v>
          </cell>
        </row>
        <row r="1463">
          <cell r="I1463">
            <v>5.9</v>
          </cell>
        </row>
        <row r="1464">
          <cell r="B1464">
            <v>75</v>
          </cell>
        </row>
        <row r="1464">
          <cell r="I1464">
            <v>6.9</v>
          </cell>
        </row>
        <row r="1465">
          <cell r="B1465">
            <v>132</v>
          </cell>
        </row>
        <row r="1465">
          <cell r="I1465">
            <v>6.9</v>
          </cell>
        </row>
        <row r="1466">
          <cell r="B1466">
            <v>105</v>
          </cell>
        </row>
        <row r="1466">
          <cell r="I1466">
            <v>6.1</v>
          </cell>
        </row>
        <row r="1467">
          <cell r="B1467">
            <v>289</v>
          </cell>
        </row>
        <row r="1467">
          <cell r="I1467">
            <v>8.5</v>
          </cell>
        </row>
        <row r="1468">
          <cell r="B1468">
            <v>102</v>
          </cell>
        </row>
        <row r="1468">
          <cell r="I1468">
            <v>6.3</v>
          </cell>
        </row>
        <row r="1469">
          <cell r="B1469">
            <v>143</v>
          </cell>
        </row>
        <row r="1469">
          <cell r="I1469">
            <v>7.3</v>
          </cell>
        </row>
        <row r="1470">
          <cell r="B1470">
            <v>113</v>
          </cell>
        </row>
        <row r="1470">
          <cell r="I1470">
            <v>6.3</v>
          </cell>
        </row>
        <row r="1471">
          <cell r="B1471">
            <v>161</v>
          </cell>
        </row>
        <row r="1471">
          <cell r="I1471">
            <v>7.2</v>
          </cell>
        </row>
        <row r="1472">
          <cell r="B1472">
            <v>138</v>
          </cell>
        </row>
        <row r="1472">
          <cell r="I1472">
            <v>7.3</v>
          </cell>
        </row>
        <row r="1473">
          <cell r="B1473">
            <v>126</v>
          </cell>
        </row>
        <row r="1473">
          <cell r="I1473">
            <v>6.3</v>
          </cell>
        </row>
        <row r="1474">
          <cell r="B1474">
            <v>99</v>
          </cell>
        </row>
        <row r="1474">
          <cell r="I1474">
            <v>8.1</v>
          </cell>
        </row>
        <row r="1475">
          <cell r="B1475">
            <v>101</v>
          </cell>
        </row>
        <row r="1475">
          <cell r="I1475">
            <v>6.9</v>
          </cell>
        </row>
        <row r="1476">
          <cell r="B1476">
            <v>103</v>
          </cell>
        </row>
        <row r="1476">
          <cell r="I1476">
            <v>6.3</v>
          </cell>
        </row>
        <row r="1477">
          <cell r="B1477">
            <v>118</v>
          </cell>
        </row>
        <row r="1477">
          <cell r="I1477">
            <v>7.3</v>
          </cell>
        </row>
        <row r="1478">
          <cell r="B1478">
            <v>99</v>
          </cell>
        </row>
        <row r="1478">
          <cell r="I1478">
            <v>6.1</v>
          </cell>
        </row>
        <row r="1479">
          <cell r="B1479">
            <v>105</v>
          </cell>
        </row>
        <row r="1479">
          <cell r="I1479">
            <v>6.9</v>
          </cell>
        </row>
        <row r="1480">
          <cell r="B1480">
            <v>113</v>
          </cell>
        </row>
        <row r="1480">
          <cell r="I1480">
            <v>7.2</v>
          </cell>
        </row>
        <row r="1481">
          <cell r="B1481">
            <v>93</v>
          </cell>
        </row>
        <row r="1481">
          <cell r="I1481">
            <v>6.4</v>
          </cell>
        </row>
        <row r="1482">
          <cell r="B1482">
            <v>108</v>
          </cell>
        </row>
        <row r="1482">
          <cell r="I1482">
            <v>6.4</v>
          </cell>
        </row>
        <row r="1483">
          <cell r="B1483">
            <v>74</v>
          </cell>
        </row>
        <row r="1483">
          <cell r="I1483">
            <v>8.3</v>
          </cell>
        </row>
        <row r="1484">
          <cell r="B1484">
            <v>116</v>
          </cell>
        </row>
        <row r="1484">
          <cell r="I1484">
            <v>7.2</v>
          </cell>
        </row>
        <row r="1485">
          <cell r="B1485">
            <v>104</v>
          </cell>
        </row>
        <row r="1485">
          <cell r="I1485">
            <v>6.8</v>
          </cell>
        </row>
        <row r="1486">
          <cell r="B1486">
            <v>106</v>
          </cell>
        </row>
        <row r="1486">
          <cell r="I1486">
            <v>6.5</v>
          </cell>
        </row>
        <row r="1487">
          <cell r="B1487">
            <v>120</v>
          </cell>
        </row>
        <row r="1487">
          <cell r="I1487">
            <v>7.8</v>
          </cell>
        </row>
        <row r="1488">
          <cell r="B1488">
            <v>135</v>
          </cell>
        </row>
        <row r="1488">
          <cell r="I1488">
            <v>7.6</v>
          </cell>
        </row>
        <row r="1489">
          <cell r="B1489">
            <v>132</v>
          </cell>
        </row>
        <row r="1489">
          <cell r="I1489">
            <v>7.2</v>
          </cell>
        </row>
        <row r="1490">
          <cell r="B1490">
            <v>92</v>
          </cell>
        </row>
        <row r="1490">
          <cell r="I1490">
            <v>6.7</v>
          </cell>
        </row>
        <row r="1491">
          <cell r="B1491">
            <v>99</v>
          </cell>
        </row>
        <row r="1491">
          <cell r="I1491">
            <v>6.8</v>
          </cell>
        </row>
        <row r="1492">
          <cell r="B1492">
            <v>90</v>
          </cell>
        </row>
        <row r="1492">
          <cell r="I1492">
            <v>6.3</v>
          </cell>
        </row>
        <row r="1493">
          <cell r="B1493">
            <v>111</v>
          </cell>
        </row>
        <row r="1493">
          <cell r="I1493">
            <v>6.2</v>
          </cell>
        </row>
        <row r="1494">
          <cell r="B1494">
            <v>103</v>
          </cell>
        </row>
        <row r="1494">
          <cell r="I1494">
            <v>6.2</v>
          </cell>
        </row>
        <row r="1495">
          <cell r="B1495">
            <v>127</v>
          </cell>
        </row>
        <row r="1495">
          <cell r="I1495">
            <v>8.6</v>
          </cell>
        </row>
        <row r="1496">
          <cell r="B1496">
            <v>112</v>
          </cell>
        </row>
        <row r="1496">
          <cell r="I1496">
            <v>8</v>
          </cell>
        </row>
        <row r="1497">
          <cell r="B1497">
            <v>87</v>
          </cell>
        </row>
        <row r="1497">
          <cell r="I1497">
            <v>7</v>
          </cell>
        </row>
        <row r="1498">
          <cell r="B1498">
            <v>138</v>
          </cell>
        </row>
        <row r="1498">
          <cell r="I1498">
            <v>8</v>
          </cell>
        </row>
        <row r="1499">
          <cell r="B1499">
            <v>132</v>
          </cell>
        </row>
        <row r="1499">
          <cell r="I1499">
            <v>8.1</v>
          </cell>
        </row>
        <row r="1500">
          <cell r="B1500">
            <v>103</v>
          </cell>
        </row>
        <row r="1500">
          <cell r="I1500">
            <v>6.7</v>
          </cell>
        </row>
        <row r="1501">
          <cell r="B1501">
            <v>123</v>
          </cell>
        </row>
        <row r="1501">
          <cell r="I1501">
            <v>7.9</v>
          </cell>
        </row>
        <row r="1502">
          <cell r="B1502">
            <v>111</v>
          </cell>
        </row>
        <row r="1502">
          <cell r="I1502">
            <v>6.1</v>
          </cell>
        </row>
        <row r="1503">
          <cell r="B1503">
            <v>102</v>
          </cell>
        </row>
        <row r="1503">
          <cell r="I1503">
            <v>4.2</v>
          </cell>
        </row>
        <row r="1504">
          <cell r="B1504">
            <v>78</v>
          </cell>
        </row>
        <row r="1504">
          <cell r="I1504">
            <v>6.1</v>
          </cell>
        </row>
        <row r="1505">
          <cell r="B1505">
            <v>132</v>
          </cell>
        </row>
        <row r="1505">
          <cell r="I1505">
            <v>6.6</v>
          </cell>
        </row>
        <row r="1506">
          <cell r="B1506">
            <v>133</v>
          </cell>
        </row>
        <row r="1506">
          <cell r="I1506">
            <v>7.5</v>
          </cell>
        </row>
        <row r="1507">
          <cell r="B1507">
            <v>108</v>
          </cell>
        </row>
        <row r="1507">
          <cell r="I1507">
            <v>7.4</v>
          </cell>
        </row>
        <row r="1508">
          <cell r="B1508">
            <v>125</v>
          </cell>
        </row>
        <row r="1508">
          <cell r="I1508">
            <v>7.2</v>
          </cell>
        </row>
        <row r="1509">
          <cell r="B1509">
            <v>98</v>
          </cell>
        </row>
        <row r="1509">
          <cell r="I1509">
            <v>6.9</v>
          </cell>
        </row>
        <row r="1510">
          <cell r="B1510">
            <v>119</v>
          </cell>
        </row>
        <row r="1510">
          <cell r="I1510">
            <v>7.4</v>
          </cell>
        </row>
        <row r="1511">
          <cell r="B1511">
            <v>87</v>
          </cell>
        </row>
        <row r="1511">
          <cell r="I1511">
            <v>5.4</v>
          </cell>
        </row>
        <row r="1512">
          <cell r="B1512">
            <v>91</v>
          </cell>
        </row>
        <row r="1512">
          <cell r="I1512">
            <v>6.8</v>
          </cell>
        </row>
        <row r="1513">
          <cell r="B1513">
            <v>100</v>
          </cell>
        </row>
        <row r="1513">
          <cell r="I1513">
            <v>6.3</v>
          </cell>
        </row>
        <row r="1514">
          <cell r="B1514">
            <v>118</v>
          </cell>
        </row>
        <row r="1514">
          <cell r="I1514">
            <v>7.2</v>
          </cell>
        </row>
        <row r="1515">
          <cell r="B1515">
            <v>109</v>
          </cell>
        </row>
        <row r="1515">
          <cell r="I1515">
            <v>6.9</v>
          </cell>
        </row>
        <row r="1516">
          <cell r="B1516">
            <v>99</v>
          </cell>
        </row>
        <row r="1516">
          <cell r="I1516">
            <v>6</v>
          </cell>
        </row>
        <row r="1517">
          <cell r="B1517">
            <v>114</v>
          </cell>
        </row>
        <row r="1517">
          <cell r="I1517">
            <v>5.9</v>
          </cell>
        </row>
        <row r="1518">
          <cell r="B1518">
            <v>89</v>
          </cell>
        </row>
        <row r="1518">
          <cell r="I1518">
            <v>5.4</v>
          </cell>
        </row>
        <row r="1519">
          <cell r="B1519">
            <v>95</v>
          </cell>
        </row>
        <row r="1519">
          <cell r="I1519">
            <v>5.9</v>
          </cell>
        </row>
        <row r="1520">
          <cell r="B1520">
            <v>98</v>
          </cell>
        </row>
        <row r="1520">
          <cell r="I1520">
            <v>6.1</v>
          </cell>
        </row>
        <row r="1521">
          <cell r="B1521">
            <v>94</v>
          </cell>
        </row>
        <row r="1521">
          <cell r="I1521">
            <v>7.7</v>
          </cell>
        </row>
        <row r="1522">
          <cell r="B1522">
            <v>85</v>
          </cell>
        </row>
        <row r="1522">
          <cell r="I1522">
            <v>5.8</v>
          </cell>
        </row>
        <row r="1523">
          <cell r="B1523">
            <v>124</v>
          </cell>
        </row>
        <row r="1523">
          <cell r="I1523">
            <v>7.6</v>
          </cell>
        </row>
        <row r="1524">
          <cell r="B1524">
            <v>131</v>
          </cell>
        </row>
        <row r="1524">
          <cell r="I1524">
            <v>6.1</v>
          </cell>
        </row>
        <row r="1525">
          <cell r="B1525">
            <v>107</v>
          </cell>
        </row>
        <row r="1525">
          <cell r="I1525">
            <v>5.4</v>
          </cell>
        </row>
        <row r="1526">
          <cell r="B1526">
            <v>99</v>
          </cell>
        </row>
        <row r="1526">
          <cell r="I1526">
            <v>5.1</v>
          </cell>
        </row>
        <row r="1527">
          <cell r="B1527">
            <v>83</v>
          </cell>
        </row>
        <row r="1527">
          <cell r="I1527">
            <v>6.4</v>
          </cell>
        </row>
        <row r="1528">
          <cell r="B1528">
            <v>131</v>
          </cell>
        </row>
        <row r="1528">
          <cell r="I1528">
            <v>6.3</v>
          </cell>
        </row>
        <row r="1529">
          <cell r="B1529">
            <v>85</v>
          </cell>
        </row>
        <row r="1529">
          <cell r="I1529">
            <v>7.5</v>
          </cell>
        </row>
        <row r="1530">
          <cell r="B1530">
            <v>126</v>
          </cell>
        </row>
        <row r="1530">
          <cell r="I1530">
            <v>7.1</v>
          </cell>
        </row>
        <row r="1531">
          <cell r="B1531">
            <v>123</v>
          </cell>
        </row>
        <row r="1531">
          <cell r="I1531">
            <v>7.8</v>
          </cell>
        </row>
        <row r="1532">
          <cell r="B1532">
            <v>105</v>
          </cell>
        </row>
        <row r="1532">
          <cell r="I1532">
            <v>6.5</v>
          </cell>
        </row>
        <row r="1533">
          <cell r="B1533">
            <v>125</v>
          </cell>
        </row>
        <row r="1533">
          <cell r="I1533">
            <v>6.6</v>
          </cell>
        </row>
        <row r="1534">
          <cell r="B1534">
            <v>77</v>
          </cell>
        </row>
        <row r="1534">
          <cell r="I1534">
            <v>7.4</v>
          </cell>
        </row>
        <row r="1535">
          <cell r="B1535">
            <v>121</v>
          </cell>
        </row>
        <row r="1535">
          <cell r="I1535">
            <v>7.6</v>
          </cell>
        </row>
        <row r="1536">
          <cell r="B1536">
            <v>124</v>
          </cell>
        </row>
        <row r="1536">
          <cell r="I1536">
            <v>7.5</v>
          </cell>
        </row>
        <row r="1537">
          <cell r="B1537">
            <v>99</v>
          </cell>
        </row>
        <row r="1537">
          <cell r="I1537">
            <v>6.6</v>
          </cell>
        </row>
        <row r="1538">
          <cell r="B1538">
            <v>112</v>
          </cell>
        </row>
        <row r="1538">
          <cell r="I1538">
            <v>7.2</v>
          </cell>
        </row>
        <row r="1539">
          <cell r="B1539">
            <v>111</v>
          </cell>
        </row>
        <row r="1539">
          <cell r="I1539">
            <v>7.6</v>
          </cell>
        </row>
        <row r="1540">
          <cell r="B1540">
            <v>107</v>
          </cell>
        </row>
        <row r="1540">
          <cell r="I1540">
            <v>6.2</v>
          </cell>
        </row>
        <row r="1541">
          <cell r="B1541">
            <v>104</v>
          </cell>
        </row>
        <row r="1541">
          <cell r="I1541">
            <v>5.6</v>
          </cell>
        </row>
        <row r="1542">
          <cell r="B1542">
            <v>113</v>
          </cell>
        </row>
        <row r="1542">
          <cell r="I1542">
            <v>7.6</v>
          </cell>
        </row>
        <row r="1543">
          <cell r="B1543">
            <v>113</v>
          </cell>
        </row>
        <row r="1543">
          <cell r="I1543">
            <v>6.6</v>
          </cell>
        </row>
        <row r="1544">
          <cell r="B1544">
            <v>95</v>
          </cell>
        </row>
        <row r="1544">
          <cell r="I1544">
            <v>7</v>
          </cell>
        </row>
        <row r="1545">
          <cell r="B1545">
            <v>86</v>
          </cell>
        </row>
        <row r="1545">
          <cell r="I1545">
            <v>2.7</v>
          </cell>
        </row>
        <row r="1546">
          <cell r="B1546">
            <v>126</v>
          </cell>
        </row>
        <row r="1546">
          <cell r="I1546">
            <v>7.6</v>
          </cell>
        </row>
        <row r="1547">
          <cell r="B1547">
            <v>101</v>
          </cell>
        </row>
        <row r="1547">
          <cell r="I1547">
            <v>6.6</v>
          </cell>
        </row>
        <row r="1548">
          <cell r="B1548">
            <v>102</v>
          </cell>
        </row>
        <row r="1548">
          <cell r="I1548">
            <v>6.9</v>
          </cell>
        </row>
        <row r="1549">
          <cell r="B1549">
            <v>111</v>
          </cell>
        </row>
        <row r="1549">
          <cell r="I1549">
            <v>6.8</v>
          </cell>
        </row>
        <row r="1550">
          <cell r="B1550">
            <v>95</v>
          </cell>
        </row>
        <row r="1550">
          <cell r="I1550">
            <v>3.7</v>
          </cell>
        </row>
        <row r="1551">
          <cell r="B1551">
            <v>98</v>
          </cell>
        </row>
        <row r="1551">
          <cell r="I1551">
            <v>6.1</v>
          </cell>
        </row>
        <row r="1552">
          <cell r="B1552">
            <v>100</v>
          </cell>
        </row>
        <row r="1552">
          <cell r="I1552">
            <v>5.9</v>
          </cell>
        </row>
        <row r="1553">
          <cell r="B1553">
            <v>118</v>
          </cell>
        </row>
        <row r="1553">
          <cell r="I1553">
            <v>6.7</v>
          </cell>
        </row>
        <row r="1554">
          <cell r="B1554">
            <v>125</v>
          </cell>
        </row>
        <row r="1554">
          <cell r="I1554">
            <v>6.9</v>
          </cell>
        </row>
        <row r="1555">
          <cell r="B1555">
            <v>94</v>
          </cell>
        </row>
        <row r="1555">
          <cell r="I1555">
            <v>5.5</v>
          </cell>
        </row>
        <row r="1556">
          <cell r="B1556">
            <v>79</v>
          </cell>
        </row>
        <row r="1556">
          <cell r="I1556">
            <v>7.1</v>
          </cell>
        </row>
        <row r="1557">
          <cell r="B1557">
            <v>106</v>
          </cell>
        </row>
        <row r="1557">
          <cell r="I1557">
            <v>7.1</v>
          </cell>
        </row>
        <row r="1558">
          <cell r="B1558">
            <v>63</v>
          </cell>
        </row>
        <row r="1558">
          <cell r="I1558">
            <v>7.3</v>
          </cell>
        </row>
        <row r="1559">
          <cell r="B1559">
            <v>85</v>
          </cell>
        </row>
        <row r="1559">
          <cell r="I1559">
            <v>3.4</v>
          </cell>
        </row>
        <row r="1560">
          <cell r="B1560">
            <v>108</v>
          </cell>
        </row>
        <row r="1560">
          <cell r="I1560">
            <v>6.8</v>
          </cell>
        </row>
        <row r="1561">
          <cell r="B1561">
            <v>139</v>
          </cell>
        </row>
        <row r="1561">
          <cell r="I1561">
            <v>6.9</v>
          </cell>
        </row>
        <row r="1562">
          <cell r="B1562">
            <v>127</v>
          </cell>
        </row>
        <row r="1562">
          <cell r="I1562">
            <v>7</v>
          </cell>
        </row>
        <row r="1563">
          <cell r="B1563">
            <v>106</v>
          </cell>
        </row>
        <row r="1563">
          <cell r="I1563">
            <v>5.5</v>
          </cell>
        </row>
        <row r="1564">
          <cell r="B1564">
            <v>95</v>
          </cell>
        </row>
        <row r="1564">
          <cell r="I1564">
            <v>5.1</v>
          </cell>
        </row>
        <row r="1565">
          <cell r="B1565">
            <v>118</v>
          </cell>
        </row>
        <row r="1565">
          <cell r="I1565">
            <v>6.2</v>
          </cell>
        </row>
        <row r="1566">
          <cell r="B1566">
            <v>108</v>
          </cell>
        </row>
        <row r="1566">
          <cell r="I1566">
            <v>5.9</v>
          </cell>
        </row>
        <row r="1567">
          <cell r="B1567">
            <v>105</v>
          </cell>
        </row>
        <row r="1567">
          <cell r="I1567">
            <v>5.2</v>
          </cell>
        </row>
        <row r="1568">
          <cell r="B1568">
            <v>131</v>
          </cell>
        </row>
        <row r="1568">
          <cell r="I1568">
            <v>6.2</v>
          </cell>
        </row>
        <row r="1569">
          <cell r="B1569">
            <v>104</v>
          </cell>
        </row>
        <row r="1569">
          <cell r="I1569">
            <v>5.5</v>
          </cell>
        </row>
        <row r="1570">
          <cell r="B1570">
            <v>133</v>
          </cell>
        </row>
        <row r="1570">
          <cell r="I1570">
            <v>7.4</v>
          </cell>
        </row>
        <row r="1571">
          <cell r="B1571">
            <v>94</v>
          </cell>
        </row>
        <row r="1571">
          <cell r="I1571">
            <v>4.4</v>
          </cell>
        </row>
        <row r="1572">
          <cell r="B1572">
            <v>109</v>
          </cell>
        </row>
        <row r="1572">
          <cell r="I1572">
            <v>6.3</v>
          </cell>
        </row>
        <row r="1573">
          <cell r="B1573">
            <v>96</v>
          </cell>
        </row>
        <row r="1573">
          <cell r="I1573">
            <v>6.1</v>
          </cell>
        </row>
        <row r="1574">
          <cell r="B1574">
            <v>105</v>
          </cell>
        </row>
        <row r="1574">
          <cell r="I1574">
            <v>5.3</v>
          </cell>
        </row>
        <row r="1575">
          <cell r="B1575">
            <v>99</v>
          </cell>
        </row>
        <row r="1575">
          <cell r="I1575">
            <v>5.4</v>
          </cell>
        </row>
        <row r="1576">
          <cell r="B1576">
            <v>112</v>
          </cell>
        </row>
        <row r="1576">
          <cell r="I1576">
            <v>6.7</v>
          </cell>
        </row>
        <row r="1577">
          <cell r="B1577">
            <v>108</v>
          </cell>
        </row>
        <row r="1577">
          <cell r="I1577">
            <v>5.9</v>
          </cell>
        </row>
        <row r="1578">
          <cell r="B1578">
            <v>126</v>
          </cell>
        </row>
        <row r="1578">
          <cell r="I1578">
            <v>7.3</v>
          </cell>
        </row>
        <row r="1579">
          <cell r="B1579">
            <v>98</v>
          </cell>
        </row>
        <row r="1579">
          <cell r="I1579">
            <v>5.5</v>
          </cell>
        </row>
        <row r="1580">
          <cell r="B1580">
            <v>104</v>
          </cell>
        </row>
        <row r="1580">
          <cell r="I1580">
            <v>5.8</v>
          </cell>
        </row>
        <row r="1581">
          <cell r="B1581">
            <v>110</v>
          </cell>
        </row>
        <row r="1581">
          <cell r="I1581">
            <v>4.6</v>
          </cell>
        </row>
        <row r="1582">
          <cell r="B1582">
            <v>130</v>
          </cell>
        </row>
        <row r="1582">
          <cell r="I1582">
            <v>6.7</v>
          </cell>
        </row>
        <row r="1583">
          <cell r="B1583">
            <v>93</v>
          </cell>
        </row>
        <row r="1583">
          <cell r="I1583">
            <v>5.1</v>
          </cell>
        </row>
        <row r="1584">
          <cell r="B1584">
            <v>96</v>
          </cell>
        </row>
        <row r="1584">
          <cell r="I1584">
            <v>5.6</v>
          </cell>
        </row>
        <row r="1585">
          <cell r="B1585">
            <v>114</v>
          </cell>
        </row>
        <row r="1585">
          <cell r="I1585">
            <v>7</v>
          </cell>
        </row>
        <row r="1586">
          <cell r="B1586">
            <v>106</v>
          </cell>
        </row>
        <row r="1586">
          <cell r="I1586">
            <v>6.4</v>
          </cell>
        </row>
        <row r="1587">
          <cell r="B1587">
            <v>150</v>
          </cell>
        </row>
        <row r="1587">
          <cell r="I1587">
            <v>6.7</v>
          </cell>
        </row>
        <row r="1588">
          <cell r="B1588">
            <v>100</v>
          </cell>
        </row>
        <row r="1588">
          <cell r="I1588">
            <v>4.1</v>
          </cell>
        </row>
        <row r="1589">
          <cell r="B1589">
            <v>100</v>
          </cell>
        </row>
        <row r="1589">
          <cell r="I1589">
            <v>5.5</v>
          </cell>
        </row>
        <row r="1590">
          <cell r="B1590">
            <v>100</v>
          </cell>
        </row>
        <row r="1590">
          <cell r="I1590">
            <v>2.7</v>
          </cell>
        </row>
        <row r="1591">
          <cell r="B1591">
            <v>107</v>
          </cell>
        </row>
        <row r="1591">
          <cell r="I1591">
            <v>6.4</v>
          </cell>
        </row>
        <row r="1592">
          <cell r="B1592">
            <v>102</v>
          </cell>
        </row>
        <row r="1592">
          <cell r="I1592">
            <v>4.8</v>
          </cell>
        </row>
        <row r="1593">
          <cell r="B1593">
            <v>101</v>
          </cell>
        </row>
        <row r="1593">
          <cell r="I1593">
            <v>6.1</v>
          </cell>
        </row>
        <row r="1594">
          <cell r="B1594">
            <v>86</v>
          </cell>
        </row>
        <row r="1594">
          <cell r="I1594">
            <v>4.8</v>
          </cell>
        </row>
        <row r="1595">
          <cell r="B1595">
            <v>108</v>
          </cell>
        </row>
        <row r="1595">
          <cell r="I1595">
            <v>7</v>
          </cell>
        </row>
        <row r="1596">
          <cell r="B1596">
            <v>123</v>
          </cell>
        </row>
        <row r="1596">
          <cell r="I1596">
            <v>6.8</v>
          </cell>
        </row>
        <row r="1597">
          <cell r="B1597">
            <v>88</v>
          </cell>
        </row>
        <row r="1597">
          <cell r="I1597">
            <v>5.6</v>
          </cell>
        </row>
        <row r="1598">
          <cell r="B1598">
            <v>109</v>
          </cell>
        </row>
        <row r="1598">
          <cell r="I1598">
            <v>6.1</v>
          </cell>
        </row>
        <row r="1599">
          <cell r="B1599">
            <v>122</v>
          </cell>
        </row>
        <row r="1599">
          <cell r="I1599">
            <v>7.9</v>
          </cell>
        </row>
        <row r="1600">
          <cell r="B1600">
            <v>251</v>
          </cell>
        </row>
        <row r="1600">
          <cell r="I1600">
            <v>8.4</v>
          </cell>
        </row>
        <row r="1601">
          <cell r="B1601">
            <v>118</v>
          </cell>
        </row>
        <row r="1601">
          <cell r="I1601">
            <v>6.5</v>
          </cell>
        </row>
        <row r="1602">
          <cell r="B1602">
            <v>131</v>
          </cell>
        </row>
        <row r="1602">
          <cell r="I1602">
            <v>7.1</v>
          </cell>
        </row>
        <row r="1603">
          <cell r="B1603">
            <v>109</v>
          </cell>
        </row>
        <row r="1603">
          <cell r="I1603">
            <v>6.6</v>
          </cell>
        </row>
        <row r="1604">
          <cell r="B1604">
            <v>88</v>
          </cell>
        </row>
        <row r="1604">
          <cell r="I1604">
            <v>7</v>
          </cell>
        </row>
        <row r="1605">
          <cell r="B1605">
            <v>103</v>
          </cell>
        </row>
        <row r="1605">
          <cell r="I1605">
            <v>5.6</v>
          </cell>
        </row>
        <row r="1606">
          <cell r="B1606">
            <v>87</v>
          </cell>
        </row>
        <row r="1606">
          <cell r="I1606">
            <v>4.8</v>
          </cell>
        </row>
        <row r="1607">
          <cell r="B1607">
            <v>160</v>
          </cell>
        </row>
        <row r="1607">
          <cell r="I1607">
            <v>7.5</v>
          </cell>
        </row>
        <row r="1608">
          <cell r="B1608">
            <v>121</v>
          </cell>
        </row>
        <row r="1608">
          <cell r="I1608">
            <v>6</v>
          </cell>
        </row>
        <row r="1609">
          <cell r="B1609">
            <v>129</v>
          </cell>
        </row>
        <row r="1609">
          <cell r="I1609">
            <v>6.8</v>
          </cell>
        </row>
        <row r="1610">
          <cell r="B1610">
            <v>115</v>
          </cell>
        </row>
        <row r="1610">
          <cell r="I1610">
            <v>6.5</v>
          </cell>
        </row>
        <row r="1611">
          <cell r="B1611">
            <v>153</v>
          </cell>
        </row>
        <row r="1611">
          <cell r="I1611">
            <v>7.9</v>
          </cell>
        </row>
        <row r="1612">
          <cell r="B1612">
            <v>128</v>
          </cell>
        </row>
        <row r="1612">
          <cell r="I1612">
            <v>6.4</v>
          </cell>
        </row>
        <row r="1613">
          <cell r="B1613">
            <v>89</v>
          </cell>
        </row>
        <row r="1613">
          <cell r="I1613">
            <v>5.8</v>
          </cell>
        </row>
        <row r="1614">
          <cell r="B1614">
            <v>122</v>
          </cell>
        </row>
        <row r="1614">
          <cell r="I1614">
            <v>7.7</v>
          </cell>
        </row>
        <row r="1615">
          <cell r="B1615">
            <v>99</v>
          </cell>
        </row>
        <row r="1615">
          <cell r="I1615">
            <v>5.3</v>
          </cell>
        </row>
        <row r="1616">
          <cell r="B1616">
            <v>99</v>
          </cell>
        </row>
        <row r="1616">
          <cell r="I1616">
            <v>5.3</v>
          </cell>
        </row>
        <row r="1617">
          <cell r="B1617">
            <v>147</v>
          </cell>
        </row>
        <row r="1617">
          <cell r="I1617">
            <v>7.5</v>
          </cell>
        </row>
        <row r="1618">
          <cell r="B1618">
            <v>112</v>
          </cell>
        </row>
        <row r="1618">
          <cell r="I1618">
            <v>6.9</v>
          </cell>
        </row>
        <row r="1619">
          <cell r="B1619">
            <v>88</v>
          </cell>
        </row>
        <row r="1619">
          <cell r="I1619">
            <v>4.9</v>
          </cell>
        </row>
        <row r="1620">
          <cell r="B1620">
            <v>94</v>
          </cell>
        </row>
        <row r="1620">
          <cell r="I1620">
            <v>7.1</v>
          </cell>
        </row>
        <row r="1621">
          <cell r="B1621">
            <v>90</v>
          </cell>
        </row>
        <row r="1621">
          <cell r="I1621">
            <v>8</v>
          </cell>
        </row>
        <row r="1622">
          <cell r="B1622">
            <v>167</v>
          </cell>
        </row>
        <row r="1622">
          <cell r="I1622">
            <v>7.9</v>
          </cell>
        </row>
        <row r="1623">
          <cell r="B1623">
            <v>118</v>
          </cell>
        </row>
        <row r="1623">
          <cell r="I1623">
            <v>7.6</v>
          </cell>
        </row>
        <row r="1624">
          <cell r="B1624">
            <v>83</v>
          </cell>
        </row>
        <row r="1624">
          <cell r="I1624">
            <v>5.9</v>
          </cell>
        </row>
        <row r="1625">
          <cell r="B1625">
            <v>104</v>
          </cell>
        </row>
        <row r="1625">
          <cell r="I1625">
            <v>6.3</v>
          </cell>
        </row>
        <row r="1626">
          <cell r="B1626">
            <v>102</v>
          </cell>
        </row>
        <row r="1626">
          <cell r="I1626">
            <v>6.4</v>
          </cell>
        </row>
        <row r="1627">
          <cell r="B1627">
            <v>131</v>
          </cell>
        </row>
        <row r="1627">
          <cell r="I1627">
            <v>8.2</v>
          </cell>
        </row>
        <row r="1628">
          <cell r="B1628">
            <v>101</v>
          </cell>
        </row>
        <row r="1628">
          <cell r="I1628">
            <v>6.9</v>
          </cell>
        </row>
        <row r="1629">
          <cell r="B1629">
            <v>130</v>
          </cell>
        </row>
        <row r="1629">
          <cell r="I1629">
            <v>7.8</v>
          </cell>
        </row>
        <row r="1630">
          <cell r="B1630">
            <v>120</v>
          </cell>
        </row>
        <row r="1630">
          <cell r="I1630">
            <v>6.7</v>
          </cell>
        </row>
        <row r="1631">
          <cell r="B1631">
            <v>135</v>
          </cell>
        </row>
        <row r="1631">
          <cell r="I1631">
            <v>7.5</v>
          </cell>
        </row>
        <row r="1632">
          <cell r="B1632">
            <v>110</v>
          </cell>
        </row>
        <row r="1632">
          <cell r="I1632">
            <v>7.4</v>
          </cell>
        </row>
        <row r="1633">
          <cell r="B1633">
            <v>103</v>
          </cell>
        </row>
        <row r="1633">
          <cell r="I1633">
            <v>5.2</v>
          </cell>
        </row>
        <row r="1634">
          <cell r="B1634">
            <v>110</v>
          </cell>
        </row>
        <row r="1634">
          <cell r="I1634">
            <v>7.6</v>
          </cell>
        </row>
        <row r="1635">
          <cell r="B1635">
            <v>91</v>
          </cell>
        </row>
        <row r="1635">
          <cell r="I1635">
            <v>7.3</v>
          </cell>
        </row>
        <row r="1636">
          <cell r="B1636">
            <v>105</v>
          </cell>
        </row>
        <row r="1636">
          <cell r="I1636">
            <v>6.6</v>
          </cell>
        </row>
        <row r="1637">
          <cell r="B1637">
            <v>127</v>
          </cell>
        </row>
        <row r="1637">
          <cell r="I1637">
            <v>6.8</v>
          </cell>
        </row>
        <row r="1638">
          <cell r="B1638">
            <v>82</v>
          </cell>
        </row>
        <row r="1638">
          <cell r="I1638">
            <v>6.9</v>
          </cell>
        </row>
        <row r="1639">
          <cell r="B1639">
            <v>99</v>
          </cell>
        </row>
        <row r="1639">
          <cell r="I1639">
            <v>5.8</v>
          </cell>
        </row>
        <row r="1640">
          <cell r="B1640">
            <v>90</v>
          </cell>
        </row>
        <row r="1640">
          <cell r="I1640">
            <v>6.6</v>
          </cell>
        </row>
        <row r="1641">
          <cell r="B1641">
            <v>115</v>
          </cell>
        </row>
        <row r="1641">
          <cell r="I1641">
            <v>6.7</v>
          </cell>
        </row>
        <row r="1642">
          <cell r="B1642">
            <v>96</v>
          </cell>
        </row>
        <row r="1642">
          <cell r="I1642">
            <v>6.7</v>
          </cell>
        </row>
        <row r="1643">
          <cell r="B1643">
            <v>104</v>
          </cell>
        </row>
        <row r="1643">
          <cell r="I1643">
            <v>6.3</v>
          </cell>
        </row>
        <row r="1644">
          <cell r="B1644">
            <v>117</v>
          </cell>
        </row>
        <row r="1644">
          <cell r="I1644">
            <v>7.7</v>
          </cell>
        </row>
        <row r="1645">
          <cell r="B1645">
            <v>83</v>
          </cell>
        </row>
        <row r="1645">
          <cell r="I1645">
            <v>6.1</v>
          </cell>
        </row>
        <row r="1646">
          <cell r="B1646">
            <v>99</v>
          </cell>
        </row>
        <row r="1646">
          <cell r="I1646">
            <v>4.9</v>
          </cell>
        </row>
        <row r="1647">
          <cell r="B1647">
            <v>81</v>
          </cell>
        </row>
        <row r="1647">
          <cell r="I1647">
            <v>6.2</v>
          </cell>
        </row>
        <row r="1648">
          <cell r="B1648">
            <v>135</v>
          </cell>
        </row>
        <row r="1648">
          <cell r="I1648">
            <v>7.8</v>
          </cell>
        </row>
        <row r="1649">
          <cell r="B1649">
            <v>117</v>
          </cell>
        </row>
        <row r="1649">
          <cell r="I1649">
            <v>8.2</v>
          </cell>
        </row>
        <row r="1650">
          <cell r="B1650">
            <v>139</v>
          </cell>
        </row>
        <row r="1650">
          <cell r="I1650">
            <v>6.9</v>
          </cell>
        </row>
        <row r="1651">
          <cell r="B1651">
            <v>123</v>
          </cell>
        </row>
        <row r="1651">
          <cell r="I1651">
            <v>6.2</v>
          </cell>
        </row>
        <row r="1652">
          <cell r="B1652">
            <v>117</v>
          </cell>
        </row>
        <row r="1652">
          <cell r="I1652">
            <v>6.9</v>
          </cell>
        </row>
        <row r="1653">
          <cell r="B1653">
            <v>97</v>
          </cell>
        </row>
        <row r="1653">
          <cell r="I1653">
            <v>4.8</v>
          </cell>
        </row>
        <row r="1654">
          <cell r="B1654">
            <v>81</v>
          </cell>
        </row>
        <row r="1654">
          <cell r="I1654">
            <v>8</v>
          </cell>
        </row>
        <row r="1655">
          <cell r="B1655">
            <v>103</v>
          </cell>
        </row>
        <row r="1655">
          <cell r="I1655">
            <v>5.3</v>
          </cell>
        </row>
        <row r="1656">
          <cell r="B1656">
            <v>119</v>
          </cell>
        </row>
        <row r="1656">
          <cell r="I1656">
            <v>6.7</v>
          </cell>
        </row>
        <row r="1657">
          <cell r="B1657">
            <v>94</v>
          </cell>
        </row>
        <row r="1657">
          <cell r="I1657">
            <v>5.4</v>
          </cell>
        </row>
        <row r="1658">
          <cell r="B1658">
            <v>89</v>
          </cell>
        </row>
        <row r="1658">
          <cell r="I1658">
            <v>5.4</v>
          </cell>
        </row>
        <row r="1659">
          <cell r="B1659">
            <v>98</v>
          </cell>
        </row>
        <row r="1659">
          <cell r="I1659">
            <v>4.9</v>
          </cell>
        </row>
        <row r="1660">
          <cell r="B1660">
            <v>107</v>
          </cell>
        </row>
        <row r="1660">
          <cell r="I1660">
            <v>6.1</v>
          </cell>
        </row>
        <row r="1661">
          <cell r="B1661">
            <v>108</v>
          </cell>
        </row>
        <row r="1661">
          <cell r="I1661">
            <v>5.8</v>
          </cell>
        </row>
        <row r="1662">
          <cell r="B1662">
            <v>134</v>
          </cell>
        </row>
        <row r="1662">
          <cell r="I1662">
            <v>7</v>
          </cell>
        </row>
        <row r="1663">
          <cell r="B1663">
            <v>110</v>
          </cell>
        </row>
        <row r="1663">
          <cell r="I1663">
            <v>6.5</v>
          </cell>
        </row>
        <row r="1664">
          <cell r="B1664">
            <v>103</v>
          </cell>
        </row>
        <row r="1664">
          <cell r="I1664">
            <v>6.6</v>
          </cell>
        </row>
        <row r="1665">
          <cell r="B1665">
            <v>100</v>
          </cell>
        </row>
        <row r="1665">
          <cell r="I1665">
            <v>5.7</v>
          </cell>
        </row>
        <row r="1666">
          <cell r="B1666">
            <v>131</v>
          </cell>
        </row>
        <row r="1666">
          <cell r="I1666">
            <v>6.6</v>
          </cell>
        </row>
        <row r="1667">
          <cell r="B1667">
            <v>133</v>
          </cell>
        </row>
        <row r="1667">
          <cell r="I1667">
            <v>7</v>
          </cell>
        </row>
        <row r="1668">
          <cell r="B1668">
            <v>109</v>
          </cell>
        </row>
        <row r="1668">
          <cell r="I1668">
            <v>7.4</v>
          </cell>
        </row>
        <row r="1669">
          <cell r="B1669">
            <v>114</v>
          </cell>
        </row>
        <row r="1669">
          <cell r="I1669">
            <v>5.3</v>
          </cell>
        </row>
        <row r="1670">
          <cell r="B1670">
            <v>164</v>
          </cell>
        </row>
        <row r="1670">
          <cell r="I1670">
            <v>7.4</v>
          </cell>
        </row>
        <row r="1671">
          <cell r="B1671">
            <v>92</v>
          </cell>
        </row>
        <row r="1671">
          <cell r="I1671">
            <v>7.4</v>
          </cell>
        </row>
        <row r="1672">
          <cell r="B1672">
            <v>122</v>
          </cell>
        </row>
        <row r="1672">
          <cell r="I1672">
            <v>6.8</v>
          </cell>
        </row>
        <row r="1673">
          <cell r="B1673">
            <v>110</v>
          </cell>
        </row>
        <row r="1673">
          <cell r="I1673">
            <v>7.2</v>
          </cell>
        </row>
        <row r="1674">
          <cell r="B1674">
            <v>116</v>
          </cell>
        </row>
        <row r="1674">
          <cell r="I1674">
            <v>6</v>
          </cell>
        </row>
        <row r="1675">
          <cell r="B1675">
            <v>115</v>
          </cell>
        </row>
        <row r="1675">
          <cell r="I1675">
            <v>6.6</v>
          </cell>
        </row>
        <row r="1676">
          <cell r="B1676">
            <v>148</v>
          </cell>
        </row>
        <row r="1676">
          <cell r="I1676">
            <v>7.9</v>
          </cell>
        </row>
        <row r="1677">
          <cell r="B1677">
            <v>118</v>
          </cell>
        </row>
        <row r="1677">
          <cell r="I1677">
            <v>5.7</v>
          </cell>
        </row>
        <row r="1678">
          <cell r="B1678">
            <v>101</v>
          </cell>
        </row>
        <row r="1678">
          <cell r="I1678">
            <v>7.1</v>
          </cell>
        </row>
        <row r="1679">
          <cell r="B1679">
            <v>82</v>
          </cell>
        </row>
        <row r="1679">
          <cell r="I1679">
            <v>5.6</v>
          </cell>
        </row>
        <row r="1680">
          <cell r="B1680">
            <v>110</v>
          </cell>
        </row>
        <row r="1680">
          <cell r="I1680">
            <v>7.8</v>
          </cell>
        </row>
        <row r="1681">
          <cell r="B1681">
            <v>193</v>
          </cell>
        </row>
        <row r="1681">
          <cell r="I1681">
            <v>7.9</v>
          </cell>
        </row>
        <row r="1682">
          <cell r="B1682">
            <v>130</v>
          </cell>
        </row>
        <row r="1682">
          <cell r="I1682">
            <v>6.9</v>
          </cell>
        </row>
        <row r="1683">
          <cell r="B1683">
            <v>111</v>
          </cell>
        </row>
        <row r="1683">
          <cell r="I1683">
            <v>7.7</v>
          </cell>
        </row>
        <row r="1684">
          <cell r="B1684">
            <v>110</v>
          </cell>
        </row>
        <row r="1684">
          <cell r="I1684">
            <v>6.9</v>
          </cell>
        </row>
        <row r="1685">
          <cell r="B1685">
            <v>123</v>
          </cell>
        </row>
        <row r="1685">
          <cell r="I1685">
            <v>6</v>
          </cell>
        </row>
        <row r="1686">
          <cell r="B1686">
            <v>109</v>
          </cell>
        </row>
        <row r="1686">
          <cell r="I1686">
            <v>6.2</v>
          </cell>
        </row>
        <row r="1687">
          <cell r="B1687">
            <v>99</v>
          </cell>
        </row>
        <row r="1687">
          <cell r="I1687">
            <v>5.9</v>
          </cell>
        </row>
        <row r="1688">
          <cell r="B1688">
            <v>106</v>
          </cell>
        </row>
        <row r="1688">
          <cell r="I1688">
            <v>6.8</v>
          </cell>
        </row>
        <row r="1689">
          <cell r="B1689">
            <v>89</v>
          </cell>
        </row>
        <row r="1689">
          <cell r="I1689">
            <v>3.6</v>
          </cell>
        </row>
        <row r="1690">
          <cell r="B1690">
            <v>98</v>
          </cell>
        </row>
        <row r="1690">
          <cell r="I1690">
            <v>6.7</v>
          </cell>
        </row>
        <row r="1691">
          <cell r="B1691">
            <v>93</v>
          </cell>
        </row>
        <row r="1691">
          <cell r="I1691">
            <v>6.3</v>
          </cell>
        </row>
        <row r="1692">
          <cell r="B1692">
            <v>112</v>
          </cell>
        </row>
        <row r="1692">
          <cell r="I1692">
            <v>6.4</v>
          </cell>
        </row>
        <row r="1693">
          <cell r="B1693">
            <v>101</v>
          </cell>
        </row>
        <row r="1693">
          <cell r="I1693">
            <v>6.4</v>
          </cell>
        </row>
        <row r="1694">
          <cell r="B1694">
            <v>104</v>
          </cell>
        </row>
        <row r="1694">
          <cell r="I1694">
            <v>5.7</v>
          </cell>
        </row>
        <row r="1695">
          <cell r="B1695">
            <v>120</v>
          </cell>
        </row>
        <row r="1695">
          <cell r="I1695">
            <v>6.2</v>
          </cell>
        </row>
        <row r="1696">
          <cell r="B1696">
            <v>91</v>
          </cell>
        </row>
        <row r="1696">
          <cell r="I1696">
            <v>5.2</v>
          </cell>
        </row>
        <row r="1697">
          <cell r="B1697">
            <v>97</v>
          </cell>
        </row>
        <row r="1697">
          <cell r="I1697">
            <v>6.1</v>
          </cell>
        </row>
        <row r="1698">
          <cell r="B1698">
            <v>133</v>
          </cell>
        </row>
        <row r="1698">
          <cell r="I1698">
            <v>7.1</v>
          </cell>
        </row>
        <row r="1699">
          <cell r="B1699">
            <v>123</v>
          </cell>
        </row>
        <row r="1699">
          <cell r="I1699">
            <v>7.2</v>
          </cell>
        </row>
        <row r="1700">
          <cell r="B1700">
            <v>114</v>
          </cell>
        </row>
        <row r="1700">
          <cell r="I1700">
            <v>6.5</v>
          </cell>
        </row>
        <row r="1701">
          <cell r="B1701">
            <v>111</v>
          </cell>
        </row>
        <row r="1701">
          <cell r="I1701">
            <v>6</v>
          </cell>
        </row>
        <row r="1702">
          <cell r="B1702">
            <v>117</v>
          </cell>
        </row>
        <row r="1702">
          <cell r="I1702">
            <v>7</v>
          </cell>
        </row>
        <row r="1703">
          <cell r="B1703">
            <v>121</v>
          </cell>
        </row>
        <row r="1703">
          <cell r="I1703">
            <v>7</v>
          </cell>
        </row>
        <row r="1704">
          <cell r="B1704">
            <v>139</v>
          </cell>
        </row>
        <row r="1704">
          <cell r="I1704">
            <v>7.5</v>
          </cell>
        </row>
        <row r="1705">
          <cell r="B1705">
            <v>115</v>
          </cell>
        </row>
        <row r="1705">
          <cell r="I1705">
            <v>6.6</v>
          </cell>
        </row>
        <row r="1706">
          <cell r="B1706">
            <v>175</v>
          </cell>
        </row>
        <row r="1706">
          <cell r="I1706">
            <v>7.4</v>
          </cell>
        </row>
        <row r="1707">
          <cell r="B1707">
            <v>85</v>
          </cell>
        </row>
        <row r="1707">
          <cell r="I1707">
            <v>6.5</v>
          </cell>
        </row>
        <row r="1708">
          <cell r="B1708">
            <v>90</v>
          </cell>
        </row>
        <row r="1708">
          <cell r="I1708">
            <v>6.2</v>
          </cell>
        </row>
        <row r="1709">
          <cell r="B1709">
            <v>107</v>
          </cell>
        </row>
        <row r="1709">
          <cell r="I1709">
            <v>7.8</v>
          </cell>
        </row>
        <row r="1710">
          <cell r="B1710">
            <v>100</v>
          </cell>
        </row>
        <row r="1710">
          <cell r="I1710">
            <v>5.2</v>
          </cell>
        </row>
        <row r="1711">
          <cell r="B1711">
            <v>129</v>
          </cell>
        </row>
        <row r="1711">
          <cell r="I1711">
            <v>6.5</v>
          </cell>
        </row>
        <row r="1712">
          <cell r="B1712">
            <v>109</v>
          </cell>
        </row>
        <row r="1712">
          <cell r="I1712">
            <v>6.5</v>
          </cell>
        </row>
        <row r="1713">
          <cell r="B1713">
            <v>94</v>
          </cell>
        </row>
        <row r="1713">
          <cell r="I1713">
            <v>5.2</v>
          </cell>
        </row>
        <row r="1714">
          <cell r="B1714">
            <v>133</v>
          </cell>
        </row>
        <row r="1714">
          <cell r="I1714">
            <v>7.2</v>
          </cell>
        </row>
        <row r="1715">
          <cell r="B1715">
            <v>105</v>
          </cell>
        </row>
        <row r="1715">
          <cell r="I1715">
            <v>7.1</v>
          </cell>
        </row>
        <row r="1716">
          <cell r="B1716">
            <v>100</v>
          </cell>
        </row>
        <row r="1716">
          <cell r="I1716">
            <v>4.5</v>
          </cell>
        </row>
        <row r="1717">
          <cell r="B1717">
            <v>113</v>
          </cell>
        </row>
        <row r="1717">
          <cell r="I1717">
            <v>5.7</v>
          </cell>
        </row>
        <row r="1718">
          <cell r="B1718">
            <v>118</v>
          </cell>
        </row>
        <row r="1718">
          <cell r="I1718">
            <v>6</v>
          </cell>
        </row>
        <row r="1719">
          <cell r="B1719">
            <v>110</v>
          </cell>
        </row>
        <row r="1719">
          <cell r="I1719">
            <v>6.4</v>
          </cell>
        </row>
        <row r="1720">
          <cell r="B1720">
            <v>110</v>
          </cell>
        </row>
        <row r="1720">
          <cell r="I1720">
            <v>5.2</v>
          </cell>
        </row>
        <row r="1721">
          <cell r="B1721">
            <v>99</v>
          </cell>
        </row>
        <row r="1721">
          <cell r="I1721">
            <v>4.3</v>
          </cell>
        </row>
        <row r="1722">
          <cell r="B1722">
            <v>101</v>
          </cell>
        </row>
        <row r="1722">
          <cell r="I1722">
            <v>6.1</v>
          </cell>
        </row>
        <row r="1723">
          <cell r="B1723">
            <v>103</v>
          </cell>
        </row>
        <row r="1723">
          <cell r="I1723">
            <v>6.8</v>
          </cell>
        </row>
        <row r="1724">
          <cell r="B1724">
            <v>95</v>
          </cell>
        </row>
        <row r="1724">
          <cell r="I1724">
            <v>5.2</v>
          </cell>
        </row>
        <row r="1725">
          <cell r="B1725">
            <v>117</v>
          </cell>
        </row>
        <row r="1725">
          <cell r="I1725">
            <v>6.5</v>
          </cell>
        </row>
        <row r="1726">
          <cell r="B1726">
            <v>129</v>
          </cell>
        </row>
        <row r="1726">
          <cell r="I1726">
            <v>7.5</v>
          </cell>
        </row>
        <row r="1727">
          <cell r="B1727">
            <v>120</v>
          </cell>
        </row>
        <row r="1727">
          <cell r="I1727">
            <v>7.1</v>
          </cell>
        </row>
        <row r="1728">
          <cell r="B1728">
            <v>125</v>
          </cell>
        </row>
        <row r="1728">
          <cell r="I1728">
            <v>6.9</v>
          </cell>
        </row>
        <row r="1729">
          <cell r="B1729">
            <v>133</v>
          </cell>
        </row>
        <row r="1729">
          <cell r="I1729">
            <v>8</v>
          </cell>
        </row>
        <row r="1730">
          <cell r="B1730">
            <v>116</v>
          </cell>
        </row>
        <row r="1730">
          <cell r="I1730">
            <v>8.2</v>
          </cell>
        </row>
        <row r="1731">
          <cell r="B1731">
            <v>129</v>
          </cell>
        </row>
        <row r="1731">
          <cell r="I1731">
            <v>6.4</v>
          </cell>
        </row>
        <row r="1732">
          <cell r="B1732">
            <v>93</v>
          </cell>
        </row>
        <row r="1732">
          <cell r="I1732">
            <v>7.9</v>
          </cell>
        </row>
        <row r="1733">
          <cell r="B1733">
            <v>118</v>
          </cell>
        </row>
        <row r="1733">
          <cell r="I1733">
            <v>6.7</v>
          </cell>
        </row>
        <row r="1734">
          <cell r="B1734">
            <v>129</v>
          </cell>
        </row>
        <row r="1734">
          <cell r="I1734">
            <v>6.1</v>
          </cell>
        </row>
        <row r="1735">
          <cell r="B1735">
            <v>185</v>
          </cell>
        </row>
        <row r="1735">
          <cell r="I1735">
            <v>8.9</v>
          </cell>
        </row>
        <row r="1736">
          <cell r="B1736">
            <v>146</v>
          </cell>
        </row>
        <row r="1736">
          <cell r="I1736">
            <v>8.1</v>
          </cell>
        </row>
        <row r="1737">
          <cell r="B1737">
            <v>128</v>
          </cell>
        </row>
        <row r="1737">
          <cell r="I1737">
            <v>6.2</v>
          </cell>
        </row>
        <row r="1738">
          <cell r="B1738">
            <v>93</v>
          </cell>
        </row>
        <row r="1738">
          <cell r="I1738">
            <v>4.9</v>
          </cell>
        </row>
        <row r="1739">
          <cell r="B1739">
            <v>97</v>
          </cell>
        </row>
        <row r="1739">
          <cell r="I1739">
            <v>5.8</v>
          </cell>
        </row>
        <row r="1740">
          <cell r="B1740">
            <v>82</v>
          </cell>
        </row>
        <row r="1740">
          <cell r="I1740">
            <v>6</v>
          </cell>
        </row>
        <row r="1741">
          <cell r="B1741">
            <v>85</v>
          </cell>
        </row>
        <row r="1741">
          <cell r="I1741">
            <v>7</v>
          </cell>
        </row>
        <row r="1742">
          <cell r="B1742">
            <v>88</v>
          </cell>
        </row>
        <row r="1742">
          <cell r="I1742">
            <v>6</v>
          </cell>
        </row>
        <row r="1743">
          <cell r="B1743">
            <v>119</v>
          </cell>
        </row>
        <row r="1743">
          <cell r="I1743">
            <v>7.9</v>
          </cell>
        </row>
        <row r="1744">
          <cell r="B1744">
            <v>122</v>
          </cell>
        </row>
        <row r="1744">
          <cell r="I1744">
            <v>8.1</v>
          </cell>
        </row>
        <row r="1745">
          <cell r="B1745">
            <v>99</v>
          </cell>
        </row>
        <row r="1745">
          <cell r="I1745">
            <v>6.2</v>
          </cell>
        </row>
        <row r="1746">
          <cell r="B1746">
            <v>97</v>
          </cell>
        </row>
        <row r="1746">
          <cell r="I1746">
            <v>6.7</v>
          </cell>
        </row>
        <row r="1747">
          <cell r="B1747">
            <v>121</v>
          </cell>
        </row>
        <row r="1747">
          <cell r="I1747">
            <v>7.3</v>
          </cell>
        </row>
        <row r="1748">
          <cell r="B1748">
            <v>95</v>
          </cell>
        </row>
        <row r="1748">
          <cell r="I1748">
            <v>4.6</v>
          </cell>
        </row>
        <row r="1749">
          <cell r="B1749">
            <v>105</v>
          </cell>
        </row>
        <row r="1749">
          <cell r="I1749">
            <v>6.1</v>
          </cell>
        </row>
        <row r="1750">
          <cell r="B1750">
            <v>108</v>
          </cell>
        </row>
        <row r="1750">
          <cell r="I1750">
            <v>6.2</v>
          </cell>
        </row>
        <row r="1751">
          <cell r="B1751">
            <v>134</v>
          </cell>
        </row>
        <row r="1751">
          <cell r="I1751">
            <v>7.8</v>
          </cell>
        </row>
        <row r="1752">
          <cell r="B1752">
            <v>115</v>
          </cell>
        </row>
        <row r="1752">
          <cell r="I1752">
            <v>6.1</v>
          </cell>
        </row>
        <row r="1753">
          <cell r="B1753">
            <v>86</v>
          </cell>
        </row>
        <row r="1753">
          <cell r="I1753">
            <v>5.8</v>
          </cell>
        </row>
        <row r="1754">
          <cell r="B1754">
            <v>101</v>
          </cell>
        </row>
        <row r="1754">
          <cell r="I1754">
            <v>6.5</v>
          </cell>
        </row>
        <row r="1755">
          <cell r="B1755">
            <v>96</v>
          </cell>
        </row>
        <row r="1755">
          <cell r="I1755">
            <v>7.2</v>
          </cell>
        </row>
        <row r="1756">
          <cell r="B1756">
            <v>101</v>
          </cell>
        </row>
        <row r="1756">
          <cell r="I1756">
            <v>7.8</v>
          </cell>
        </row>
        <row r="1757">
          <cell r="B1757">
            <v>100</v>
          </cell>
        </row>
        <row r="1757">
          <cell r="I1757">
            <v>4.7</v>
          </cell>
        </row>
        <row r="1758">
          <cell r="B1758">
            <v>117</v>
          </cell>
        </row>
        <row r="1758">
          <cell r="I1758">
            <v>6.8</v>
          </cell>
        </row>
        <row r="1759">
          <cell r="B1759">
            <v>101</v>
          </cell>
        </row>
        <row r="1759">
          <cell r="I1759">
            <v>5.9</v>
          </cell>
        </row>
        <row r="1760">
          <cell r="B1760">
            <v>98</v>
          </cell>
        </row>
        <row r="1760">
          <cell r="I1760">
            <v>7.2</v>
          </cell>
        </row>
        <row r="1761">
          <cell r="B1761">
            <v>146</v>
          </cell>
        </row>
        <row r="1761">
          <cell r="I1761">
            <v>8.7</v>
          </cell>
        </row>
        <row r="1762">
          <cell r="B1762">
            <v>102</v>
          </cell>
        </row>
        <row r="1762">
          <cell r="I1762">
            <v>5</v>
          </cell>
        </row>
        <row r="1763">
          <cell r="B1763">
            <v>97</v>
          </cell>
        </row>
        <row r="1763">
          <cell r="I1763">
            <v>6.6</v>
          </cell>
        </row>
        <row r="1764">
          <cell r="B1764">
            <v>142</v>
          </cell>
        </row>
        <row r="1764">
          <cell r="I1764">
            <v>8.3</v>
          </cell>
        </row>
        <row r="1765">
          <cell r="B1765">
            <v>98</v>
          </cell>
        </row>
        <row r="1765">
          <cell r="I1765">
            <v>6.7</v>
          </cell>
        </row>
        <row r="1766">
          <cell r="B1766">
            <v>219</v>
          </cell>
        </row>
        <row r="1766">
          <cell r="I1766">
            <v>7.8</v>
          </cell>
        </row>
        <row r="1767">
          <cell r="B1767">
            <v>109</v>
          </cell>
        </row>
        <row r="1767">
          <cell r="I1767">
            <v>6.5</v>
          </cell>
        </row>
        <row r="1768">
          <cell r="B1768">
            <v>97</v>
          </cell>
        </row>
        <row r="1768">
          <cell r="I1768">
            <v>6.1</v>
          </cell>
        </row>
        <row r="1769">
          <cell r="B1769">
            <v>158</v>
          </cell>
        </row>
        <row r="1769">
          <cell r="I1769">
            <v>8.1</v>
          </cell>
        </row>
        <row r="1770">
          <cell r="B1770">
            <v>85</v>
          </cell>
        </row>
        <row r="1770">
          <cell r="I1770">
            <v>5.2</v>
          </cell>
        </row>
        <row r="1771">
          <cell r="B1771">
            <v>80</v>
          </cell>
        </row>
        <row r="1771">
          <cell r="I1771">
            <v>5.6</v>
          </cell>
        </row>
        <row r="1772">
          <cell r="B1772">
            <v>86</v>
          </cell>
        </row>
        <row r="1772">
          <cell r="I1772">
            <v>5.8</v>
          </cell>
        </row>
        <row r="1773">
          <cell r="B1773">
            <v>119</v>
          </cell>
        </row>
        <row r="1773">
          <cell r="I1773">
            <v>6.6</v>
          </cell>
        </row>
        <row r="1774">
          <cell r="B1774">
            <v>98</v>
          </cell>
        </row>
        <row r="1774">
          <cell r="I1774">
            <v>6.6</v>
          </cell>
        </row>
        <row r="1775">
          <cell r="B1775">
            <v>97</v>
          </cell>
        </row>
        <row r="1775">
          <cell r="I1775">
            <v>5.5</v>
          </cell>
        </row>
        <row r="1776">
          <cell r="B1776">
            <v>124</v>
          </cell>
        </row>
        <row r="1776">
          <cell r="I1776">
            <v>7</v>
          </cell>
        </row>
        <row r="1777">
          <cell r="B1777">
            <v>97</v>
          </cell>
        </row>
        <row r="1777">
          <cell r="I1777">
            <v>6.5</v>
          </cell>
        </row>
        <row r="1778">
          <cell r="B1778">
            <v>105</v>
          </cell>
        </row>
        <row r="1778">
          <cell r="I1778">
            <v>5.8</v>
          </cell>
        </row>
        <row r="1779">
          <cell r="B1779">
            <v>104</v>
          </cell>
        </row>
        <row r="1779">
          <cell r="I1779">
            <v>5.6</v>
          </cell>
        </row>
        <row r="1780">
          <cell r="B1780">
            <v>101</v>
          </cell>
        </row>
        <row r="1780">
          <cell r="I1780">
            <v>5.6</v>
          </cell>
        </row>
        <row r="1781">
          <cell r="B1781">
            <v>101</v>
          </cell>
        </row>
        <row r="1781">
          <cell r="I1781">
            <v>5.8</v>
          </cell>
        </row>
        <row r="1782">
          <cell r="B1782">
            <v>114</v>
          </cell>
        </row>
        <row r="1782">
          <cell r="I1782">
            <v>7.6</v>
          </cell>
        </row>
        <row r="1783">
          <cell r="B1783">
            <v>105</v>
          </cell>
        </row>
        <row r="1783">
          <cell r="I1783">
            <v>6.4</v>
          </cell>
        </row>
        <row r="1784">
          <cell r="B1784">
            <v>90</v>
          </cell>
        </row>
        <row r="1784">
          <cell r="I1784">
            <v>6.3</v>
          </cell>
        </row>
        <row r="1785">
          <cell r="B1785">
            <v>97</v>
          </cell>
        </row>
        <row r="1785">
          <cell r="I1785">
            <v>4.6</v>
          </cell>
        </row>
        <row r="1786">
          <cell r="B1786">
            <v>144</v>
          </cell>
        </row>
        <row r="1786">
          <cell r="I1786">
            <v>6.5</v>
          </cell>
        </row>
        <row r="1787">
          <cell r="B1787">
            <v>114</v>
          </cell>
        </row>
        <row r="1787">
          <cell r="I1787">
            <v>7.5</v>
          </cell>
        </row>
        <row r="1788">
          <cell r="B1788">
            <v>124</v>
          </cell>
        </row>
        <row r="1788">
          <cell r="I1788">
            <v>7.5</v>
          </cell>
        </row>
        <row r="1789">
          <cell r="B1789">
            <v>89</v>
          </cell>
        </row>
        <row r="1789">
          <cell r="I1789">
            <v>5.3</v>
          </cell>
        </row>
        <row r="1790">
          <cell r="B1790">
            <v>160</v>
          </cell>
        </row>
        <row r="1790">
          <cell r="I1790">
            <v>7.5</v>
          </cell>
        </row>
        <row r="1791">
          <cell r="B1791">
            <v>93</v>
          </cell>
        </row>
        <row r="1791">
          <cell r="I1791">
            <v>3.3</v>
          </cell>
        </row>
        <row r="1792">
          <cell r="B1792">
            <v>88</v>
          </cell>
        </row>
        <row r="1792">
          <cell r="I1792">
            <v>3.5</v>
          </cell>
        </row>
        <row r="1793">
          <cell r="B1793">
            <v>142</v>
          </cell>
        </row>
        <row r="1793">
          <cell r="I1793">
            <v>9.3</v>
          </cell>
        </row>
        <row r="1794">
          <cell r="B1794">
            <v>92</v>
          </cell>
        </row>
        <row r="1794">
          <cell r="I1794">
            <v>4.8</v>
          </cell>
        </row>
        <row r="1795">
          <cell r="B1795">
            <v>117</v>
          </cell>
        </row>
        <row r="1795">
          <cell r="I1795">
            <v>6.9</v>
          </cell>
        </row>
        <row r="1796">
          <cell r="B1796">
            <v>111</v>
          </cell>
        </row>
        <row r="1796">
          <cell r="I1796">
            <v>6</v>
          </cell>
        </row>
        <row r="1797">
          <cell r="B1797">
            <v>121</v>
          </cell>
        </row>
        <row r="1797">
          <cell r="I1797">
            <v>7.3</v>
          </cell>
        </row>
        <row r="1798">
          <cell r="B1798">
            <v>107</v>
          </cell>
        </row>
        <row r="1798">
          <cell r="I1798">
            <v>6.6</v>
          </cell>
        </row>
        <row r="1799">
          <cell r="B1799">
            <v>106</v>
          </cell>
        </row>
        <row r="1799">
          <cell r="I1799">
            <v>7.5</v>
          </cell>
        </row>
        <row r="1800">
          <cell r="B1800">
            <v>136</v>
          </cell>
        </row>
        <row r="1800">
          <cell r="I1800">
            <v>6.9</v>
          </cell>
        </row>
        <row r="1801">
          <cell r="B1801">
            <v>97</v>
          </cell>
        </row>
        <row r="1801">
          <cell r="I1801">
            <v>6.8</v>
          </cell>
        </row>
        <row r="1802">
          <cell r="B1802">
            <v>108</v>
          </cell>
        </row>
        <row r="1802">
          <cell r="I1802">
            <v>6.3</v>
          </cell>
        </row>
        <row r="1803">
          <cell r="B1803">
            <v>97</v>
          </cell>
        </row>
        <row r="1803">
          <cell r="I1803">
            <v>6.4</v>
          </cell>
        </row>
        <row r="1804">
          <cell r="B1804">
            <v>99</v>
          </cell>
        </row>
        <row r="1804">
          <cell r="I1804">
            <v>5.6</v>
          </cell>
        </row>
        <row r="1805">
          <cell r="B1805">
            <v>103</v>
          </cell>
        </row>
        <row r="1805">
          <cell r="I1805">
            <v>6.3</v>
          </cell>
        </row>
        <row r="1806">
          <cell r="B1806">
            <v>95</v>
          </cell>
        </row>
        <row r="1806">
          <cell r="I1806">
            <v>7.3</v>
          </cell>
        </row>
        <row r="1807">
          <cell r="B1807">
            <v>93</v>
          </cell>
        </row>
        <row r="1807">
          <cell r="I1807">
            <v>6.6</v>
          </cell>
        </row>
        <row r="1808">
          <cell r="B1808">
            <v>98</v>
          </cell>
        </row>
        <row r="1808">
          <cell r="I1808">
            <v>4.6</v>
          </cell>
        </row>
        <row r="1809">
          <cell r="B1809">
            <v>90</v>
          </cell>
        </row>
        <row r="1809">
          <cell r="I1809">
            <v>5.1</v>
          </cell>
        </row>
        <row r="1810">
          <cell r="B1810">
            <v>107</v>
          </cell>
        </row>
        <row r="1810">
          <cell r="I1810">
            <v>5.6</v>
          </cell>
        </row>
        <row r="1811">
          <cell r="B1811">
            <v>90</v>
          </cell>
        </row>
        <row r="1811">
          <cell r="I1811">
            <v>5.3</v>
          </cell>
        </row>
        <row r="1812">
          <cell r="B1812">
            <v>115</v>
          </cell>
        </row>
        <row r="1812">
          <cell r="I1812">
            <v>5.6</v>
          </cell>
        </row>
        <row r="1813">
          <cell r="B1813">
            <v>93</v>
          </cell>
        </row>
        <row r="1813">
          <cell r="I1813">
            <v>5.9</v>
          </cell>
        </row>
        <row r="1814">
          <cell r="B1814">
            <v>99</v>
          </cell>
        </row>
        <row r="1814">
          <cell r="I1814">
            <v>4.7</v>
          </cell>
        </row>
        <row r="1815">
          <cell r="B1815">
            <v>107</v>
          </cell>
        </row>
        <row r="1815">
          <cell r="I1815">
            <v>4.8</v>
          </cell>
        </row>
        <row r="1816">
          <cell r="B1816">
            <v>110</v>
          </cell>
        </row>
        <row r="1816">
          <cell r="I1816">
            <v>6.8</v>
          </cell>
        </row>
        <row r="1817">
          <cell r="B1817">
            <v>101</v>
          </cell>
        </row>
        <row r="1817">
          <cell r="I1817">
            <v>5.4</v>
          </cell>
        </row>
        <row r="1818">
          <cell r="B1818">
            <v>85</v>
          </cell>
        </row>
        <row r="1818">
          <cell r="I1818">
            <v>5.1</v>
          </cell>
        </row>
        <row r="1819">
          <cell r="B1819">
            <v>132</v>
          </cell>
        </row>
        <row r="1819">
          <cell r="I1819">
            <v>7</v>
          </cell>
        </row>
        <row r="1820">
          <cell r="B1820">
            <v>90</v>
          </cell>
        </row>
        <row r="1820">
          <cell r="I1820">
            <v>4</v>
          </cell>
        </row>
        <row r="1821">
          <cell r="B1821">
            <v>145</v>
          </cell>
        </row>
        <row r="1821">
          <cell r="I1821">
            <v>7.3</v>
          </cell>
        </row>
        <row r="1822">
          <cell r="B1822">
            <v>110</v>
          </cell>
        </row>
        <row r="1822">
          <cell r="I1822">
            <v>6.8</v>
          </cell>
        </row>
        <row r="1823">
          <cell r="B1823">
            <v>122</v>
          </cell>
        </row>
        <row r="1823">
          <cell r="I1823">
            <v>7</v>
          </cell>
        </row>
        <row r="1824">
          <cell r="B1824">
            <v>107</v>
          </cell>
        </row>
        <row r="1824">
          <cell r="I1824">
            <v>7.1</v>
          </cell>
        </row>
        <row r="1825">
          <cell r="B1825">
            <v>127</v>
          </cell>
        </row>
        <row r="1825">
          <cell r="I1825">
            <v>6.9</v>
          </cell>
        </row>
        <row r="1826">
          <cell r="B1826">
            <v>99</v>
          </cell>
        </row>
        <row r="1826">
          <cell r="I1826">
            <v>7.3</v>
          </cell>
        </row>
        <row r="1827">
          <cell r="B1827">
            <v>140</v>
          </cell>
        </row>
        <row r="1827">
          <cell r="I1827">
            <v>8.2</v>
          </cell>
        </row>
        <row r="1828">
          <cell r="B1828">
            <v>133</v>
          </cell>
        </row>
        <row r="1828">
          <cell r="I1828">
            <v>7.1</v>
          </cell>
        </row>
        <row r="1829">
          <cell r="B1829">
            <v>271</v>
          </cell>
        </row>
        <row r="1829">
          <cell r="I1829">
            <v>7.7</v>
          </cell>
        </row>
        <row r="1830">
          <cell r="B1830">
            <v>112</v>
          </cell>
        </row>
        <row r="1830">
          <cell r="I1830">
            <v>6.5</v>
          </cell>
        </row>
        <row r="1831">
          <cell r="B1831">
            <v>99</v>
          </cell>
        </row>
        <row r="1831">
          <cell r="I1831">
            <v>4.9</v>
          </cell>
        </row>
        <row r="1832">
          <cell r="B1832">
            <v>100</v>
          </cell>
        </row>
        <row r="1832">
          <cell r="I1832">
            <v>6.4</v>
          </cell>
        </row>
        <row r="1833">
          <cell r="B1833">
            <v>92</v>
          </cell>
        </row>
        <row r="1833">
          <cell r="I1833">
            <v>5.9</v>
          </cell>
        </row>
        <row r="1834">
          <cell r="B1834">
            <v>105</v>
          </cell>
        </row>
        <row r="1834">
          <cell r="I1834">
            <v>6.2</v>
          </cell>
        </row>
        <row r="1835">
          <cell r="B1835">
            <v>110</v>
          </cell>
        </row>
        <row r="1835">
          <cell r="I1835">
            <v>5.8</v>
          </cell>
        </row>
        <row r="1836">
          <cell r="B1836">
            <v>116</v>
          </cell>
        </row>
        <row r="1836">
          <cell r="I1836">
            <v>6.7</v>
          </cell>
        </row>
        <row r="1837">
          <cell r="B1837">
            <v>88</v>
          </cell>
        </row>
        <row r="1837">
          <cell r="I1837">
            <v>5.9</v>
          </cell>
        </row>
        <row r="1838">
          <cell r="B1838">
            <v>111</v>
          </cell>
        </row>
        <row r="1838">
          <cell r="I1838">
            <v>7.3</v>
          </cell>
        </row>
        <row r="1839">
          <cell r="B1839">
            <v>95</v>
          </cell>
        </row>
        <row r="1839">
          <cell r="I1839">
            <v>4.1</v>
          </cell>
        </row>
        <row r="1840">
          <cell r="B1840">
            <v>95</v>
          </cell>
        </row>
        <row r="1840">
          <cell r="I1840">
            <v>4.9</v>
          </cell>
        </row>
        <row r="1841">
          <cell r="B1841">
            <v>127</v>
          </cell>
        </row>
        <row r="1841">
          <cell r="I1841">
            <v>7.9</v>
          </cell>
        </row>
        <row r="1842">
          <cell r="B1842">
            <v>104</v>
          </cell>
        </row>
        <row r="1842">
          <cell r="I1842">
            <v>5.2</v>
          </cell>
        </row>
        <row r="1843">
          <cell r="B1843">
            <v>95</v>
          </cell>
        </row>
        <row r="1843">
          <cell r="I1843">
            <v>4.1</v>
          </cell>
        </row>
        <row r="1844">
          <cell r="B1844">
            <v>121</v>
          </cell>
        </row>
        <row r="1844">
          <cell r="I1844">
            <v>6.6</v>
          </cell>
        </row>
        <row r="1845">
          <cell r="B1845">
            <v>92</v>
          </cell>
        </row>
        <row r="1845">
          <cell r="I1845">
            <v>2.9</v>
          </cell>
        </row>
        <row r="1846">
          <cell r="B1846">
            <v>107</v>
          </cell>
        </row>
        <row r="1846">
          <cell r="I1846">
            <v>6.5</v>
          </cell>
        </row>
        <row r="1847">
          <cell r="B1847">
            <v>117</v>
          </cell>
        </row>
        <row r="1847">
          <cell r="I1847">
            <v>7.2</v>
          </cell>
        </row>
        <row r="1848">
          <cell r="B1848">
            <v>107</v>
          </cell>
        </row>
        <row r="1848">
          <cell r="I1848">
            <v>6.8</v>
          </cell>
        </row>
        <row r="1849">
          <cell r="B1849">
            <v>131</v>
          </cell>
        </row>
        <row r="1849">
          <cell r="I1849">
            <v>7.8</v>
          </cell>
        </row>
        <row r="1850">
          <cell r="B1850">
            <v>122</v>
          </cell>
        </row>
        <row r="1850">
          <cell r="I1850">
            <v>6.7</v>
          </cell>
        </row>
        <row r="1851">
          <cell r="B1851">
            <v>134</v>
          </cell>
        </row>
        <row r="1851">
          <cell r="I1851">
            <v>7.1</v>
          </cell>
        </row>
        <row r="1852">
          <cell r="B1852">
            <v>117</v>
          </cell>
        </row>
        <row r="1852">
          <cell r="I1852">
            <v>5.7</v>
          </cell>
        </row>
        <row r="1853">
          <cell r="B1853">
            <v>138</v>
          </cell>
        </row>
        <row r="1853">
          <cell r="I1853">
            <v>5.3</v>
          </cell>
        </row>
        <row r="1854">
          <cell r="B1854">
            <v>100</v>
          </cell>
        </row>
        <row r="1854">
          <cell r="I1854">
            <v>6.5</v>
          </cell>
        </row>
        <row r="1855">
          <cell r="B1855">
            <v>119</v>
          </cell>
        </row>
        <row r="1855">
          <cell r="I1855">
            <v>7.7</v>
          </cell>
        </row>
        <row r="1856">
          <cell r="B1856">
            <v>137</v>
          </cell>
        </row>
        <row r="1856">
          <cell r="I1856">
            <v>6.1</v>
          </cell>
        </row>
        <row r="1857">
          <cell r="B1857">
            <v>119</v>
          </cell>
        </row>
        <row r="1857">
          <cell r="I1857">
            <v>7.3</v>
          </cell>
        </row>
        <row r="1858">
          <cell r="B1858">
            <v>139</v>
          </cell>
        </row>
        <row r="1858">
          <cell r="I1858">
            <v>7.2</v>
          </cell>
        </row>
        <row r="1859">
          <cell r="B1859">
            <v>120</v>
          </cell>
        </row>
        <row r="1859">
          <cell r="I1859">
            <v>6.1</v>
          </cell>
        </row>
        <row r="1860">
          <cell r="B1860">
            <v>98</v>
          </cell>
        </row>
        <row r="1860">
          <cell r="I1860">
            <v>5.8</v>
          </cell>
        </row>
        <row r="1861">
          <cell r="B1861">
            <v>106</v>
          </cell>
        </row>
        <row r="1861">
          <cell r="I1861">
            <v>5.7</v>
          </cell>
        </row>
        <row r="1862">
          <cell r="B1862">
            <v>98</v>
          </cell>
        </row>
        <row r="1862">
          <cell r="I1862">
            <v>6.7</v>
          </cell>
        </row>
        <row r="1863">
          <cell r="B1863">
            <v>107</v>
          </cell>
        </row>
        <row r="1863">
          <cell r="I1863">
            <v>6.5</v>
          </cell>
        </row>
        <row r="1864">
          <cell r="B1864">
            <v>88</v>
          </cell>
        </row>
        <row r="1864">
          <cell r="I1864">
            <v>7.2</v>
          </cell>
        </row>
        <row r="1865">
          <cell r="B1865">
            <v>137</v>
          </cell>
        </row>
        <row r="1865">
          <cell r="I1865">
            <v>7.6</v>
          </cell>
        </row>
        <row r="1866">
          <cell r="B1866">
            <v>100</v>
          </cell>
        </row>
        <row r="1866">
          <cell r="I1866">
            <v>4.6</v>
          </cell>
        </row>
        <row r="1867">
          <cell r="B1867">
            <v>115</v>
          </cell>
        </row>
        <row r="1867">
          <cell r="I1867">
            <v>6.9</v>
          </cell>
        </row>
        <row r="1868">
          <cell r="B1868">
            <v>101</v>
          </cell>
        </row>
        <row r="1868">
          <cell r="I1868">
            <v>6.6</v>
          </cell>
        </row>
        <row r="1869">
          <cell r="B1869">
            <v>110</v>
          </cell>
        </row>
        <row r="1869">
          <cell r="I1869">
            <v>6.3</v>
          </cell>
        </row>
        <row r="1870">
          <cell r="B1870">
            <v>94</v>
          </cell>
        </row>
        <row r="1870">
          <cell r="I1870">
            <v>6.2</v>
          </cell>
        </row>
        <row r="1871">
          <cell r="B1871">
            <v>88</v>
          </cell>
        </row>
        <row r="1871">
          <cell r="I1871">
            <v>5.3</v>
          </cell>
        </row>
        <row r="1872">
          <cell r="B1872">
            <v>127</v>
          </cell>
        </row>
        <row r="1872">
          <cell r="I1872">
            <v>7.3</v>
          </cell>
        </row>
        <row r="1873">
          <cell r="B1873">
            <v>95</v>
          </cell>
        </row>
        <row r="1873">
          <cell r="I1873">
            <v>5.6</v>
          </cell>
        </row>
        <row r="1874">
          <cell r="B1874">
            <v>87</v>
          </cell>
        </row>
        <row r="1874">
          <cell r="I1874">
            <v>6.2</v>
          </cell>
        </row>
        <row r="1875">
          <cell r="B1875">
            <v>118</v>
          </cell>
        </row>
        <row r="1875">
          <cell r="I1875">
            <v>5.2</v>
          </cell>
        </row>
        <row r="1876">
          <cell r="B1876">
            <v>107</v>
          </cell>
        </row>
        <row r="1876">
          <cell r="I1876">
            <v>5.3</v>
          </cell>
        </row>
        <row r="1877">
          <cell r="B1877">
            <v>124</v>
          </cell>
        </row>
        <row r="1877">
          <cell r="I1877">
            <v>5.4</v>
          </cell>
        </row>
        <row r="1878">
          <cell r="B1878">
            <v>89</v>
          </cell>
        </row>
        <row r="1878">
          <cell r="I1878">
            <v>4.9</v>
          </cell>
        </row>
        <row r="1879">
          <cell r="B1879">
            <v>88</v>
          </cell>
        </row>
        <row r="1879">
          <cell r="I1879">
            <v>5.5</v>
          </cell>
        </row>
        <row r="1880">
          <cell r="B1880">
            <v>118</v>
          </cell>
        </row>
        <row r="1880">
          <cell r="I1880">
            <v>6.7</v>
          </cell>
        </row>
        <row r="1881">
          <cell r="B1881">
            <v>93</v>
          </cell>
        </row>
        <row r="1881">
          <cell r="I1881">
            <v>3.9</v>
          </cell>
        </row>
        <row r="1882">
          <cell r="B1882">
            <v>80</v>
          </cell>
        </row>
        <row r="1882">
          <cell r="I1882">
            <v>7.2</v>
          </cell>
        </row>
        <row r="1883">
          <cell r="B1883">
            <v>120</v>
          </cell>
        </row>
        <row r="1883">
          <cell r="I1883">
            <v>5.1</v>
          </cell>
        </row>
        <row r="1884">
          <cell r="B1884">
            <v>98</v>
          </cell>
        </row>
        <row r="1884">
          <cell r="I1884">
            <v>6.5</v>
          </cell>
        </row>
        <row r="1885">
          <cell r="B1885">
            <v>119</v>
          </cell>
        </row>
        <row r="1885">
          <cell r="I1885">
            <v>8.2</v>
          </cell>
        </row>
        <row r="1886">
          <cell r="B1886">
            <v>88</v>
          </cell>
        </row>
        <row r="1886">
          <cell r="I1886">
            <v>7.7</v>
          </cell>
        </row>
        <row r="1887">
          <cell r="B1887">
            <v>90</v>
          </cell>
        </row>
        <row r="1887">
          <cell r="I1887">
            <v>6.1</v>
          </cell>
        </row>
        <row r="1888">
          <cell r="B1888">
            <v>127</v>
          </cell>
        </row>
        <row r="1888">
          <cell r="I1888">
            <v>8.8</v>
          </cell>
        </row>
        <row r="1889">
          <cell r="B1889">
            <v>119</v>
          </cell>
        </row>
        <row r="1889">
          <cell r="I1889">
            <v>6.8</v>
          </cell>
        </row>
        <row r="1890">
          <cell r="B1890">
            <v>85</v>
          </cell>
        </row>
        <row r="1890">
          <cell r="I1890">
            <v>6.8</v>
          </cell>
        </row>
        <row r="1891">
          <cell r="B1891">
            <v>98</v>
          </cell>
        </row>
        <row r="1891">
          <cell r="I1891">
            <v>6.7</v>
          </cell>
        </row>
        <row r="1892">
          <cell r="B1892">
            <v>101</v>
          </cell>
        </row>
        <row r="1892">
          <cell r="I1892">
            <v>7.1</v>
          </cell>
        </row>
        <row r="1893">
          <cell r="B1893">
            <v>112</v>
          </cell>
        </row>
        <row r="1893">
          <cell r="I1893">
            <v>7.1</v>
          </cell>
        </row>
        <row r="1894">
          <cell r="B1894">
            <v>97</v>
          </cell>
        </row>
        <row r="1894">
          <cell r="I1894">
            <v>6.1</v>
          </cell>
        </row>
        <row r="1895">
          <cell r="B1895">
            <v>126</v>
          </cell>
        </row>
        <row r="1895">
          <cell r="I1895">
            <v>8</v>
          </cell>
        </row>
        <row r="1896">
          <cell r="B1896">
            <v>97</v>
          </cell>
        </row>
        <row r="1896">
          <cell r="I1896">
            <v>6.6</v>
          </cell>
        </row>
        <row r="1897">
          <cell r="B1897">
            <v>100</v>
          </cell>
        </row>
        <row r="1897">
          <cell r="I1897">
            <v>5.4</v>
          </cell>
        </row>
        <row r="1898">
          <cell r="B1898">
            <v>114</v>
          </cell>
        </row>
        <row r="1898">
          <cell r="I1898">
            <v>6.1</v>
          </cell>
        </row>
        <row r="1899">
          <cell r="B1899">
            <v>88</v>
          </cell>
        </row>
        <row r="1899">
          <cell r="I1899">
            <v>5.6</v>
          </cell>
        </row>
        <row r="1900">
          <cell r="B1900">
            <v>93</v>
          </cell>
        </row>
        <row r="1900">
          <cell r="I1900">
            <v>5.8</v>
          </cell>
        </row>
        <row r="1901">
          <cell r="B1901">
            <v>92</v>
          </cell>
        </row>
        <row r="1901">
          <cell r="I1901">
            <v>2.8</v>
          </cell>
        </row>
        <row r="1902">
          <cell r="B1902">
            <v>98</v>
          </cell>
        </row>
        <row r="1902">
          <cell r="I1902">
            <v>6.7</v>
          </cell>
        </row>
        <row r="1903">
          <cell r="B1903">
            <v>94</v>
          </cell>
        </row>
        <row r="1903">
          <cell r="I1903">
            <v>5.1</v>
          </cell>
        </row>
        <row r="1904">
          <cell r="B1904">
            <v>102</v>
          </cell>
        </row>
        <row r="1904">
          <cell r="I1904">
            <v>7.2</v>
          </cell>
        </row>
        <row r="1905">
          <cell r="B1905">
            <v>98</v>
          </cell>
        </row>
        <row r="1905">
          <cell r="I1905">
            <v>6</v>
          </cell>
        </row>
        <row r="1906">
          <cell r="B1906">
            <v>111</v>
          </cell>
        </row>
        <row r="1906">
          <cell r="I1906">
            <v>6.7</v>
          </cell>
        </row>
        <row r="1907">
          <cell r="B1907">
            <v>100</v>
          </cell>
        </row>
        <row r="1907">
          <cell r="I1907">
            <v>6.2</v>
          </cell>
        </row>
        <row r="1908">
          <cell r="B1908">
            <v>141</v>
          </cell>
        </row>
        <row r="1908">
          <cell r="I1908">
            <v>6.2</v>
          </cell>
        </row>
        <row r="1909">
          <cell r="B1909">
            <v>114</v>
          </cell>
        </row>
        <row r="1909">
          <cell r="I1909">
            <v>6.8</v>
          </cell>
        </row>
        <row r="1910">
          <cell r="B1910">
            <v>96</v>
          </cell>
        </row>
        <row r="1910">
          <cell r="I1910">
            <v>7.1</v>
          </cell>
        </row>
        <row r="1911">
          <cell r="B1911">
            <v>111</v>
          </cell>
        </row>
        <row r="1911">
          <cell r="I1911">
            <v>7.1</v>
          </cell>
        </row>
        <row r="1912">
          <cell r="B1912">
            <v>127</v>
          </cell>
        </row>
        <row r="1912">
          <cell r="I1912">
            <v>7</v>
          </cell>
        </row>
        <row r="1913">
          <cell r="B1913">
            <v>107</v>
          </cell>
        </row>
        <row r="1913">
          <cell r="I1913">
            <v>7.1</v>
          </cell>
        </row>
        <row r="1914">
          <cell r="B1914">
            <v>97</v>
          </cell>
        </row>
        <row r="1914">
          <cell r="I1914">
            <v>6.4</v>
          </cell>
        </row>
        <row r="1915">
          <cell r="B1915">
            <v>127</v>
          </cell>
        </row>
        <row r="1915">
          <cell r="I1915">
            <v>7</v>
          </cell>
        </row>
        <row r="1916">
          <cell r="B1916">
            <v>110</v>
          </cell>
        </row>
        <row r="1916">
          <cell r="I1916">
            <v>6.2</v>
          </cell>
        </row>
        <row r="1917">
          <cell r="B1917">
            <v>135</v>
          </cell>
        </row>
        <row r="1917">
          <cell r="I1917">
            <v>7.5</v>
          </cell>
        </row>
        <row r="1918">
          <cell r="B1918">
            <v>84</v>
          </cell>
        </row>
        <row r="1918">
          <cell r="I1918">
            <v>4.8</v>
          </cell>
        </row>
        <row r="1919">
          <cell r="B1919">
            <v>122</v>
          </cell>
        </row>
        <row r="1919">
          <cell r="I1919">
            <v>7.3</v>
          </cell>
        </row>
        <row r="1920">
          <cell r="B1920">
            <v>114</v>
          </cell>
        </row>
        <row r="1920">
          <cell r="I1920">
            <v>5.8</v>
          </cell>
        </row>
        <row r="1921">
          <cell r="B1921">
            <v>132</v>
          </cell>
        </row>
        <row r="1921">
          <cell r="I1921">
            <v>7.6</v>
          </cell>
        </row>
        <row r="1922">
          <cell r="B1922">
            <v>170</v>
          </cell>
        </row>
        <row r="1922">
          <cell r="I1922">
            <v>5.6</v>
          </cell>
        </row>
        <row r="1923">
          <cell r="B1923">
            <v>133</v>
          </cell>
        </row>
        <row r="1923">
          <cell r="I1923">
            <v>7</v>
          </cell>
        </row>
        <row r="1924">
          <cell r="B1924">
            <v>112</v>
          </cell>
        </row>
        <row r="1924">
          <cell r="I1924">
            <v>6.6</v>
          </cell>
        </row>
        <row r="1925">
          <cell r="B1925">
            <v>108</v>
          </cell>
        </row>
        <row r="1925">
          <cell r="I1925">
            <v>6.5</v>
          </cell>
        </row>
        <row r="1926">
          <cell r="B1926">
            <v>115</v>
          </cell>
        </row>
        <row r="1926">
          <cell r="I1926">
            <v>7.4</v>
          </cell>
        </row>
        <row r="1927">
          <cell r="B1927">
            <v>83</v>
          </cell>
        </row>
        <row r="1927">
          <cell r="I1927">
            <v>4.6</v>
          </cell>
        </row>
        <row r="1928">
          <cell r="B1928">
            <v>105</v>
          </cell>
        </row>
        <row r="1928">
          <cell r="I1928">
            <v>6.4</v>
          </cell>
        </row>
        <row r="1929">
          <cell r="B1929">
            <v>96</v>
          </cell>
        </row>
        <row r="1929">
          <cell r="I1929">
            <v>5.9</v>
          </cell>
        </row>
        <row r="1930">
          <cell r="B1930">
            <v>94</v>
          </cell>
        </row>
        <row r="1930">
          <cell r="I1930">
            <v>6.4</v>
          </cell>
        </row>
        <row r="1931">
          <cell r="B1931">
            <v>142</v>
          </cell>
        </row>
        <row r="1931">
          <cell r="I1931">
            <v>6.6</v>
          </cell>
        </row>
        <row r="1932">
          <cell r="B1932">
            <v>104</v>
          </cell>
        </row>
        <row r="1932">
          <cell r="I1932">
            <v>6.9</v>
          </cell>
        </row>
        <row r="1933">
          <cell r="B1933">
            <v>106</v>
          </cell>
        </row>
        <row r="1933">
          <cell r="I1933">
            <v>5.8</v>
          </cell>
        </row>
        <row r="1934">
          <cell r="B1934">
            <v>106</v>
          </cell>
        </row>
        <row r="1934">
          <cell r="I1934">
            <v>6.4</v>
          </cell>
        </row>
        <row r="1935">
          <cell r="B1935">
            <v>98</v>
          </cell>
        </row>
        <row r="1935">
          <cell r="I1935">
            <v>5.3</v>
          </cell>
        </row>
        <row r="1936">
          <cell r="B1936">
            <v>100</v>
          </cell>
        </row>
        <row r="1936">
          <cell r="I1936">
            <v>6.5</v>
          </cell>
        </row>
        <row r="1937">
          <cell r="B1937">
            <v>95</v>
          </cell>
        </row>
        <row r="1937">
          <cell r="I1937">
            <v>5.7</v>
          </cell>
        </row>
        <row r="1938">
          <cell r="B1938">
            <v>107</v>
          </cell>
        </row>
        <row r="1938">
          <cell r="I1938">
            <v>6.7</v>
          </cell>
        </row>
        <row r="1939">
          <cell r="B1939">
            <v>104</v>
          </cell>
        </row>
        <row r="1939">
          <cell r="I1939">
            <v>3.9</v>
          </cell>
        </row>
        <row r="1940">
          <cell r="B1940">
            <v>104</v>
          </cell>
        </row>
        <row r="1940">
          <cell r="I1940">
            <v>4.1</v>
          </cell>
        </row>
        <row r="1941">
          <cell r="B1941">
            <v>143</v>
          </cell>
        </row>
        <row r="1941">
          <cell r="I1941">
            <v>6.2</v>
          </cell>
        </row>
        <row r="1942">
          <cell r="B1942">
            <v>77</v>
          </cell>
        </row>
        <row r="1942">
          <cell r="I1942">
            <v>3.8</v>
          </cell>
        </row>
        <row r="1943">
          <cell r="B1943">
            <v>96</v>
          </cell>
        </row>
        <row r="1943">
          <cell r="I1943">
            <v>5.1</v>
          </cell>
        </row>
        <row r="1944">
          <cell r="B1944">
            <v>145</v>
          </cell>
        </row>
        <row r="1944">
          <cell r="I1944">
            <v>7.8</v>
          </cell>
        </row>
        <row r="1945">
          <cell r="B1945">
            <v>116</v>
          </cell>
        </row>
        <row r="1945">
          <cell r="I1945">
            <v>7.8</v>
          </cell>
        </row>
        <row r="1946">
          <cell r="B1946">
            <v>100</v>
          </cell>
        </row>
        <row r="1946">
          <cell r="I1946">
            <v>6.1</v>
          </cell>
        </row>
        <row r="1947">
          <cell r="B1947">
            <v>104</v>
          </cell>
        </row>
        <row r="1947">
          <cell r="I1947">
            <v>5.8</v>
          </cell>
        </row>
        <row r="1948">
          <cell r="B1948">
            <v>92</v>
          </cell>
        </row>
        <row r="1948">
          <cell r="I1948">
            <v>6.3</v>
          </cell>
        </row>
        <row r="1949">
          <cell r="B1949">
            <v>105</v>
          </cell>
        </row>
        <row r="1949">
          <cell r="I1949">
            <v>5.4</v>
          </cell>
        </row>
        <row r="1950">
          <cell r="B1950">
            <v>120</v>
          </cell>
        </row>
        <row r="1950">
          <cell r="I1950">
            <v>7.3</v>
          </cell>
        </row>
        <row r="1951">
          <cell r="B1951">
            <v>116</v>
          </cell>
        </row>
        <row r="1951">
          <cell r="I1951">
            <v>6.8</v>
          </cell>
        </row>
        <row r="1952">
          <cell r="B1952">
            <v>119</v>
          </cell>
        </row>
        <row r="1952">
          <cell r="I1952">
            <v>7.3</v>
          </cell>
        </row>
        <row r="1953">
          <cell r="B1953">
            <v>101</v>
          </cell>
        </row>
        <row r="1953">
          <cell r="I1953">
            <v>6.5</v>
          </cell>
        </row>
        <row r="1954">
          <cell r="B1954">
            <v>117</v>
          </cell>
        </row>
        <row r="1954">
          <cell r="I1954">
            <v>7.2</v>
          </cell>
        </row>
        <row r="1955">
          <cell r="B1955">
            <v>112</v>
          </cell>
        </row>
        <row r="1955">
          <cell r="I1955">
            <v>6.3</v>
          </cell>
        </row>
        <row r="1956">
          <cell r="B1956">
            <v>136</v>
          </cell>
        </row>
        <row r="1956">
          <cell r="I1956">
            <v>5.9</v>
          </cell>
        </row>
        <row r="1957">
          <cell r="B1957">
            <v>81</v>
          </cell>
        </row>
        <row r="1957">
          <cell r="I1957">
            <v>7.8</v>
          </cell>
        </row>
        <row r="1958">
          <cell r="B1958">
            <v>87</v>
          </cell>
        </row>
        <row r="1958">
          <cell r="I1958">
            <v>7.4</v>
          </cell>
        </row>
        <row r="1959">
          <cell r="B1959">
            <v>96</v>
          </cell>
        </row>
        <row r="1959">
          <cell r="I1959">
            <v>4.8</v>
          </cell>
        </row>
        <row r="1960">
          <cell r="B1960">
            <v>106</v>
          </cell>
        </row>
        <row r="1960">
          <cell r="I1960">
            <v>6.3</v>
          </cell>
        </row>
        <row r="1961">
          <cell r="B1961">
            <v>122</v>
          </cell>
        </row>
        <row r="1961">
          <cell r="I1961">
            <v>7.8</v>
          </cell>
        </row>
        <row r="1962">
          <cell r="B1962">
            <v>123</v>
          </cell>
        </row>
        <row r="1962">
          <cell r="I1962">
            <v>7.5</v>
          </cell>
        </row>
        <row r="1963">
          <cell r="B1963">
            <v>92</v>
          </cell>
        </row>
        <row r="1963">
          <cell r="I1963">
            <v>6.8</v>
          </cell>
        </row>
        <row r="1964">
          <cell r="B1964">
            <v>110</v>
          </cell>
        </row>
        <row r="1964">
          <cell r="I1964">
            <v>6.6</v>
          </cell>
        </row>
        <row r="1965">
          <cell r="B1965">
            <v>104</v>
          </cell>
        </row>
        <row r="1965">
          <cell r="I1965">
            <v>4.6</v>
          </cell>
        </row>
        <row r="1966">
          <cell r="B1966">
            <v>98</v>
          </cell>
        </row>
        <row r="1966">
          <cell r="I1966">
            <v>7.1</v>
          </cell>
        </row>
        <row r="1967">
          <cell r="B1967">
            <v>120</v>
          </cell>
        </row>
        <row r="1967">
          <cell r="I1967">
            <v>6.1</v>
          </cell>
        </row>
        <row r="1968">
          <cell r="B1968">
            <v>112</v>
          </cell>
        </row>
        <row r="1968">
          <cell r="I1968">
            <v>6.7</v>
          </cell>
        </row>
        <row r="1969">
          <cell r="B1969">
            <v>127</v>
          </cell>
        </row>
        <row r="1969">
          <cell r="I1969">
            <v>7.1</v>
          </cell>
        </row>
        <row r="1970">
          <cell r="B1970">
            <v>102</v>
          </cell>
        </row>
        <row r="1970">
          <cell r="I1970">
            <v>5.8</v>
          </cell>
        </row>
        <row r="1971">
          <cell r="B1971">
            <v>91</v>
          </cell>
        </row>
        <row r="1971">
          <cell r="I1971">
            <v>6.7</v>
          </cell>
        </row>
        <row r="1972">
          <cell r="B1972">
            <v>114</v>
          </cell>
        </row>
        <row r="1972">
          <cell r="I1972">
            <v>5.8</v>
          </cell>
        </row>
        <row r="1973">
          <cell r="B1973">
            <v>115</v>
          </cell>
        </row>
        <row r="1973">
          <cell r="I1973">
            <v>6.8</v>
          </cell>
        </row>
        <row r="1974">
          <cell r="B1974">
            <v>115</v>
          </cell>
        </row>
        <row r="1974">
          <cell r="I1974">
            <v>8.5</v>
          </cell>
        </row>
        <row r="1975">
          <cell r="B1975">
            <v>120</v>
          </cell>
        </row>
        <row r="1975">
          <cell r="I1975">
            <v>6.6</v>
          </cell>
        </row>
        <row r="1976">
          <cell r="B1976">
            <v>135</v>
          </cell>
        </row>
        <row r="1976">
          <cell r="I1976">
            <v>7.7</v>
          </cell>
        </row>
        <row r="1977">
          <cell r="B1977">
            <v>90</v>
          </cell>
        </row>
        <row r="1977">
          <cell r="I1977">
            <v>4.7</v>
          </cell>
        </row>
        <row r="1978">
          <cell r="B1978">
            <v>100</v>
          </cell>
        </row>
        <row r="1978">
          <cell r="I1978">
            <v>6.4</v>
          </cell>
        </row>
        <row r="1979">
          <cell r="B1979">
            <v>105</v>
          </cell>
        </row>
        <row r="1979">
          <cell r="I1979">
            <v>5.5</v>
          </cell>
        </row>
        <row r="1980">
          <cell r="B1980">
            <v>138</v>
          </cell>
        </row>
        <row r="1980">
          <cell r="I1980">
            <v>8.6</v>
          </cell>
        </row>
        <row r="1981">
          <cell r="B1981">
            <v>94</v>
          </cell>
        </row>
        <row r="1981">
          <cell r="I1981">
            <v>7</v>
          </cell>
        </row>
        <row r="1982">
          <cell r="B1982">
            <v>101</v>
          </cell>
        </row>
        <row r="1982">
          <cell r="I1982">
            <v>7.1</v>
          </cell>
        </row>
        <row r="1983">
          <cell r="B1983">
            <v>131</v>
          </cell>
        </row>
        <row r="1983">
          <cell r="I1983">
            <v>5.7</v>
          </cell>
        </row>
        <row r="1984">
          <cell r="B1984">
            <v>91</v>
          </cell>
        </row>
        <row r="1984">
          <cell r="I1984">
            <v>3.7</v>
          </cell>
        </row>
        <row r="1985">
          <cell r="B1985">
            <v>112</v>
          </cell>
        </row>
        <row r="1985">
          <cell r="I1985">
            <v>7.5</v>
          </cell>
        </row>
        <row r="1986">
          <cell r="B1986">
            <v>95</v>
          </cell>
        </row>
        <row r="1986">
          <cell r="I1986">
            <v>4.6</v>
          </cell>
        </row>
        <row r="1987">
          <cell r="B1987">
            <v>100</v>
          </cell>
        </row>
        <row r="1987">
          <cell r="I1987">
            <v>4.9</v>
          </cell>
        </row>
        <row r="1988">
          <cell r="B1988">
            <v>108</v>
          </cell>
        </row>
        <row r="1988">
          <cell r="I1988">
            <v>7.1</v>
          </cell>
        </row>
        <row r="1989">
          <cell r="B1989">
            <v>101</v>
          </cell>
        </row>
        <row r="1989">
          <cell r="I1989">
            <v>5.8</v>
          </cell>
        </row>
        <row r="1990">
          <cell r="B1990">
            <v>109</v>
          </cell>
        </row>
        <row r="1990">
          <cell r="I1990">
            <v>5.4</v>
          </cell>
        </row>
        <row r="1991">
          <cell r="B1991">
            <v>115</v>
          </cell>
        </row>
        <row r="1991">
          <cell r="I1991">
            <v>7.3</v>
          </cell>
        </row>
        <row r="1992">
          <cell r="B1992">
            <v>117</v>
          </cell>
        </row>
        <row r="1992">
          <cell r="I1992">
            <v>7.1</v>
          </cell>
        </row>
        <row r="1993">
          <cell r="B1993">
            <v>107</v>
          </cell>
        </row>
        <row r="1993">
          <cell r="I1993">
            <v>5.8</v>
          </cell>
        </row>
        <row r="1994">
          <cell r="B1994">
            <v>134</v>
          </cell>
        </row>
        <row r="1994">
          <cell r="I1994">
            <v>8.1</v>
          </cell>
        </row>
        <row r="1995">
          <cell r="B1995">
            <v>118</v>
          </cell>
        </row>
        <row r="1995">
          <cell r="I1995">
            <v>5.7</v>
          </cell>
        </row>
        <row r="1996">
          <cell r="B1996">
            <v>121</v>
          </cell>
        </row>
        <row r="1996">
          <cell r="I1996">
            <v>4.4</v>
          </cell>
        </row>
        <row r="1997">
          <cell r="B1997">
            <v>105</v>
          </cell>
        </row>
        <row r="1997">
          <cell r="I1997">
            <v>7.9</v>
          </cell>
        </row>
        <row r="1998">
          <cell r="B1998">
            <v>110</v>
          </cell>
        </row>
        <row r="1998">
          <cell r="I1998">
            <v>7.6</v>
          </cell>
        </row>
        <row r="1999">
          <cell r="B1999">
            <v>114</v>
          </cell>
        </row>
        <row r="1999">
          <cell r="I1999">
            <v>4.8</v>
          </cell>
        </row>
        <row r="2000">
          <cell r="B2000">
            <v>100</v>
          </cell>
        </row>
        <row r="2000">
          <cell r="I2000">
            <v>6.7</v>
          </cell>
        </row>
        <row r="2001">
          <cell r="B2001">
            <v>85</v>
          </cell>
        </row>
        <row r="2001">
          <cell r="I2001">
            <v>2.7</v>
          </cell>
        </row>
        <row r="2002">
          <cell r="B2002">
            <v>72</v>
          </cell>
        </row>
        <row r="2002">
          <cell r="I2002">
            <v>5.8</v>
          </cell>
        </row>
        <row r="2003">
          <cell r="B2003">
            <v>128</v>
          </cell>
        </row>
        <row r="2003">
          <cell r="I2003">
            <v>7.5</v>
          </cell>
        </row>
        <row r="2004">
          <cell r="B2004">
            <v>72</v>
          </cell>
        </row>
        <row r="2004">
          <cell r="I2004">
            <v>5.4</v>
          </cell>
        </row>
        <row r="2005">
          <cell r="B2005">
            <v>89</v>
          </cell>
        </row>
        <row r="2005">
          <cell r="I2005">
            <v>4.1</v>
          </cell>
        </row>
        <row r="2006">
          <cell r="B2006">
            <v>96</v>
          </cell>
        </row>
        <row r="2006">
          <cell r="I2006">
            <v>5.9</v>
          </cell>
        </row>
        <row r="2007">
          <cell r="B2007">
            <v>77</v>
          </cell>
        </row>
        <row r="2007">
          <cell r="I2007">
            <v>6.3</v>
          </cell>
        </row>
        <row r="2008">
          <cell r="B2008">
            <v>111</v>
          </cell>
        </row>
        <row r="2008">
          <cell r="I2008">
            <v>6.8</v>
          </cell>
        </row>
        <row r="2009">
          <cell r="B2009">
            <v>93</v>
          </cell>
        </row>
        <row r="2009">
          <cell r="I2009">
            <v>2.3</v>
          </cell>
        </row>
        <row r="2010">
          <cell r="B2010">
            <v>128</v>
          </cell>
        </row>
        <row r="2010">
          <cell r="I2010">
            <v>8.1</v>
          </cell>
        </row>
        <row r="2011">
          <cell r="B2011">
            <v>110</v>
          </cell>
        </row>
        <row r="2011">
          <cell r="I2011">
            <v>6.1</v>
          </cell>
        </row>
        <row r="2012">
          <cell r="B2012">
            <v>137</v>
          </cell>
        </row>
        <row r="2012">
          <cell r="I2012">
            <v>5</v>
          </cell>
        </row>
        <row r="2013">
          <cell r="B2013">
            <v>124</v>
          </cell>
        </row>
        <row r="2013">
          <cell r="I2013">
            <v>5.5</v>
          </cell>
        </row>
        <row r="2014">
          <cell r="B2014">
            <v>93</v>
          </cell>
        </row>
        <row r="2014">
          <cell r="I2014">
            <v>6.2</v>
          </cell>
        </row>
        <row r="2015">
          <cell r="B2015">
            <v>115</v>
          </cell>
        </row>
        <row r="2015">
          <cell r="I2015">
            <v>6.2</v>
          </cell>
        </row>
        <row r="2016">
          <cell r="B2016">
            <v>105</v>
          </cell>
        </row>
        <row r="2016">
          <cell r="I2016">
            <v>6.3</v>
          </cell>
        </row>
        <row r="2017">
          <cell r="B2017">
            <v>127</v>
          </cell>
        </row>
        <row r="2017">
          <cell r="I2017">
            <v>6.7</v>
          </cell>
        </row>
        <row r="2018">
          <cell r="B2018">
            <v>82</v>
          </cell>
        </row>
        <row r="2018">
          <cell r="I2018">
            <v>3.5</v>
          </cell>
        </row>
        <row r="2019">
          <cell r="B2019">
            <v>143</v>
          </cell>
        </row>
        <row r="2019">
          <cell r="I2019">
            <v>7.5</v>
          </cell>
        </row>
        <row r="2020">
          <cell r="B2020">
            <v>103</v>
          </cell>
        </row>
        <row r="2020">
          <cell r="I2020">
            <v>6.6</v>
          </cell>
        </row>
        <row r="2021">
          <cell r="B2021">
            <v>104</v>
          </cell>
        </row>
        <row r="2021">
          <cell r="I2021">
            <v>7.5</v>
          </cell>
        </row>
        <row r="2022">
          <cell r="B2022">
            <v>98</v>
          </cell>
        </row>
        <row r="2022">
          <cell r="I2022">
            <v>7.2</v>
          </cell>
        </row>
        <row r="2023">
          <cell r="B2023">
            <v>92</v>
          </cell>
        </row>
        <row r="2023">
          <cell r="I2023">
            <v>4.8</v>
          </cell>
        </row>
        <row r="2024">
          <cell r="B2024">
            <v>123</v>
          </cell>
        </row>
        <row r="2024">
          <cell r="I2024">
            <v>6.6</v>
          </cell>
        </row>
        <row r="2025">
          <cell r="B2025">
            <v>88</v>
          </cell>
        </row>
        <row r="2025">
          <cell r="I2025">
            <v>3.5</v>
          </cell>
        </row>
        <row r="2026">
          <cell r="B2026">
            <v>128</v>
          </cell>
        </row>
        <row r="2026">
          <cell r="I2026">
            <v>7.6</v>
          </cell>
        </row>
        <row r="2027">
          <cell r="B2027">
            <v>107</v>
          </cell>
        </row>
        <row r="2027">
          <cell r="I2027">
            <v>6.3</v>
          </cell>
        </row>
        <row r="2028">
          <cell r="B2028">
            <v>91</v>
          </cell>
        </row>
        <row r="2028">
          <cell r="I2028">
            <v>5.5</v>
          </cell>
        </row>
        <row r="2029">
          <cell r="B2029">
            <v>90</v>
          </cell>
        </row>
        <row r="2029">
          <cell r="I2029">
            <v>6.3</v>
          </cell>
        </row>
        <row r="2030">
          <cell r="B2030">
            <v>115</v>
          </cell>
        </row>
        <row r="2030">
          <cell r="I2030">
            <v>6.5</v>
          </cell>
        </row>
        <row r="2031">
          <cell r="B2031">
            <v>113</v>
          </cell>
        </row>
        <row r="2031">
          <cell r="I2031">
            <v>6.9</v>
          </cell>
        </row>
        <row r="2032">
          <cell r="B2032">
            <v>113</v>
          </cell>
        </row>
        <row r="2032">
          <cell r="I2032">
            <v>7.6</v>
          </cell>
        </row>
        <row r="2033">
          <cell r="B2033">
            <v>87</v>
          </cell>
        </row>
        <row r="2033">
          <cell r="I2033">
            <v>3.9</v>
          </cell>
        </row>
        <row r="2034">
          <cell r="B2034">
            <v>101</v>
          </cell>
        </row>
        <row r="2034">
          <cell r="I2034">
            <v>6.1</v>
          </cell>
        </row>
        <row r="2035">
          <cell r="B2035">
            <v>111</v>
          </cell>
        </row>
        <row r="2035">
          <cell r="I2035">
            <v>7.3</v>
          </cell>
        </row>
        <row r="2036">
          <cell r="B2036">
            <v>108</v>
          </cell>
        </row>
        <row r="2036">
          <cell r="I2036">
            <v>8.3</v>
          </cell>
        </row>
        <row r="2037">
          <cell r="B2037">
            <v>105</v>
          </cell>
        </row>
        <row r="2037">
          <cell r="I2037">
            <v>5.8</v>
          </cell>
        </row>
        <row r="2038">
          <cell r="B2038">
            <v>109</v>
          </cell>
        </row>
        <row r="2038">
          <cell r="I2038">
            <v>6.8</v>
          </cell>
        </row>
        <row r="2039">
          <cell r="B2039">
            <v>109</v>
          </cell>
        </row>
        <row r="2039">
          <cell r="I2039">
            <v>7</v>
          </cell>
        </row>
        <row r="2040">
          <cell r="B2040">
            <v>99</v>
          </cell>
        </row>
        <row r="2040">
          <cell r="I2040">
            <v>5.9</v>
          </cell>
        </row>
        <row r="2041">
          <cell r="B2041">
            <v>98</v>
          </cell>
        </row>
        <row r="2041">
          <cell r="I2041">
            <v>6.5</v>
          </cell>
        </row>
        <row r="2042">
          <cell r="B2042">
            <v>104</v>
          </cell>
        </row>
        <row r="2042">
          <cell r="I2042">
            <v>6.4</v>
          </cell>
        </row>
        <row r="2043">
          <cell r="B2043">
            <v>109</v>
          </cell>
        </row>
        <row r="2043">
          <cell r="I2043">
            <v>5.8</v>
          </cell>
        </row>
        <row r="2044">
          <cell r="B2044">
            <v>75</v>
          </cell>
        </row>
        <row r="2044">
          <cell r="I2044">
            <v>5.1</v>
          </cell>
        </row>
        <row r="2045">
          <cell r="B2045">
            <v>119</v>
          </cell>
        </row>
        <row r="2045">
          <cell r="I2045">
            <v>6.8</v>
          </cell>
        </row>
        <row r="2046">
          <cell r="B2046">
            <v>90</v>
          </cell>
        </row>
        <row r="2046">
          <cell r="I2046">
            <v>5.3</v>
          </cell>
        </row>
        <row r="2047">
          <cell r="B2047">
            <v>97</v>
          </cell>
        </row>
        <row r="2047">
          <cell r="I2047">
            <v>5.3</v>
          </cell>
        </row>
        <row r="2048">
          <cell r="B2048">
            <v>89</v>
          </cell>
        </row>
        <row r="2048">
          <cell r="I2048">
            <v>4.9</v>
          </cell>
        </row>
        <row r="2049">
          <cell r="B2049">
            <v>106</v>
          </cell>
        </row>
        <row r="2049">
          <cell r="I2049">
            <v>6.8</v>
          </cell>
        </row>
        <row r="2050">
          <cell r="B2050">
            <v>96</v>
          </cell>
        </row>
        <row r="2050">
          <cell r="I2050">
            <v>7.1</v>
          </cell>
        </row>
        <row r="2051">
          <cell r="B2051">
            <v>104</v>
          </cell>
        </row>
        <row r="2051">
          <cell r="I2051">
            <v>6.1</v>
          </cell>
        </row>
        <row r="2052">
          <cell r="B2052">
            <v>108</v>
          </cell>
        </row>
        <row r="2052">
          <cell r="I2052">
            <v>8.5</v>
          </cell>
        </row>
        <row r="2053">
          <cell r="B2053">
            <v>112</v>
          </cell>
        </row>
        <row r="2053">
          <cell r="I2053">
            <v>5.9</v>
          </cell>
        </row>
        <row r="2054">
          <cell r="B2054">
            <v>104</v>
          </cell>
        </row>
        <row r="2054">
          <cell r="I2054">
            <v>6.3</v>
          </cell>
        </row>
        <row r="2055">
          <cell r="B2055">
            <v>113</v>
          </cell>
        </row>
        <row r="2055">
          <cell r="I2055">
            <v>5.9</v>
          </cell>
        </row>
        <row r="2056">
          <cell r="B2056">
            <v>98</v>
          </cell>
        </row>
        <row r="2056">
          <cell r="I2056">
            <v>5.4</v>
          </cell>
        </row>
        <row r="2057">
          <cell r="B2057">
            <v>114</v>
          </cell>
        </row>
        <row r="2057">
          <cell r="I2057">
            <v>6.9</v>
          </cell>
        </row>
        <row r="2058">
          <cell r="B2058">
            <v>124</v>
          </cell>
        </row>
        <row r="2058">
          <cell r="I2058">
            <v>7.5</v>
          </cell>
        </row>
        <row r="2059">
          <cell r="B2059">
            <v>148</v>
          </cell>
        </row>
        <row r="2059">
          <cell r="I2059">
            <v>8.2</v>
          </cell>
        </row>
        <row r="2060">
          <cell r="B2060">
            <v>108</v>
          </cell>
        </row>
        <row r="2060">
          <cell r="I2060">
            <v>5.9</v>
          </cell>
        </row>
        <row r="2061">
          <cell r="B2061">
            <v>95</v>
          </cell>
        </row>
        <row r="2061">
          <cell r="I2061">
            <v>5</v>
          </cell>
        </row>
        <row r="2062">
          <cell r="B2062">
            <v>108</v>
          </cell>
        </row>
        <row r="2062">
          <cell r="I2062">
            <v>7.3</v>
          </cell>
        </row>
        <row r="2063">
          <cell r="B2063">
            <v>68</v>
          </cell>
        </row>
        <row r="2063">
          <cell r="I2063">
            <v>6.4</v>
          </cell>
        </row>
        <row r="2064">
          <cell r="B2064">
            <v>103</v>
          </cell>
        </row>
        <row r="2064">
          <cell r="I2064">
            <v>6.6</v>
          </cell>
        </row>
        <row r="2065">
          <cell r="B2065">
            <v>99</v>
          </cell>
        </row>
        <row r="2065">
          <cell r="I2065">
            <v>7.8</v>
          </cell>
        </row>
        <row r="2066">
          <cell r="B2066">
            <v>88</v>
          </cell>
        </row>
        <row r="2066">
          <cell r="I2066">
            <v>4</v>
          </cell>
        </row>
        <row r="2067">
          <cell r="B2067">
            <v>128</v>
          </cell>
        </row>
        <row r="2067">
          <cell r="I2067">
            <v>7.6</v>
          </cell>
        </row>
        <row r="2068">
          <cell r="B2068">
            <v>124</v>
          </cell>
        </row>
        <row r="2068">
          <cell r="I2068">
            <v>7.7</v>
          </cell>
        </row>
        <row r="2069">
          <cell r="B2069">
            <v>84</v>
          </cell>
        </row>
        <row r="2069">
          <cell r="I2069">
            <v>5.8</v>
          </cell>
        </row>
        <row r="2070">
          <cell r="B2070">
            <v>101</v>
          </cell>
        </row>
        <row r="2070">
          <cell r="I2070">
            <v>5.6</v>
          </cell>
        </row>
        <row r="2071">
          <cell r="B2071">
            <v>98</v>
          </cell>
        </row>
        <row r="2071">
          <cell r="I2071">
            <v>5.3</v>
          </cell>
        </row>
        <row r="2072">
          <cell r="B2072">
            <v>225</v>
          </cell>
        </row>
        <row r="2072">
          <cell r="I2072">
            <v>6.6</v>
          </cell>
        </row>
        <row r="2073">
          <cell r="B2073">
            <v>88</v>
          </cell>
        </row>
        <row r="2073">
          <cell r="I2073">
            <v>1.9</v>
          </cell>
        </row>
        <row r="2074">
          <cell r="B2074">
            <v>88</v>
          </cell>
        </row>
        <row r="2074">
          <cell r="I2074">
            <v>5.7</v>
          </cell>
        </row>
        <row r="2075">
          <cell r="B2075">
            <v>94</v>
          </cell>
        </row>
        <row r="2075">
          <cell r="I2075">
            <v>6.6</v>
          </cell>
        </row>
        <row r="2076">
          <cell r="B2076">
            <v>117</v>
          </cell>
        </row>
        <row r="2076">
          <cell r="I2076">
            <v>6</v>
          </cell>
        </row>
        <row r="2077">
          <cell r="B2077">
            <v>95</v>
          </cell>
        </row>
        <row r="2077">
          <cell r="I2077">
            <v>6.1</v>
          </cell>
        </row>
        <row r="2078">
          <cell r="B2078">
            <v>99</v>
          </cell>
        </row>
        <row r="2078">
          <cell r="I2078">
            <v>4.8</v>
          </cell>
        </row>
        <row r="2079">
          <cell r="B2079">
            <v>96</v>
          </cell>
        </row>
        <row r="2079">
          <cell r="I2079">
            <v>6.2</v>
          </cell>
        </row>
        <row r="2080">
          <cell r="B2080">
            <v>98</v>
          </cell>
        </row>
        <row r="2080">
          <cell r="I2080">
            <v>7.5</v>
          </cell>
        </row>
        <row r="2081">
          <cell r="B2081">
            <v>123</v>
          </cell>
        </row>
        <row r="2081">
          <cell r="I2081">
            <v>6.3</v>
          </cell>
        </row>
        <row r="2082">
          <cell r="B2082">
            <v>101</v>
          </cell>
        </row>
        <row r="2082">
          <cell r="I2082">
            <v>7.1</v>
          </cell>
        </row>
        <row r="2083">
          <cell r="B2083">
            <v>102</v>
          </cell>
        </row>
        <row r="2083">
          <cell r="I2083">
            <v>6.6</v>
          </cell>
        </row>
        <row r="2084">
          <cell r="B2084">
            <v>94</v>
          </cell>
        </row>
        <row r="2084">
          <cell r="I2084">
            <v>6.1</v>
          </cell>
        </row>
        <row r="2085">
          <cell r="B2085">
            <v>102</v>
          </cell>
        </row>
        <row r="2085">
          <cell r="I2085">
            <v>6.7</v>
          </cell>
        </row>
        <row r="2086">
          <cell r="B2086">
            <v>108</v>
          </cell>
        </row>
        <row r="2086">
          <cell r="I2086">
            <v>5.6</v>
          </cell>
        </row>
        <row r="2087">
          <cell r="B2087">
            <v>116</v>
          </cell>
        </row>
        <row r="2087">
          <cell r="I2087">
            <v>7.2</v>
          </cell>
        </row>
        <row r="2088">
          <cell r="B2088">
            <v>93</v>
          </cell>
        </row>
        <row r="2088">
          <cell r="I2088">
            <v>4.3</v>
          </cell>
        </row>
        <row r="2089">
          <cell r="B2089">
            <v>102</v>
          </cell>
        </row>
        <row r="2089">
          <cell r="I2089">
            <v>6.4</v>
          </cell>
        </row>
        <row r="2090">
          <cell r="B2090">
            <v>103</v>
          </cell>
        </row>
        <row r="2090">
          <cell r="I2090">
            <v>7.1</v>
          </cell>
        </row>
        <row r="2091">
          <cell r="B2091">
            <v>115</v>
          </cell>
        </row>
        <row r="2091">
          <cell r="I2091">
            <v>6.3</v>
          </cell>
        </row>
        <row r="2092">
          <cell r="B2092">
            <v>96</v>
          </cell>
        </row>
        <row r="2092">
          <cell r="I2092">
            <v>7.4</v>
          </cell>
        </row>
        <row r="2093">
          <cell r="B2093">
            <v>98</v>
          </cell>
        </row>
        <row r="2093">
          <cell r="I2093">
            <v>6.1</v>
          </cell>
        </row>
        <row r="2094">
          <cell r="B2094">
            <v>101</v>
          </cell>
        </row>
        <row r="2094">
          <cell r="I2094">
            <v>6.6</v>
          </cell>
        </row>
        <row r="2095">
          <cell r="B2095">
            <v>106</v>
          </cell>
        </row>
        <row r="2095">
          <cell r="I2095">
            <v>6</v>
          </cell>
        </row>
        <row r="2096">
          <cell r="B2096">
            <v>101</v>
          </cell>
        </row>
        <row r="2096">
          <cell r="I2096">
            <v>6.8</v>
          </cell>
        </row>
        <row r="2097">
          <cell r="B2097">
            <v>111</v>
          </cell>
        </row>
        <row r="2097">
          <cell r="I2097">
            <v>6.8</v>
          </cell>
        </row>
        <row r="2098">
          <cell r="B2098">
            <v>99</v>
          </cell>
        </row>
        <row r="2098">
          <cell r="I2098">
            <v>7.2</v>
          </cell>
        </row>
        <row r="2099">
          <cell r="B2099">
            <v>88</v>
          </cell>
        </row>
        <row r="2099">
          <cell r="I2099">
            <v>1.9</v>
          </cell>
        </row>
        <row r="2100">
          <cell r="B2100">
            <v>83</v>
          </cell>
        </row>
        <row r="2100">
          <cell r="I2100">
            <v>5.5</v>
          </cell>
        </row>
        <row r="2101">
          <cell r="B2101">
            <v>91</v>
          </cell>
        </row>
        <row r="2101">
          <cell r="I2101">
            <v>4.5</v>
          </cell>
        </row>
        <row r="2102">
          <cell r="B2102">
            <v>108</v>
          </cell>
        </row>
        <row r="2102">
          <cell r="I2102">
            <v>6.3</v>
          </cell>
        </row>
        <row r="2103">
          <cell r="B2103">
            <v>148</v>
          </cell>
        </row>
        <row r="2103">
          <cell r="I2103">
            <v>6.7</v>
          </cell>
        </row>
        <row r="2104">
          <cell r="B2104">
            <v>77</v>
          </cell>
        </row>
        <row r="2104">
          <cell r="I2104">
            <v>2.8</v>
          </cell>
        </row>
        <row r="2105">
          <cell r="B2105">
            <v>110</v>
          </cell>
        </row>
        <row r="2105">
          <cell r="I2105">
            <v>5</v>
          </cell>
        </row>
        <row r="2106">
          <cell r="B2106">
            <v>83</v>
          </cell>
        </row>
        <row r="2106">
          <cell r="I2106">
            <v>4.3</v>
          </cell>
        </row>
        <row r="2107">
          <cell r="B2107">
            <v>107</v>
          </cell>
        </row>
        <row r="2107">
          <cell r="I2107">
            <v>5.6</v>
          </cell>
        </row>
        <row r="2108">
          <cell r="B2108">
            <v>100</v>
          </cell>
        </row>
        <row r="2108">
          <cell r="I2108">
            <v>6.2</v>
          </cell>
        </row>
        <row r="2109">
          <cell r="B2109">
            <v>87</v>
          </cell>
        </row>
        <row r="2109">
          <cell r="I2109">
            <v>5.3</v>
          </cell>
        </row>
        <row r="2110">
          <cell r="B2110">
            <v>154</v>
          </cell>
        </row>
        <row r="2110">
          <cell r="I2110">
            <v>7.4</v>
          </cell>
        </row>
        <row r="2111">
          <cell r="B2111">
            <v>106</v>
          </cell>
        </row>
        <row r="2111">
          <cell r="I2111">
            <v>7.4</v>
          </cell>
        </row>
        <row r="2112">
          <cell r="B2112">
            <v>99</v>
          </cell>
        </row>
        <row r="2112">
          <cell r="I2112">
            <v>6.5</v>
          </cell>
        </row>
        <row r="2113">
          <cell r="B2113">
            <v>100</v>
          </cell>
        </row>
        <row r="2113">
          <cell r="I2113">
            <v>7.1</v>
          </cell>
        </row>
        <row r="2114">
          <cell r="B2114">
            <v>116</v>
          </cell>
        </row>
        <row r="2114">
          <cell r="I2114">
            <v>7.2</v>
          </cell>
        </row>
        <row r="2115">
          <cell r="B2115">
            <v>94</v>
          </cell>
        </row>
        <row r="2115">
          <cell r="I2115">
            <v>2.3</v>
          </cell>
        </row>
        <row r="2116">
          <cell r="B2116">
            <v>111</v>
          </cell>
        </row>
        <row r="2116">
          <cell r="I2116">
            <v>6.4</v>
          </cell>
        </row>
        <row r="2117">
          <cell r="B2117">
            <v>100</v>
          </cell>
        </row>
        <row r="2117">
          <cell r="I2117">
            <v>6.1</v>
          </cell>
        </row>
        <row r="2118">
          <cell r="B2118">
            <v>125</v>
          </cell>
        </row>
        <row r="2118">
          <cell r="I2118">
            <v>7</v>
          </cell>
        </row>
        <row r="2119">
          <cell r="B2119">
            <v>119</v>
          </cell>
        </row>
        <row r="2119">
          <cell r="I2119">
            <v>7</v>
          </cell>
        </row>
        <row r="2120">
          <cell r="B2120">
            <v>135</v>
          </cell>
        </row>
        <row r="2120">
          <cell r="I2120">
            <v>7</v>
          </cell>
        </row>
        <row r="2121">
          <cell r="B2121">
            <v>93</v>
          </cell>
        </row>
        <row r="2121">
          <cell r="I2121">
            <v>4.9</v>
          </cell>
        </row>
        <row r="2122">
          <cell r="B2122">
            <v>114</v>
          </cell>
        </row>
        <row r="2122">
          <cell r="I2122">
            <v>6.9</v>
          </cell>
        </row>
        <row r="2123">
          <cell r="B2123">
            <v>124</v>
          </cell>
        </row>
        <row r="2123">
          <cell r="I2123">
            <v>7.5</v>
          </cell>
        </row>
        <row r="2124">
          <cell r="B2124">
            <v>134</v>
          </cell>
        </row>
        <row r="2124">
          <cell r="I2124">
            <v>8.4</v>
          </cell>
        </row>
        <row r="2125">
          <cell r="B2125">
            <v>114</v>
          </cell>
        </row>
        <row r="2125">
          <cell r="I2125">
            <v>6.9</v>
          </cell>
        </row>
        <row r="2126">
          <cell r="B2126">
            <v>124</v>
          </cell>
        </row>
        <row r="2126">
          <cell r="I2126">
            <v>4.5</v>
          </cell>
        </row>
        <row r="2127">
          <cell r="B2127">
            <v>104</v>
          </cell>
        </row>
        <row r="2127">
          <cell r="I2127">
            <v>7.4</v>
          </cell>
        </row>
        <row r="2128">
          <cell r="B2128">
            <v>118</v>
          </cell>
        </row>
        <row r="2128">
          <cell r="I2128">
            <v>7</v>
          </cell>
        </row>
        <row r="2129">
          <cell r="B2129">
            <v>80</v>
          </cell>
        </row>
        <row r="2129">
          <cell r="I2129">
            <v>2.8</v>
          </cell>
        </row>
        <row r="2130">
          <cell r="B2130">
            <v>107</v>
          </cell>
        </row>
        <row r="2130">
          <cell r="I2130">
            <v>7.5</v>
          </cell>
        </row>
        <row r="2131">
          <cell r="B2131">
            <v>125</v>
          </cell>
        </row>
        <row r="2131">
          <cell r="I2131">
            <v>7.1</v>
          </cell>
        </row>
        <row r="2132">
          <cell r="B2132">
            <v>115</v>
          </cell>
        </row>
        <row r="2132">
          <cell r="I2132">
            <v>6.4</v>
          </cell>
        </row>
        <row r="2133">
          <cell r="B2133">
            <v>88</v>
          </cell>
        </row>
        <row r="2133">
          <cell r="I2133">
            <v>6.7</v>
          </cell>
        </row>
        <row r="2134">
          <cell r="B2134">
            <v>122</v>
          </cell>
        </row>
        <row r="2134">
          <cell r="I2134">
            <v>5.3</v>
          </cell>
        </row>
        <row r="2135">
          <cell r="B2135">
            <v>103</v>
          </cell>
        </row>
        <row r="2135">
          <cell r="I2135">
            <v>6.9</v>
          </cell>
        </row>
        <row r="2136">
          <cell r="B2136">
            <v>101</v>
          </cell>
        </row>
        <row r="2136">
          <cell r="I2136">
            <v>6.2</v>
          </cell>
        </row>
        <row r="2137">
          <cell r="B2137">
            <v>107</v>
          </cell>
        </row>
        <row r="2137">
          <cell r="I2137">
            <v>6.4</v>
          </cell>
        </row>
        <row r="2138">
          <cell r="B2138">
            <v>118</v>
          </cell>
        </row>
        <row r="2138">
          <cell r="I2138">
            <v>6</v>
          </cell>
        </row>
        <row r="2139">
          <cell r="B2139">
            <v>107</v>
          </cell>
        </row>
        <row r="2139">
          <cell r="I2139">
            <v>5.1</v>
          </cell>
        </row>
        <row r="2140">
          <cell r="B2140">
            <v>100</v>
          </cell>
        </row>
        <row r="2140">
          <cell r="I2140">
            <v>5.5</v>
          </cell>
        </row>
        <row r="2141">
          <cell r="B2141">
            <v>110</v>
          </cell>
        </row>
        <row r="2141">
          <cell r="I2141">
            <v>5.4</v>
          </cell>
        </row>
        <row r="2142">
          <cell r="B2142">
            <v>125</v>
          </cell>
        </row>
        <row r="2142">
          <cell r="I2142">
            <v>7.5</v>
          </cell>
        </row>
        <row r="2143">
          <cell r="B2143">
            <v>184</v>
          </cell>
        </row>
        <row r="2143">
          <cell r="I2143">
            <v>7.4</v>
          </cell>
        </row>
        <row r="2144">
          <cell r="B2144">
            <v>236</v>
          </cell>
        </row>
        <row r="2144">
          <cell r="I2144">
            <v>8</v>
          </cell>
        </row>
        <row r="2145">
          <cell r="B2145">
            <v>97</v>
          </cell>
        </row>
        <row r="2145">
          <cell r="I2145">
            <v>5.7</v>
          </cell>
        </row>
        <row r="2146">
          <cell r="B2146">
            <v>113</v>
          </cell>
        </row>
        <row r="2146">
          <cell r="I2146">
            <v>6.8</v>
          </cell>
        </row>
        <row r="2147">
          <cell r="B2147">
            <v>95</v>
          </cell>
        </row>
        <row r="2147">
          <cell r="I2147">
            <v>5.9</v>
          </cell>
        </row>
        <row r="2148">
          <cell r="B2148">
            <v>103</v>
          </cell>
        </row>
        <row r="2148">
          <cell r="I2148">
            <v>7.2</v>
          </cell>
        </row>
        <row r="2149">
          <cell r="B2149">
            <v>91</v>
          </cell>
        </row>
        <row r="2149">
          <cell r="I2149">
            <v>5.5</v>
          </cell>
        </row>
        <row r="2150">
          <cell r="B2150">
            <v>116</v>
          </cell>
        </row>
        <row r="2150">
          <cell r="I2150">
            <v>8.5</v>
          </cell>
        </row>
        <row r="2151">
          <cell r="B2151">
            <v>93</v>
          </cell>
        </row>
        <row r="2151">
          <cell r="I2151">
            <v>5.6</v>
          </cell>
        </row>
        <row r="2152">
          <cell r="B2152">
            <v>113</v>
          </cell>
        </row>
        <row r="2152">
          <cell r="I2152">
            <v>4.1</v>
          </cell>
        </row>
        <row r="2153">
          <cell r="B2153">
            <v>101</v>
          </cell>
        </row>
        <row r="2153">
          <cell r="I2153">
            <v>6.1</v>
          </cell>
        </row>
        <row r="2154">
          <cell r="B2154">
            <v>95</v>
          </cell>
        </row>
        <row r="2154">
          <cell r="I2154">
            <v>5.4</v>
          </cell>
        </row>
        <row r="2155">
          <cell r="B2155">
            <v>109</v>
          </cell>
        </row>
        <row r="2155">
          <cell r="I2155">
            <v>7.1</v>
          </cell>
        </row>
        <row r="2156">
          <cell r="B2156">
            <v>85</v>
          </cell>
        </row>
        <row r="2156">
          <cell r="I2156">
            <v>3.6</v>
          </cell>
        </row>
        <row r="2157">
          <cell r="B2157">
            <v>101</v>
          </cell>
        </row>
        <row r="2157">
          <cell r="I2157">
            <v>6.5</v>
          </cell>
        </row>
        <row r="2158">
          <cell r="B2158">
            <v>125</v>
          </cell>
        </row>
        <row r="2158">
          <cell r="I2158">
            <v>8.6</v>
          </cell>
        </row>
        <row r="2159">
          <cell r="B2159">
            <v>132</v>
          </cell>
        </row>
        <row r="2159">
          <cell r="I2159">
            <v>7</v>
          </cell>
        </row>
        <row r="2160">
          <cell r="B2160">
            <v>131</v>
          </cell>
        </row>
        <row r="2160">
          <cell r="I2160">
            <v>7.6</v>
          </cell>
        </row>
        <row r="2161">
          <cell r="B2161">
            <v>129</v>
          </cell>
        </row>
        <row r="2161">
          <cell r="I2161">
            <v>6.5</v>
          </cell>
        </row>
        <row r="2162">
          <cell r="B2162">
            <v>100</v>
          </cell>
        </row>
        <row r="2162">
          <cell r="I2162">
            <v>6.4</v>
          </cell>
        </row>
        <row r="2163">
          <cell r="B2163">
            <v>97</v>
          </cell>
        </row>
        <row r="2163">
          <cell r="I2163">
            <v>6.3</v>
          </cell>
        </row>
        <row r="2164">
          <cell r="B2164">
            <v>92</v>
          </cell>
        </row>
        <row r="2164">
          <cell r="I2164">
            <v>5.7</v>
          </cell>
        </row>
        <row r="2165">
          <cell r="B2165">
            <v>116</v>
          </cell>
        </row>
        <row r="2165">
          <cell r="I2165">
            <v>6.3</v>
          </cell>
        </row>
        <row r="2166">
          <cell r="B2166">
            <v>90</v>
          </cell>
        </row>
        <row r="2166">
          <cell r="I2166">
            <v>6</v>
          </cell>
        </row>
        <row r="2167">
          <cell r="B2167">
            <v>81</v>
          </cell>
        </row>
        <row r="2167">
          <cell r="I2167">
            <v>7.7</v>
          </cell>
        </row>
        <row r="2168">
          <cell r="B2168">
            <v>97</v>
          </cell>
        </row>
        <row r="2168">
          <cell r="I2168">
            <v>6.2</v>
          </cell>
        </row>
        <row r="2169">
          <cell r="B2169">
            <v>118</v>
          </cell>
        </row>
        <row r="2169">
          <cell r="I2169">
            <v>7.7</v>
          </cell>
        </row>
        <row r="2170">
          <cell r="B2170">
            <v>100</v>
          </cell>
        </row>
        <row r="2170">
          <cell r="I2170">
            <v>6.4</v>
          </cell>
        </row>
        <row r="2171">
          <cell r="B2171">
            <v>97</v>
          </cell>
        </row>
        <row r="2171">
          <cell r="I2171">
            <v>6.4</v>
          </cell>
        </row>
        <row r="2172">
          <cell r="B2172">
            <v>114</v>
          </cell>
        </row>
        <row r="2172">
          <cell r="I2172">
            <v>6.9</v>
          </cell>
        </row>
        <row r="2173">
          <cell r="B2173">
            <v>130</v>
          </cell>
        </row>
        <row r="2173">
          <cell r="I2173">
            <v>7.3</v>
          </cell>
        </row>
        <row r="2174">
          <cell r="B2174">
            <v>82</v>
          </cell>
        </row>
        <row r="2174">
          <cell r="I2174">
            <v>7.3</v>
          </cell>
        </row>
        <row r="2175">
          <cell r="B2175">
            <v>96</v>
          </cell>
        </row>
        <row r="2175">
          <cell r="I2175">
            <v>6.2</v>
          </cell>
        </row>
        <row r="2176">
          <cell r="B2176">
            <v>105</v>
          </cell>
        </row>
        <row r="2176">
          <cell r="I2176">
            <v>6.6</v>
          </cell>
        </row>
        <row r="2177">
          <cell r="B2177">
            <v>122</v>
          </cell>
        </row>
        <row r="2177">
          <cell r="I2177">
            <v>6.7</v>
          </cell>
        </row>
        <row r="2178">
          <cell r="B2178">
            <v>88</v>
          </cell>
        </row>
        <row r="2178">
          <cell r="I2178">
            <v>5.7</v>
          </cell>
        </row>
        <row r="2179">
          <cell r="B2179">
            <v>110</v>
          </cell>
        </row>
        <row r="2179">
          <cell r="I2179">
            <v>3.1</v>
          </cell>
        </row>
        <row r="2180">
          <cell r="B2180">
            <v>103</v>
          </cell>
        </row>
        <row r="2180">
          <cell r="I2180">
            <v>6.3</v>
          </cell>
        </row>
        <row r="2181">
          <cell r="B2181">
            <v>106</v>
          </cell>
        </row>
        <row r="2181">
          <cell r="I2181">
            <v>5.7</v>
          </cell>
        </row>
        <row r="2182">
          <cell r="B2182">
            <v>98</v>
          </cell>
        </row>
        <row r="2182">
          <cell r="I2182">
            <v>7.1</v>
          </cell>
        </row>
        <row r="2183">
          <cell r="B2183">
            <v>68</v>
          </cell>
        </row>
        <row r="2183">
          <cell r="I2183">
            <v>7</v>
          </cell>
        </row>
        <row r="2184">
          <cell r="B2184">
            <v>94</v>
          </cell>
        </row>
        <row r="2184">
          <cell r="I2184">
            <v>6.1</v>
          </cell>
        </row>
        <row r="2185">
          <cell r="B2185">
            <v>99</v>
          </cell>
        </row>
        <row r="2185">
          <cell r="I2185">
            <v>6.6</v>
          </cell>
        </row>
        <row r="2186">
          <cell r="B2186">
            <v>107</v>
          </cell>
        </row>
        <row r="2186">
          <cell r="I2186">
            <v>7.8</v>
          </cell>
        </row>
        <row r="2187">
          <cell r="B2187">
            <v>180</v>
          </cell>
        </row>
        <row r="2187">
          <cell r="I2187">
            <v>8.3</v>
          </cell>
        </row>
        <row r="2188">
          <cell r="B2188">
            <v>89</v>
          </cell>
        </row>
        <row r="2188">
          <cell r="I2188">
            <v>3.9</v>
          </cell>
        </row>
        <row r="2189">
          <cell r="B2189">
            <v>97</v>
          </cell>
        </row>
        <row r="2189">
          <cell r="I2189">
            <v>7</v>
          </cell>
        </row>
        <row r="2190">
          <cell r="B2190">
            <v>113</v>
          </cell>
        </row>
        <row r="2190">
          <cell r="I2190">
            <v>6.7</v>
          </cell>
        </row>
        <row r="2191">
          <cell r="B2191">
            <v>131</v>
          </cell>
        </row>
        <row r="2191">
          <cell r="I2191">
            <v>7.3</v>
          </cell>
        </row>
        <row r="2192">
          <cell r="B2192">
            <v>103</v>
          </cell>
        </row>
        <row r="2192">
          <cell r="I2192">
            <v>6.3</v>
          </cell>
        </row>
        <row r="2193">
          <cell r="B2193">
            <v>119</v>
          </cell>
        </row>
        <row r="2193">
          <cell r="I2193">
            <v>7.8</v>
          </cell>
        </row>
        <row r="2194">
          <cell r="B2194">
            <v>98</v>
          </cell>
        </row>
        <row r="2194">
          <cell r="I2194">
            <v>7.3</v>
          </cell>
        </row>
        <row r="2195">
          <cell r="B2195">
            <v>111</v>
          </cell>
        </row>
        <row r="2195">
          <cell r="I2195">
            <v>7.6</v>
          </cell>
        </row>
        <row r="2196">
          <cell r="B2196">
            <v>94</v>
          </cell>
        </row>
        <row r="2196">
          <cell r="I2196">
            <v>5.3</v>
          </cell>
        </row>
        <row r="2197">
          <cell r="B2197">
            <v>81</v>
          </cell>
        </row>
        <row r="2197">
          <cell r="I2197">
            <v>5.3</v>
          </cell>
        </row>
        <row r="2198">
          <cell r="B2198">
            <v>89</v>
          </cell>
        </row>
        <row r="2198">
          <cell r="I2198">
            <v>6.8</v>
          </cell>
        </row>
        <row r="2199">
          <cell r="B2199">
            <v>106</v>
          </cell>
        </row>
        <row r="2199">
          <cell r="I2199">
            <v>7.1</v>
          </cell>
        </row>
        <row r="2200">
          <cell r="B2200">
            <v>86</v>
          </cell>
        </row>
        <row r="2200">
          <cell r="I2200">
            <v>5.8</v>
          </cell>
        </row>
        <row r="2201">
          <cell r="B2201">
            <v>103</v>
          </cell>
        </row>
        <row r="2201">
          <cell r="I2201">
            <v>5.8</v>
          </cell>
        </row>
        <row r="2202">
          <cell r="B2202">
            <v>121</v>
          </cell>
        </row>
        <row r="2202">
          <cell r="I2202">
            <v>8.3</v>
          </cell>
        </row>
        <row r="2203">
          <cell r="B2203">
            <v>109</v>
          </cell>
        </row>
        <row r="2203">
          <cell r="I2203">
            <v>5.6</v>
          </cell>
        </row>
        <row r="2204">
          <cell r="B2204">
            <v>109</v>
          </cell>
        </row>
        <row r="2204">
          <cell r="I2204">
            <v>6.8</v>
          </cell>
        </row>
        <row r="2205">
          <cell r="B2205">
            <v>123</v>
          </cell>
        </row>
        <row r="2205">
          <cell r="I2205">
            <v>5</v>
          </cell>
        </row>
        <row r="2206">
          <cell r="B2206">
            <v>94</v>
          </cell>
        </row>
        <row r="2206">
          <cell r="I2206">
            <v>7.6</v>
          </cell>
        </row>
        <row r="2207">
          <cell r="B2207">
            <v>94</v>
          </cell>
        </row>
        <row r="2207">
          <cell r="I2207">
            <v>6.7</v>
          </cell>
        </row>
        <row r="2208">
          <cell r="B2208">
            <v>115</v>
          </cell>
        </row>
        <row r="2208">
          <cell r="I2208">
            <v>6.7</v>
          </cell>
        </row>
        <row r="2209">
          <cell r="B2209">
            <v>107</v>
          </cell>
        </row>
        <row r="2209">
          <cell r="I2209">
            <v>5.7</v>
          </cell>
        </row>
        <row r="2210">
          <cell r="B2210">
            <v>91</v>
          </cell>
        </row>
        <row r="2210">
          <cell r="I2210">
            <v>5.2</v>
          </cell>
        </row>
        <row r="2211">
          <cell r="B2211">
            <v>125</v>
          </cell>
        </row>
        <row r="2211">
          <cell r="I2211">
            <v>7.5</v>
          </cell>
        </row>
        <row r="2212">
          <cell r="B2212">
            <v>122</v>
          </cell>
        </row>
        <row r="2212">
          <cell r="I2212">
            <v>7.2</v>
          </cell>
        </row>
        <row r="2213">
          <cell r="B2213">
            <v>102</v>
          </cell>
        </row>
        <row r="2213">
          <cell r="I2213">
            <v>5.3</v>
          </cell>
        </row>
        <row r="2214">
          <cell r="B2214">
            <v>90</v>
          </cell>
        </row>
        <row r="2214">
          <cell r="I2214">
            <v>6.5</v>
          </cell>
        </row>
        <row r="2215">
          <cell r="B2215">
            <v>98</v>
          </cell>
        </row>
        <row r="2215">
          <cell r="I2215">
            <v>5</v>
          </cell>
        </row>
        <row r="2216">
          <cell r="B2216">
            <v>109</v>
          </cell>
        </row>
        <row r="2216">
          <cell r="I2216">
            <v>6.1</v>
          </cell>
        </row>
        <row r="2217">
          <cell r="B2217">
            <v>90</v>
          </cell>
        </row>
        <row r="2217">
          <cell r="I2217">
            <v>4.4</v>
          </cell>
        </row>
        <row r="2218">
          <cell r="B2218">
            <v>112</v>
          </cell>
        </row>
        <row r="2218">
          <cell r="I2218">
            <v>7.5</v>
          </cell>
        </row>
        <row r="2219">
          <cell r="B2219">
            <v>94</v>
          </cell>
        </row>
        <row r="2219">
          <cell r="I2219">
            <v>5.7</v>
          </cell>
        </row>
        <row r="2220">
          <cell r="B2220">
            <v>105</v>
          </cell>
        </row>
        <row r="2220">
          <cell r="I2220">
            <v>5.5</v>
          </cell>
        </row>
        <row r="2221">
          <cell r="B2221">
            <v>104</v>
          </cell>
        </row>
        <row r="2221">
          <cell r="I2221">
            <v>7.1</v>
          </cell>
        </row>
        <row r="2222">
          <cell r="B2222">
            <v>112</v>
          </cell>
        </row>
        <row r="2222">
          <cell r="I2222">
            <v>5.9</v>
          </cell>
        </row>
        <row r="2223">
          <cell r="B2223">
            <v>108</v>
          </cell>
        </row>
        <row r="2223">
          <cell r="I2223">
            <v>6.7</v>
          </cell>
        </row>
        <row r="2224">
          <cell r="B2224">
            <v>112</v>
          </cell>
        </row>
        <row r="2224">
          <cell r="I2224">
            <v>7</v>
          </cell>
        </row>
        <row r="2225">
          <cell r="B2225">
            <v>127</v>
          </cell>
        </row>
        <row r="2225">
          <cell r="I2225">
            <v>7.9</v>
          </cell>
        </row>
        <row r="2226">
          <cell r="B2226">
            <v>111</v>
          </cell>
        </row>
        <row r="2226">
          <cell r="I2226">
            <v>6.9</v>
          </cell>
        </row>
        <row r="2227">
          <cell r="B2227">
            <v>126</v>
          </cell>
        </row>
        <row r="2227">
          <cell r="I2227">
            <v>7.3</v>
          </cell>
        </row>
        <row r="2228">
          <cell r="B2228">
            <v>114</v>
          </cell>
        </row>
        <row r="2228">
          <cell r="I2228">
            <v>7.3</v>
          </cell>
        </row>
        <row r="2229">
          <cell r="B2229">
            <v>99</v>
          </cell>
        </row>
        <row r="2229">
          <cell r="I2229">
            <v>3.5</v>
          </cell>
        </row>
        <row r="2230">
          <cell r="B2230">
            <v>150</v>
          </cell>
        </row>
        <row r="2230">
          <cell r="I2230">
            <v>7.8</v>
          </cell>
        </row>
        <row r="2231">
          <cell r="B2231">
            <v>112</v>
          </cell>
        </row>
        <row r="2231">
          <cell r="I2231">
            <v>6.7</v>
          </cell>
        </row>
        <row r="2232">
          <cell r="B2232">
            <v>108</v>
          </cell>
        </row>
        <row r="2232">
          <cell r="I2232">
            <v>6.4</v>
          </cell>
        </row>
        <row r="2233">
          <cell r="B2233">
            <v>116</v>
          </cell>
        </row>
        <row r="2233">
          <cell r="I2233">
            <v>7.1</v>
          </cell>
        </row>
        <row r="2234">
          <cell r="B2234">
            <v>144</v>
          </cell>
        </row>
        <row r="2234">
          <cell r="I2234">
            <v>7.8</v>
          </cell>
        </row>
        <row r="2235">
          <cell r="B2235">
            <v>93</v>
          </cell>
        </row>
        <row r="2235">
          <cell r="I2235">
            <v>5.9</v>
          </cell>
        </row>
        <row r="2236">
          <cell r="B2236">
            <v>103</v>
          </cell>
        </row>
        <row r="2236">
          <cell r="I2236">
            <v>7.2</v>
          </cell>
        </row>
        <row r="2237">
          <cell r="B2237">
            <v>121</v>
          </cell>
        </row>
        <row r="2237">
          <cell r="I2237">
            <v>6.2</v>
          </cell>
        </row>
        <row r="2238">
          <cell r="B2238">
            <v>105</v>
          </cell>
        </row>
        <row r="2238">
          <cell r="I2238">
            <v>6.7</v>
          </cell>
        </row>
        <row r="2239">
          <cell r="B2239">
            <v>119</v>
          </cell>
        </row>
        <row r="2239">
          <cell r="I2239">
            <v>7.6</v>
          </cell>
        </row>
        <row r="2240">
          <cell r="B2240">
            <v>98</v>
          </cell>
        </row>
        <row r="2240">
          <cell r="I2240">
            <v>6.2</v>
          </cell>
        </row>
        <row r="2241">
          <cell r="B2241">
            <v>80</v>
          </cell>
        </row>
        <row r="2241">
          <cell r="I2241">
            <v>6.5</v>
          </cell>
        </row>
        <row r="2242">
          <cell r="B2242">
            <v>121</v>
          </cell>
        </row>
        <row r="2242">
          <cell r="I2242">
            <v>8.1</v>
          </cell>
        </row>
        <row r="2243">
          <cell r="B2243">
            <v>94</v>
          </cell>
        </row>
        <row r="2243">
          <cell r="I2243">
            <v>6.3</v>
          </cell>
        </row>
        <row r="2244">
          <cell r="B2244">
            <v>93</v>
          </cell>
        </row>
        <row r="2244">
          <cell r="I2244">
            <v>4.4</v>
          </cell>
        </row>
        <row r="2245">
          <cell r="B2245">
            <v>116</v>
          </cell>
        </row>
        <row r="2245">
          <cell r="I2245">
            <v>6</v>
          </cell>
        </row>
        <row r="2246">
          <cell r="B2246">
            <v>101</v>
          </cell>
        </row>
        <row r="2246">
          <cell r="I2246">
            <v>7.6</v>
          </cell>
        </row>
        <row r="2247">
          <cell r="B2247">
            <v>154</v>
          </cell>
        </row>
        <row r="2247">
          <cell r="I2247">
            <v>8.4</v>
          </cell>
        </row>
        <row r="2248">
          <cell r="B2248">
            <v>170</v>
          </cell>
        </row>
        <row r="2248">
          <cell r="I2248">
            <v>7.9</v>
          </cell>
        </row>
        <row r="2249">
          <cell r="B2249">
            <v>99</v>
          </cell>
        </row>
        <row r="2249">
          <cell r="I2249">
            <v>5.6</v>
          </cell>
        </row>
        <row r="2250">
          <cell r="B2250">
            <v>104</v>
          </cell>
        </row>
        <row r="2250">
          <cell r="I2250">
            <v>6.5</v>
          </cell>
        </row>
        <row r="2251">
          <cell r="B2251">
            <v>126</v>
          </cell>
        </row>
        <row r="2251">
          <cell r="I2251">
            <v>7.5</v>
          </cell>
        </row>
        <row r="2252">
          <cell r="B2252">
            <v>110</v>
          </cell>
        </row>
        <row r="2252">
          <cell r="I2252">
            <v>6.3</v>
          </cell>
        </row>
        <row r="2253">
          <cell r="B2253">
            <v>101</v>
          </cell>
        </row>
        <row r="2253">
          <cell r="I2253">
            <v>7.9</v>
          </cell>
        </row>
        <row r="2254">
          <cell r="B2254">
            <v>87</v>
          </cell>
        </row>
        <row r="2254">
          <cell r="I2254">
            <v>5.1</v>
          </cell>
        </row>
        <row r="2255">
          <cell r="B2255">
            <v>123</v>
          </cell>
        </row>
        <row r="2255">
          <cell r="I2255">
            <v>6.7</v>
          </cell>
        </row>
        <row r="2256">
          <cell r="B2256">
            <v>109</v>
          </cell>
        </row>
        <row r="2256">
          <cell r="I2256">
            <v>6.7</v>
          </cell>
        </row>
        <row r="2257">
          <cell r="B2257">
            <v>90</v>
          </cell>
        </row>
        <row r="2257">
          <cell r="I2257">
            <v>5.6</v>
          </cell>
        </row>
        <row r="2258">
          <cell r="B2258">
            <v>96</v>
          </cell>
        </row>
        <row r="2258">
          <cell r="I2258">
            <v>5.6</v>
          </cell>
        </row>
        <row r="2259">
          <cell r="B2259">
            <v>82</v>
          </cell>
        </row>
        <row r="2259">
          <cell r="I2259">
            <v>6.2</v>
          </cell>
        </row>
        <row r="2260">
          <cell r="B2260">
            <v>86</v>
          </cell>
        </row>
        <row r="2260">
          <cell r="I2260">
            <v>5.6</v>
          </cell>
        </row>
        <row r="2261">
          <cell r="B2261">
            <v>108</v>
          </cell>
        </row>
        <row r="2261">
          <cell r="I2261">
            <v>6.4</v>
          </cell>
        </row>
        <row r="2262">
          <cell r="B2262">
            <v>98</v>
          </cell>
        </row>
        <row r="2262">
          <cell r="I2262">
            <v>5.6</v>
          </cell>
        </row>
        <row r="2263">
          <cell r="B2263">
            <v>129</v>
          </cell>
        </row>
        <row r="2263">
          <cell r="I2263">
            <v>7.4</v>
          </cell>
        </row>
        <row r="2264">
          <cell r="B2264">
            <v>112</v>
          </cell>
        </row>
        <row r="2264">
          <cell r="I2264">
            <v>7.2</v>
          </cell>
        </row>
        <row r="2265">
          <cell r="B2265">
            <v>108</v>
          </cell>
        </row>
        <row r="2265">
          <cell r="I2265">
            <v>4.9</v>
          </cell>
        </row>
        <row r="2266">
          <cell r="B2266">
            <v>121</v>
          </cell>
        </row>
        <row r="2266">
          <cell r="I2266">
            <v>7.5</v>
          </cell>
        </row>
        <row r="2267">
          <cell r="B2267">
            <v>89</v>
          </cell>
        </row>
        <row r="2267">
          <cell r="I2267">
            <v>4.8</v>
          </cell>
        </row>
        <row r="2268">
          <cell r="B2268">
            <v>89</v>
          </cell>
        </row>
        <row r="2268">
          <cell r="I2268">
            <v>3.1</v>
          </cell>
        </row>
        <row r="2269">
          <cell r="B2269">
            <v>73</v>
          </cell>
        </row>
        <row r="2269">
          <cell r="I2269">
            <v>5.8</v>
          </cell>
        </row>
        <row r="2270">
          <cell r="B2270">
            <v>132</v>
          </cell>
        </row>
        <row r="2270">
          <cell r="I2270">
            <v>6.7</v>
          </cell>
        </row>
        <row r="2271">
          <cell r="B2271">
            <v>96</v>
          </cell>
        </row>
        <row r="2271">
          <cell r="I2271">
            <v>6.5</v>
          </cell>
        </row>
        <row r="2272">
          <cell r="B2272">
            <v>98</v>
          </cell>
        </row>
        <row r="2272">
          <cell r="I2272">
            <v>5.9</v>
          </cell>
        </row>
        <row r="2273">
          <cell r="B2273">
            <v>107</v>
          </cell>
        </row>
        <row r="2273">
          <cell r="I2273">
            <v>5.5</v>
          </cell>
        </row>
        <row r="2274">
          <cell r="B2274">
            <v>134</v>
          </cell>
        </row>
        <row r="2274">
          <cell r="I2274">
            <v>3.6</v>
          </cell>
        </row>
        <row r="2275">
          <cell r="B2275">
            <v>122</v>
          </cell>
        </row>
        <row r="2275">
          <cell r="I2275">
            <v>7.4</v>
          </cell>
        </row>
        <row r="2276">
          <cell r="B2276">
            <v>97</v>
          </cell>
        </row>
        <row r="2276">
          <cell r="I2276">
            <v>3</v>
          </cell>
        </row>
        <row r="2277">
          <cell r="B2277">
            <v>110</v>
          </cell>
        </row>
        <row r="2277">
          <cell r="I2277">
            <v>7.6</v>
          </cell>
        </row>
        <row r="2278">
          <cell r="B2278">
            <v>102</v>
          </cell>
        </row>
        <row r="2278">
          <cell r="I2278">
            <v>6.4</v>
          </cell>
        </row>
        <row r="2279">
          <cell r="B2279">
            <v>98</v>
          </cell>
        </row>
        <row r="2279">
          <cell r="I2279">
            <v>6.9</v>
          </cell>
        </row>
        <row r="2280">
          <cell r="B2280">
            <v>120</v>
          </cell>
        </row>
        <row r="2280">
          <cell r="I2280">
            <v>6.6</v>
          </cell>
        </row>
        <row r="2281">
          <cell r="B2281">
            <v>160</v>
          </cell>
        </row>
        <row r="2281">
          <cell r="I2281">
            <v>5.5</v>
          </cell>
        </row>
        <row r="2282">
          <cell r="B2282">
            <v>83</v>
          </cell>
        </row>
        <row r="2282">
          <cell r="I2282">
            <v>4.1</v>
          </cell>
        </row>
        <row r="2283">
          <cell r="B2283">
            <v>102</v>
          </cell>
        </row>
        <row r="2283">
          <cell r="I2283">
            <v>6.8</v>
          </cell>
        </row>
        <row r="2284">
          <cell r="B2284">
            <v>122</v>
          </cell>
        </row>
        <row r="2284">
          <cell r="I2284">
            <v>6.5</v>
          </cell>
        </row>
        <row r="2285">
          <cell r="B2285">
            <v>126</v>
          </cell>
        </row>
        <row r="2285">
          <cell r="I2285">
            <v>7.4</v>
          </cell>
        </row>
        <row r="2286">
          <cell r="B2286">
            <v>136</v>
          </cell>
        </row>
        <row r="2286">
          <cell r="I2286">
            <v>7.7</v>
          </cell>
        </row>
        <row r="2287">
          <cell r="B2287">
            <v>120</v>
          </cell>
        </row>
        <row r="2287">
          <cell r="I2287">
            <v>7.1</v>
          </cell>
        </row>
        <row r="2288">
          <cell r="B2288">
            <v>108</v>
          </cell>
        </row>
        <row r="2288">
          <cell r="I2288">
            <v>6.3</v>
          </cell>
        </row>
        <row r="2289">
          <cell r="B2289">
            <v>126</v>
          </cell>
        </row>
        <row r="2289">
          <cell r="I2289">
            <v>7.6</v>
          </cell>
        </row>
        <row r="2290">
          <cell r="B2290">
            <v>128</v>
          </cell>
        </row>
        <row r="2290">
          <cell r="I2290">
            <v>8</v>
          </cell>
        </row>
        <row r="2291">
          <cell r="B2291">
            <v>113</v>
          </cell>
        </row>
        <row r="2291">
          <cell r="I2291">
            <v>7.3</v>
          </cell>
        </row>
        <row r="2292">
          <cell r="B2292">
            <v>89</v>
          </cell>
        </row>
        <row r="2292">
          <cell r="I2292">
            <v>7.6</v>
          </cell>
        </row>
        <row r="2293">
          <cell r="B2293">
            <v>129</v>
          </cell>
        </row>
        <row r="2293">
          <cell r="I2293">
            <v>7.8</v>
          </cell>
        </row>
        <row r="2294">
          <cell r="B2294">
            <v>94</v>
          </cell>
        </row>
        <row r="2294">
          <cell r="I2294">
            <v>6.5</v>
          </cell>
        </row>
        <row r="2295">
          <cell r="B2295">
            <v>106</v>
          </cell>
        </row>
        <row r="2295">
          <cell r="I2295">
            <v>6.4</v>
          </cell>
        </row>
        <row r="2296">
          <cell r="B2296">
            <v>100</v>
          </cell>
        </row>
        <row r="2296">
          <cell r="I2296">
            <v>8</v>
          </cell>
        </row>
        <row r="2297">
          <cell r="B2297">
            <v>89</v>
          </cell>
        </row>
        <row r="2297">
          <cell r="I2297">
            <v>4.8</v>
          </cell>
        </row>
        <row r="2298">
          <cell r="B2298">
            <v>94</v>
          </cell>
        </row>
        <row r="2298">
          <cell r="I2298">
            <v>7.8</v>
          </cell>
        </row>
        <row r="2299">
          <cell r="B2299">
            <v>83</v>
          </cell>
        </row>
        <row r="2299">
          <cell r="I2299">
            <v>5.9</v>
          </cell>
        </row>
        <row r="2300">
          <cell r="B2300">
            <v>111</v>
          </cell>
        </row>
        <row r="2300">
          <cell r="I2300">
            <v>5.4</v>
          </cell>
        </row>
        <row r="2301">
          <cell r="B2301">
            <v>80</v>
          </cell>
        </row>
        <row r="2301">
          <cell r="I2301">
            <v>3.3</v>
          </cell>
        </row>
        <row r="2302">
          <cell r="B2302">
            <v>112</v>
          </cell>
        </row>
        <row r="2302">
          <cell r="I2302">
            <v>8.2</v>
          </cell>
        </row>
        <row r="2303">
          <cell r="B2303">
            <v>94</v>
          </cell>
        </row>
        <row r="2303">
          <cell r="I2303">
            <v>5.4</v>
          </cell>
        </row>
        <row r="2304">
          <cell r="B2304">
            <v>130</v>
          </cell>
        </row>
        <row r="2304">
          <cell r="I2304">
            <v>6.4</v>
          </cell>
        </row>
        <row r="2305">
          <cell r="B2305">
            <v>91</v>
          </cell>
        </row>
        <row r="2305">
          <cell r="I2305">
            <v>4.8</v>
          </cell>
        </row>
        <row r="2306">
          <cell r="B2306">
            <v>91</v>
          </cell>
        </row>
        <row r="2306">
          <cell r="I2306">
            <v>5.9</v>
          </cell>
        </row>
        <row r="2307">
          <cell r="B2307">
            <v>110</v>
          </cell>
        </row>
        <row r="2307">
          <cell r="I2307">
            <v>5.5</v>
          </cell>
        </row>
        <row r="2308">
          <cell r="B2308">
            <v>121</v>
          </cell>
        </row>
        <row r="2308">
          <cell r="I2308">
            <v>7.9</v>
          </cell>
        </row>
        <row r="2309">
          <cell r="B2309">
            <v>114</v>
          </cell>
        </row>
        <row r="2309">
          <cell r="I2309">
            <v>4.9</v>
          </cell>
        </row>
        <row r="2310">
          <cell r="B2310">
            <v>96</v>
          </cell>
        </row>
        <row r="2310">
          <cell r="I2310">
            <v>7.2</v>
          </cell>
        </row>
        <row r="2311">
          <cell r="B2311">
            <v>94</v>
          </cell>
        </row>
        <row r="2311">
          <cell r="I2311">
            <v>5.3</v>
          </cell>
        </row>
        <row r="2312">
          <cell r="B2312">
            <v>109</v>
          </cell>
        </row>
        <row r="2312">
          <cell r="I2312">
            <v>7.2</v>
          </cell>
        </row>
        <row r="2313">
          <cell r="B2313">
            <v>107</v>
          </cell>
        </row>
        <row r="2313">
          <cell r="I2313">
            <v>5.1</v>
          </cell>
        </row>
        <row r="2314">
          <cell r="B2314">
            <v>96</v>
          </cell>
        </row>
        <row r="2314">
          <cell r="I2314">
            <v>5.6</v>
          </cell>
        </row>
        <row r="2315">
          <cell r="B2315">
            <v>88</v>
          </cell>
        </row>
        <row r="2315">
          <cell r="I2315">
            <v>7.6</v>
          </cell>
        </row>
        <row r="2316">
          <cell r="B2316">
            <v>113</v>
          </cell>
        </row>
        <row r="2316">
          <cell r="I2316">
            <v>7.2</v>
          </cell>
        </row>
        <row r="2317">
          <cell r="B2317">
            <v>101</v>
          </cell>
        </row>
        <row r="2317">
          <cell r="I2317">
            <v>5.7</v>
          </cell>
        </row>
        <row r="2318">
          <cell r="B2318">
            <v>105</v>
          </cell>
        </row>
        <row r="2318">
          <cell r="I2318">
            <v>5.2</v>
          </cell>
        </row>
        <row r="2319">
          <cell r="B2319">
            <v>125</v>
          </cell>
        </row>
        <row r="2319">
          <cell r="I2319">
            <v>7.7</v>
          </cell>
        </row>
        <row r="2320">
          <cell r="B2320">
            <v>100</v>
          </cell>
        </row>
        <row r="2320">
          <cell r="I2320">
            <v>7</v>
          </cell>
        </row>
        <row r="2321">
          <cell r="B2321">
            <v>112</v>
          </cell>
        </row>
        <row r="2321">
          <cell r="I2321">
            <v>6</v>
          </cell>
        </row>
        <row r="2322">
          <cell r="B2322">
            <v>112</v>
          </cell>
        </row>
        <row r="2322">
          <cell r="I2322">
            <v>6.6</v>
          </cell>
        </row>
        <row r="2323">
          <cell r="B2323">
            <v>95</v>
          </cell>
        </row>
        <row r="2323">
          <cell r="I2323">
            <v>6.8</v>
          </cell>
        </row>
        <row r="2324">
          <cell r="B2324">
            <v>110</v>
          </cell>
        </row>
        <row r="2324">
          <cell r="I2324">
            <v>7.2</v>
          </cell>
        </row>
        <row r="2325">
          <cell r="B2325">
            <v>118</v>
          </cell>
        </row>
        <row r="2325">
          <cell r="I2325">
            <v>7.2</v>
          </cell>
        </row>
        <row r="2326">
          <cell r="B2326">
            <v>97</v>
          </cell>
        </row>
        <row r="2326">
          <cell r="I2326">
            <v>2.8</v>
          </cell>
        </row>
        <row r="2327">
          <cell r="B2327">
            <v>120</v>
          </cell>
        </row>
        <row r="2327">
          <cell r="I2327">
            <v>6.6</v>
          </cell>
        </row>
        <row r="2328">
          <cell r="B2328">
            <v>135</v>
          </cell>
        </row>
        <row r="2328">
          <cell r="I2328">
            <v>6.7</v>
          </cell>
        </row>
        <row r="2329">
          <cell r="B2329">
            <v>101</v>
          </cell>
        </row>
        <row r="2329">
          <cell r="I2329">
            <v>7</v>
          </cell>
        </row>
        <row r="2330">
          <cell r="B2330">
            <v>92</v>
          </cell>
        </row>
        <row r="2330">
          <cell r="I2330">
            <v>4.4</v>
          </cell>
        </row>
        <row r="2331">
          <cell r="B2331">
            <v>92</v>
          </cell>
        </row>
        <row r="2331">
          <cell r="I2331">
            <v>6.2</v>
          </cell>
        </row>
        <row r="2332">
          <cell r="B2332">
            <v>161</v>
          </cell>
        </row>
        <row r="2332">
          <cell r="I2332">
            <v>7.3</v>
          </cell>
        </row>
        <row r="2333">
          <cell r="B2333">
            <v>92</v>
          </cell>
        </row>
        <row r="2333">
          <cell r="I2333">
            <v>5.1</v>
          </cell>
        </row>
        <row r="2334">
          <cell r="B2334">
            <v>122</v>
          </cell>
        </row>
        <row r="2334">
          <cell r="I2334">
            <v>6.6</v>
          </cell>
        </row>
        <row r="2335">
          <cell r="B2335">
            <v>91</v>
          </cell>
        </row>
        <row r="2335">
          <cell r="I2335">
            <v>4.5</v>
          </cell>
        </row>
        <row r="2336">
          <cell r="B2336">
            <v>93</v>
          </cell>
        </row>
        <row r="2336">
          <cell r="I2336">
            <v>5.9</v>
          </cell>
        </row>
        <row r="2337">
          <cell r="B2337">
            <v>94</v>
          </cell>
        </row>
        <row r="2337">
          <cell r="I2337">
            <v>6.6</v>
          </cell>
        </row>
        <row r="2338">
          <cell r="B2338">
            <v>95</v>
          </cell>
        </row>
        <row r="2338">
          <cell r="I2338">
            <v>6.5</v>
          </cell>
        </row>
        <row r="2339">
          <cell r="B2339">
            <v>105</v>
          </cell>
        </row>
        <row r="2339">
          <cell r="I2339">
            <v>7.3</v>
          </cell>
        </row>
        <row r="2340">
          <cell r="B2340">
            <v>103</v>
          </cell>
        </row>
        <row r="2340">
          <cell r="I2340">
            <v>7.5</v>
          </cell>
        </row>
        <row r="2341">
          <cell r="B2341">
            <v>102</v>
          </cell>
        </row>
        <row r="2341">
          <cell r="I2341">
            <v>5.9</v>
          </cell>
        </row>
        <row r="2342">
          <cell r="B2342">
            <v>116</v>
          </cell>
        </row>
        <row r="2342">
          <cell r="I2342">
            <v>7.4</v>
          </cell>
        </row>
        <row r="2343">
          <cell r="B2343">
            <v>110</v>
          </cell>
        </row>
        <row r="2343">
          <cell r="I2343">
            <v>6.9</v>
          </cell>
        </row>
        <row r="2344">
          <cell r="B2344">
            <v>120</v>
          </cell>
        </row>
        <row r="2344">
          <cell r="I2344">
            <v>7.9</v>
          </cell>
        </row>
        <row r="2345">
          <cell r="B2345">
            <v>122</v>
          </cell>
        </row>
        <row r="2345">
          <cell r="I2345">
            <v>8.4</v>
          </cell>
        </row>
        <row r="2346">
          <cell r="B2346">
            <v>118</v>
          </cell>
        </row>
        <row r="2346">
          <cell r="I2346">
            <v>8</v>
          </cell>
        </row>
        <row r="2347">
          <cell r="B2347">
            <v>107</v>
          </cell>
        </row>
        <row r="2347">
          <cell r="I2347">
            <v>6</v>
          </cell>
        </row>
        <row r="2348">
          <cell r="B2348">
            <v>102</v>
          </cell>
        </row>
        <row r="2348">
          <cell r="I2348">
            <v>6.8</v>
          </cell>
        </row>
        <row r="2349">
          <cell r="B2349">
            <v>154</v>
          </cell>
        </row>
        <row r="2349">
          <cell r="I2349">
            <v>7.8</v>
          </cell>
        </row>
        <row r="2350">
          <cell r="B2350">
            <v>114</v>
          </cell>
        </row>
        <row r="2350">
          <cell r="I2350">
            <v>8.1</v>
          </cell>
        </row>
        <row r="2351">
          <cell r="B2351">
            <v>109</v>
          </cell>
        </row>
        <row r="2351">
          <cell r="I2351">
            <v>6.1</v>
          </cell>
        </row>
        <row r="2352">
          <cell r="B2352">
            <v>94</v>
          </cell>
        </row>
        <row r="2352">
          <cell r="I2352">
            <v>6.2</v>
          </cell>
        </row>
        <row r="2353">
          <cell r="B2353">
            <v>100</v>
          </cell>
        </row>
        <row r="2353">
          <cell r="I2353">
            <v>6.2</v>
          </cell>
        </row>
        <row r="2354">
          <cell r="B2354">
            <v>98</v>
          </cell>
        </row>
        <row r="2354">
          <cell r="I2354">
            <v>7.4</v>
          </cell>
        </row>
        <row r="2355">
          <cell r="B2355">
            <v>102</v>
          </cell>
        </row>
        <row r="2355">
          <cell r="I2355">
            <v>6.6</v>
          </cell>
        </row>
        <row r="2356">
          <cell r="B2356">
            <v>94</v>
          </cell>
        </row>
        <row r="2356">
          <cell r="I2356">
            <v>7.3</v>
          </cell>
        </row>
        <row r="2357">
          <cell r="B2357">
            <v>92</v>
          </cell>
        </row>
        <row r="2357">
          <cell r="I2357">
            <v>7.5</v>
          </cell>
        </row>
        <row r="2358">
          <cell r="B2358">
            <v>113</v>
          </cell>
        </row>
        <row r="2358">
          <cell r="I2358">
            <v>5.6</v>
          </cell>
        </row>
        <row r="2359">
          <cell r="B2359">
            <v>115</v>
          </cell>
        </row>
        <row r="2359">
          <cell r="I2359">
            <v>7.3</v>
          </cell>
        </row>
        <row r="2360">
          <cell r="B2360">
            <v>95</v>
          </cell>
        </row>
        <row r="2360">
          <cell r="I2360">
            <v>6.4</v>
          </cell>
        </row>
        <row r="2361">
          <cell r="B2361">
            <v>87</v>
          </cell>
        </row>
        <row r="2361">
          <cell r="I2361">
            <v>5</v>
          </cell>
        </row>
        <row r="2362">
          <cell r="B2362">
            <v>88</v>
          </cell>
        </row>
        <row r="2362">
          <cell r="I2362">
            <v>5.4</v>
          </cell>
        </row>
        <row r="2363">
          <cell r="B2363">
            <v>97</v>
          </cell>
        </row>
        <row r="2363">
          <cell r="I2363">
            <v>7.1</v>
          </cell>
        </row>
        <row r="2364">
          <cell r="B2364">
            <v>94</v>
          </cell>
        </row>
        <row r="2364">
          <cell r="I2364">
            <v>5.3</v>
          </cell>
        </row>
        <row r="2365">
          <cell r="B2365">
            <v>112</v>
          </cell>
        </row>
        <row r="2365">
          <cell r="I2365">
            <v>6.5</v>
          </cell>
        </row>
        <row r="2366">
          <cell r="B2366">
            <v>98</v>
          </cell>
        </row>
        <row r="2366">
          <cell r="I2366">
            <v>6.2</v>
          </cell>
        </row>
        <row r="2367">
          <cell r="B2367">
            <v>104</v>
          </cell>
        </row>
        <row r="2367">
          <cell r="I2367">
            <v>6.4</v>
          </cell>
        </row>
        <row r="2368">
          <cell r="B2368">
            <v>120</v>
          </cell>
        </row>
        <row r="2368">
          <cell r="I2368">
            <v>6.9</v>
          </cell>
        </row>
        <row r="2369">
          <cell r="B2369">
            <v>99</v>
          </cell>
        </row>
        <row r="2369">
          <cell r="I2369">
            <v>5.7</v>
          </cell>
        </row>
        <row r="2370">
          <cell r="B2370">
            <v>109</v>
          </cell>
        </row>
        <row r="2370">
          <cell r="I2370">
            <v>7.7</v>
          </cell>
        </row>
        <row r="2371">
          <cell r="B2371">
            <v>106</v>
          </cell>
        </row>
        <row r="2371">
          <cell r="I2371">
            <v>5.6</v>
          </cell>
        </row>
        <row r="2372">
          <cell r="B2372">
            <v>123</v>
          </cell>
        </row>
        <row r="2372">
          <cell r="I2372">
            <v>7.7</v>
          </cell>
        </row>
        <row r="2373">
          <cell r="B2373">
            <v>86</v>
          </cell>
        </row>
        <row r="2373">
          <cell r="I2373">
            <v>5.1</v>
          </cell>
        </row>
        <row r="2374">
          <cell r="B2374">
            <v>120</v>
          </cell>
        </row>
        <row r="2374">
          <cell r="I2374">
            <v>6.8</v>
          </cell>
        </row>
        <row r="2375">
          <cell r="B2375">
            <v>227</v>
          </cell>
        </row>
        <row r="2375">
          <cell r="I2375">
            <v>8.4</v>
          </cell>
        </row>
        <row r="2376">
          <cell r="B2376">
            <v>119</v>
          </cell>
        </row>
        <row r="2376">
          <cell r="I2376">
            <v>4.9</v>
          </cell>
        </row>
        <row r="2377">
          <cell r="B2377">
            <v>115</v>
          </cell>
        </row>
        <row r="2377">
          <cell r="I2377">
            <v>7.1</v>
          </cell>
        </row>
        <row r="2378">
          <cell r="B2378">
            <v>114</v>
          </cell>
        </row>
        <row r="2378">
          <cell r="I2378">
            <v>6.6</v>
          </cell>
        </row>
        <row r="2379">
          <cell r="B2379">
            <v>90</v>
          </cell>
        </row>
        <row r="2379">
          <cell r="I2379">
            <v>6.1</v>
          </cell>
        </row>
        <row r="2380">
          <cell r="B2380">
            <v>94</v>
          </cell>
        </row>
        <row r="2380">
          <cell r="I2380">
            <v>4.1</v>
          </cell>
        </row>
        <row r="2381">
          <cell r="B2381">
            <v>98</v>
          </cell>
        </row>
        <row r="2381">
          <cell r="I2381">
            <v>8.1</v>
          </cell>
        </row>
        <row r="2382">
          <cell r="B2382">
            <v>126</v>
          </cell>
        </row>
        <row r="2382">
          <cell r="I2382">
            <v>7.6</v>
          </cell>
        </row>
        <row r="2383">
          <cell r="B2383">
            <v>100</v>
          </cell>
        </row>
        <row r="2383">
          <cell r="I2383">
            <v>7.8</v>
          </cell>
        </row>
        <row r="2384">
          <cell r="B2384">
            <v>89</v>
          </cell>
        </row>
        <row r="2384">
          <cell r="I2384">
            <v>4.6</v>
          </cell>
        </row>
        <row r="2385">
          <cell r="B2385">
            <v>111</v>
          </cell>
        </row>
        <row r="2385">
          <cell r="I2385">
            <v>6</v>
          </cell>
        </row>
        <row r="2386">
          <cell r="B2386">
            <v>100</v>
          </cell>
        </row>
        <row r="2386">
          <cell r="I2386">
            <v>7</v>
          </cell>
        </row>
        <row r="2387">
          <cell r="B2387">
            <v>115</v>
          </cell>
        </row>
        <row r="2387">
          <cell r="I2387">
            <v>6.7</v>
          </cell>
        </row>
        <row r="2388">
          <cell r="B2388">
            <v>106</v>
          </cell>
        </row>
        <row r="2388">
          <cell r="I2388">
            <v>6.4</v>
          </cell>
        </row>
        <row r="2389">
          <cell r="B2389">
            <v>124</v>
          </cell>
        </row>
        <row r="2389">
          <cell r="I2389">
            <v>7.2</v>
          </cell>
        </row>
        <row r="2390">
          <cell r="B2390">
            <v>107</v>
          </cell>
        </row>
        <row r="2390">
          <cell r="I2390">
            <v>7.4</v>
          </cell>
        </row>
        <row r="2391">
          <cell r="B2391">
            <v>99</v>
          </cell>
        </row>
        <row r="2391">
          <cell r="I2391">
            <v>4.8</v>
          </cell>
        </row>
        <row r="2392">
          <cell r="B2392">
            <v>90</v>
          </cell>
        </row>
        <row r="2392">
          <cell r="I2392">
            <v>4</v>
          </cell>
        </row>
        <row r="2393">
          <cell r="B2393">
            <v>101</v>
          </cell>
        </row>
        <row r="2393">
          <cell r="I2393">
            <v>6.2</v>
          </cell>
        </row>
        <row r="2394">
          <cell r="B2394">
            <v>119</v>
          </cell>
        </row>
        <row r="2394">
          <cell r="I2394">
            <v>7.7</v>
          </cell>
        </row>
        <row r="2395">
          <cell r="B2395">
            <v>103</v>
          </cell>
        </row>
        <row r="2395">
          <cell r="I2395">
            <v>6.7</v>
          </cell>
        </row>
        <row r="2396">
          <cell r="B2396">
            <v>134</v>
          </cell>
        </row>
        <row r="2396">
          <cell r="I2396">
            <v>7.9</v>
          </cell>
        </row>
        <row r="2397">
          <cell r="B2397">
            <v>155</v>
          </cell>
        </row>
        <row r="2397">
          <cell r="I2397">
            <v>7.9</v>
          </cell>
        </row>
        <row r="2398">
          <cell r="B2398">
            <v>94</v>
          </cell>
        </row>
        <row r="2398">
          <cell r="I2398">
            <v>5.5</v>
          </cell>
        </row>
        <row r="2399">
          <cell r="B2399">
            <v>95</v>
          </cell>
        </row>
        <row r="2399">
          <cell r="I2399">
            <v>6.2</v>
          </cell>
        </row>
        <row r="2400">
          <cell r="B2400">
            <v>89</v>
          </cell>
        </row>
        <row r="2400">
          <cell r="I2400">
            <v>5.1</v>
          </cell>
        </row>
        <row r="2401">
          <cell r="B2401">
            <v>97</v>
          </cell>
        </row>
        <row r="2401">
          <cell r="I2401">
            <v>4.1</v>
          </cell>
        </row>
        <row r="2402">
          <cell r="B2402">
            <v>90</v>
          </cell>
        </row>
        <row r="2402">
          <cell r="I2402">
            <v>6.7</v>
          </cell>
        </row>
        <row r="2403">
          <cell r="B2403">
            <v>92</v>
          </cell>
        </row>
        <row r="2403">
          <cell r="I2403">
            <v>4.7</v>
          </cell>
        </row>
        <row r="2404">
          <cell r="B2404">
            <v>100</v>
          </cell>
        </row>
        <row r="2404">
          <cell r="I2404">
            <v>6.4</v>
          </cell>
        </row>
        <row r="2405">
          <cell r="B2405">
            <v>117</v>
          </cell>
        </row>
        <row r="2405">
          <cell r="I2405">
            <v>6.3</v>
          </cell>
        </row>
        <row r="2406">
          <cell r="B2406">
            <v>84</v>
          </cell>
        </row>
        <row r="2406">
          <cell r="I2406">
            <v>5.5</v>
          </cell>
        </row>
        <row r="2407">
          <cell r="B2407">
            <v>140</v>
          </cell>
        </row>
        <row r="2407">
          <cell r="I2407">
            <v>7.3</v>
          </cell>
        </row>
        <row r="2408">
          <cell r="B2408">
            <v>108</v>
          </cell>
        </row>
        <row r="2408">
          <cell r="I2408">
            <v>6.3</v>
          </cell>
        </row>
        <row r="2409">
          <cell r="B2409">
            <v>109</v>
          </cell>
        </row>
        <row r="2409">
          <cell r="I2409">
            <v>4.9</v>
          </cell>
        </row>
        <row r="2410">
          <cell r="B2410">
            <v>131</v>
          </cell>
        </row>
        <row r="2410">
          <cell r="I2410">
            <v>7.6</v>
          </cell>
        </row>
        <row r="2411">
          <cell r="B2411">
            <v>114</v>
          </cell>
        </row>
        <row r="2411">
          <cell r="I2411">
            <v>6</v>
          </cell>
        </row>
        <row r="2412">
          <cell r="B2412">
            <v>97</v>
          </cell>
        </row>
        <row r="2412">
          <cell r="I2412">
            <v>6.2</v>
          </cell>
        </row>
        <row r="2413">
          <cell r="B2413">
            <v>122</v>
          </cell>
        </row>
        <row r="2413">
          <cell r="I2413">
            <v>6.8</v>
          </cell>
        </row>
        <row r="2414">
          <cell r="B2414">
            <v>87</v>
          </cell>
        </row>
        <row r="2414">
          <cell r="I2414">
            <v>4.5</v>
          </cell>
        </row>
        <row r="2415">
          <cell r="B2415">
            <v>85</v>
          </cell>
        </row>
        <row r="2415">
          <cell r="I2415">
            <v>5.7</v>
          </cell>
        </row>
        <row r="2416">
          <cell r="B2416">
            <v>101</v>
          </cell>
        </row>
        <row r="2416">
          <cell r="I2416">
            <v>4.6</v>
          </cell>
        </row>
        <row r="2417">
          <cell r="B2417">
            <v>121</v>
          </cell>
        </row>
        <row r="2417">
          <cell r="I2417">
            <v>6.2</v>
          </cell>
        </row>
        <row r="2418">
          <cell r="B2418">
            <v>107</v>
          </cell>
        </row>
        <row r="2418">
          <cell r="I2418">
            <v>7</v>
          </cell>
        </row>
        <row r="2419">
          <cell r="B2419">
            <v>111</v>
          </cell>
        </row>
        <row r="2419">
          <cell r="I2419">
            <v>6.9</v>
          </cell>
        </row>
        <row r="2420">
          <cell r="B2420">
            <v>97</v>
          </cell>
        </row>
        <row r="2420">
          <cell r="I2420">
            <v>6.7</v>
          </cell>
        </row>
        <row r="2421">
          <cell r="B2421">
            <v>97</v>
          </cell>
        </row>
        <row r="2421">
          <cell r="I2421">
            <v>5.6</v>
          </cell>
        </row>
        <row r="2422">
          <cell r="B2422">
            <v>125</v>
          </cell>
        </row>
        <row r="2422">
          <cell r="I2422">
            <v>6.6</v>
          </cell>
        </row>
        <row r="2423">
          <cell r="B2423">
            <v>124</v>
          </cell>
        </row>
        <row r="2423">
          <cell r="I2423">
            <v>6.4</v>
          </cell>
        </row>
        <row r="2424">
          <cell r="B2424">
            <v>76</v>
          </cell>
        </row>
        <row r="2424">
          <cell r="I2424">
            <v>2.8</v>
          </cell>
        </row>
        <row r="2425">
          <cell r="B2425">
            <v>107</v>
          </cell>
        </row>
        <row r="2425">
          <cell r="I2425">
            <v>5.4</v>
          </cell>
        </row>
        <row r="2426">
          <cell r="B2426">
            <v>91</v>
          </cell>
        </row>
        <row r="2426">
          <cell r="I2426">
            <v>5</v>
          </cell>
        </row>
        <row r="2427">
          <cell r="B2427">
            <v>96</v>
          </cell>
        </row>
        <row r="2427">
          <cell r="I2427">
            <v>5.1</v>
          </cell>
        </row>
        <row r="2428">
          <cell r="B2428">
            <v>142</v>
          </cell>
        </row>
        <row r="2428">
          <cell r="I2428">
            <v>8</v>
          </cell>
        </row>
        <row r="2429">
          <cell r="B2429">
            <v>103</v>
          </cell>
        </row>
        <row r="2429">
          <cell r="I2429">
            <v>5.9</v>
          </cell>
        </row>
        <row r="2430">
          <cell r="B2430">
            <v>117</v>
          </cell>
        </row>
        <row r="2430">
          <cell r="I2430">
            <v>8.2</v>
          </cell>
        </row>
        <row r="2431">
          <cell r="B2431">
            <v>116</v>
          </cell>
        </row>
        <row r="2431">
          <cell r="I2431">
            <v>7</v>
          </cell>
        </row>
        <row r="2432">
          <cell r="B2432">
            <v>118</v>
          </cell>
        </row>
        <row r="2432">
          <cell r="I2432">
            <v>6.6</v>
          </cell>
        </row>
        <row r="2433">
          <cell r="B2433">
            <v>108</v>
          </cell>
        </row>
        <row r="2433">
          <cell r="I2433">
            <v>6.7</v>
          </cell>
        </row>
        <row r="2434">
          <cell r="B2434">
            <v>94</v>
          </cell>
        </row>
        <row r="2434">
          <cell r="I2434">
            <v>5.5</v>
          </cell>
        </row>
        <row r="2435">
          <cell r="B2435">
            <v>97</v>
          </cell>
        </row>
        <row r="2435">
          <cell r="I2435">
            <v>4.9</v>
          </cell>
        </row>
        <row r="2436">
          <cell r="B2436">
            <v>97</v>
          </cell>
        </row>
        <row r="2436">
          <cell r="I2436">
            <v>6.9</v>
          </cell>
        </row>
        <row r="2437">
          <cell r="B2437">
            <v>91</v>
          </cell>
        </row>
        <row r="2437">
          <cell r="I2437">
            <v>5.6</v>
          </cell>
        </row>
        <row r="2438">
          <cell r="B2438">
            <v>107</v>
          </cell>
        </row>
        <row r="2438">
          <cell r="I2438">
            <v>8</v>
          </cell>
        </row>
        <row r="2439">
          <cell r="B2439">
            <v>95</v>
          </cell>
        </row>
        <row r="2439">
          <cell r="I2439">
            <v>5.3</v>
          </cell>
        </row>
        <row r="2440">
          <cell r="B2440">
            <v>102</v>
          </cell>
        </row>
        <row r="2440">
          <cell r="I2440">
            <v>6.2</v>
          </cell>
        </row>
        <row r="2441">
          <cell r="B2441">
            <v>88</v>
          </cell>
        </row>
        <row r="2441">
          <cell r="I2441">
            <v>5.3</v>
          </cell>
        </row>
        <row r="2442">
          <cell r="B2442">
            <v>106</v>
          </cell>
        </row>
        <row r="2442">
          <cell r="I2442">
            <v>6.6</v>
          </cell>
        </row>
        <row r="2443">
          <cell r="B2443">
            <v>92</v>
          </cell>
        </row>
        <row r="2443">
          <cell r="I2443">
            <v>7.2</v>
          </cell>
        </row>
        <row r="2444">
          <cell r="B2444">
            <v>105</v>
          </cell>
        </row>
        <row r="2444">
          <cell r="I2444">
            <v>4.6</v>
          </cell>
        </row>
        <row r="2445">
          <cell r="B2445">
            <v>107</v>
          </cell>
        </row>
        <row r="2445">
          <cell r="I2445">
            <v>7.5</v>
          </cell>
        </row>
        <row r="2446">
          <cell r="B2446">
            <v>120</v>
          </cell>
        </row>
        <row r="2446">
          <cell r="I2446">
            <v>6.5</v>
          </cell>
        </row>
        <row r="2447">
          <cell r="B2447">
            <v>103</v>
          </cell>
        </row>
        <row r="2447">
          <cell r="I2447">
            <v>7.6</v>
          </cell>
        </row>
        <row r="2448">
          <cell r="B2448">
            <v>92</v>
          </cell>
        </row>
        <row r="2448">
          <cell r="I2448">
            <v>6.2</v>
          </cell>
        </row>
        <row r="2449">
          <cell r="B2449">
            <v>147</v>
          </cell>
        </row>
        <row r="2449">
          <cell r="I2449">
            <v>8</v>
          </cell>
        </row>
        <row r="2450">
          <cell r="B2450">
            <v>98</v>
          </cell>
        </row>
        <row r="2450">
          <cell r="I2450">
            <v>6.3</v>
          </cell>
        </row>
        <row r="2451">
          <cell r="B2451">
            <v>103</v>
          </cell>
        </row>
        <row r="2451">
          <cell r="I2451">
            <v>7.2</v>
          </cell>
        </row>
        <row r="2452">
          <cell r="B2452">
            <v>111</v>
          </cell>
        </row>
        <row r="2452">
          <cell r="I2452">
            <v>6.7</v>
          </cell>
        </row>
        <row r="2453">
          <cell r="B2453">
            <v>98</v>
          </cell>
        </row>
        <row r="2453">
          <cell r="I2453">
            <v>5.3</v>
          </cell>
        </row>
        <row r="2454">
          <cell r="B2454">
            <v>111</v>
          </cell>
        </row>
        <row r="2454">
          <cell r="I2454">
            <v>6.3</v>
          </cell>
        </row>
        <row r="2455">
          <cell r="B2455">
            <v>111</v>
          </cell>
        </row>
        <row r="2455">
          <cell r="I2455">
            <v>6.5</v>
          </cell>
        </row>
        <row r="2456">
          <cell r="B2456">
            <v>145</v>
          </cell>
        </row>
        <row r="2456">
          <cell r="I2456">
            <v>8.3</v>
          </cell>
        </row>
        <row r="2457">
          <cell r="B2457">
            <v>84</v>
          </cell>
        </row>
        <row r="2457">
          <cell r="I2457">
            <v>7.2</v>
          </cell>
        </row>
        <row r="2458">
          <cell r="B2458">
            <v>115</v>
          </cell>
        </row>
        <row r="2458">
          <cell r="I2458">
            <v>6.8</v>
          </cell>
        </row>
        <row r="2459">
          <cell r="B2459">
            <v>105</v>
          </cell>
        </row>
        <row r="2459">
          <cell r="I2459">
            <v>6.4</v>
          </cell>
        </row>
        <row r="2460">
          <cell r="B2460">
            <v>98</v>
          </cell>
        </row>
        <row r="2460">
          <cell r="I2460">
            <v>6.9</v>
          </cell>
        </row>
        <row r="2461">
          <cell r="B2461">
            <v>110</v>
          </cell>
        </row>
        <row r="2461">
          <cell r="I2461">
            <v>6.2</v>
          </cell>
        </row>
        <row r="2462">
          <cell r="B2462">
            <v>103</v>
          </cell>
        </row>
        <row r="2462">
          <cell r="I2462">
            <v>6.1</v>
          </cell>
        </row>
        <row r="2463">
          <cell r="B2463">
            <v>90</v>
          </cell>
        </row>
        <row r="2463">
          <cell r="I2463">
            <v>5.1</v>
          </cell>
        </row>
        <row r="2464">
          <cell r="B2464">
            <v>105</v>
          </cell>
        </row>
        <row r="2464">
          <cell r="I2464">
            <v>4.5</v>
          </cell>
        </row>
        <row r="2465">
          <cell r="B2465">
            <v>93</v>
          </cell>
        </row>
        <row r="2465">
          <cell r="I2465">
            <v>5.9</v>
          </cell>
        </row>
        <row r="2466">
          <cell r="B2466">
            <v>101</v>
          </cell>
        </row>
        <row r="2466">
          <cell r="I2466">
            <v>8.1</v>
          </cell>
        </row>
        <row r="2467">
          <cell r="B2467">
            <v>115</v>
          </cell>
        </row>
        <row r="2467">
          <cell r="I2467">
            <v>5.7</v>
          </cell>
        </row>
        <row r="2468">
          <cell r="B2468">
            <v>120</v>
          </cell>
        </row>
        <row r="2468">
          <cell r="I2468">
            <v>6.8</v>
          </cell>
        </row>
        <row r="2469">
          <cell r="B2469">
            <v>111</v>
          </cell>
        </row>
        <row r="2469">
          <cell r="I2469">
            <v>7.5</v>
          </cell>
        </row>
        <row r="2470">
          <cell r="B2470">
            <v>131</v>
          </cell>
        </row>
        <row r="2470">
          <cell r="I2470">
            <v>8.3</v>
          </cell>
        </row>
        <row r="2471">
          <cell r="B2471">
            <v>139</v>
          </cell>
        </row>
        <row r="2471">
          <cell r="I2471">
            <v>7.4</v>
          </cell>
        </row>
        <row r="2472">
          <cell r="B2472">
            <v>120</v>
          </cell>
        </row>
        <row r="2472">
          <cell r="I2472">
            <v>8</v>
          </cell>
        </row>
        <row r="2473">
          <cell r="B2473">
            <v>119</v>
          </cell>
        </row>
        <row r="2473">
          <cell r="I2473">
            <v>6.9</v>
          </cell>
        </row>
        <row r="2474">
          <cell r="B2474">
            <v>125</v>
          </cell>
        </row>
        <row r="2474">
          <cell r="I2474">
            <v>6.9</v>
          </cell>
        </row>
        <row r="2475">
          <cell r="B2475">
            <v>108</v>
          </cell>
        </row>
        <row r="2475">
          <cell r="I2475">
            <v>5.5</v>
          </cell>
        </row>
        <row r="2476">
          <cell r="B2476">
            <v>145</v>
          </cell>
        </row>
        <row r="2476">
          <cell r="I2476">
            <v>7.2</v>
          </cell>
        </row>
        <row r="2477">
          <cell r="B2477">
            <v>98</v>
          </cell>
        </row>
        <row r="2477">
          <cell r="I2477">
            <v>6.9</v>
          </cell>
        </row>
        <row r="2478">
          <cell r="B2478">
            <v>101</v>
          </cell>
        </row>
        <row r="2478">
          <cell r="I2478">
            <v>5.5</v>
          </cell>
        </row>
        <row r="2479">
          <cell r="B2479">
            <v>109</v>
          </cell>
        </row>
        <row r="2479">
          <cell r="I2479">
            <v>5.2</v>
          </cell>
        </row>
        <row r="2480">
          <cell r="B2480">
            <v>123</v>
          </cell>
        </row>
        <row r="2480">
          <cell r="I2480">
            <v>7.1</v>
          </cell>
        </row>
        <row r="2481">
          <cell r="B2481">
            <v>99</v>
          </cell>
        </row>
        <row r="2481">
          <cell r="I2481">
            <v>5.5</v>
          </cell>
        </row>
        <row r="2482">
          <cell r="B2482">
            <v>107</v>
          </cell>
        </row>
        <row r="2482">
          <cell r="I2482">
            <v>6.7</v>
          </cell>
        </row>
        <row r="2483">
          <cell r="B2483">
            <v>81</v>
          </cell>
        </row>
        <row r="2483">
          <cell r="I2483">
            <v>5</v>
          </cell>
        </row>
        <row r="2484">
          <cell r="B2484">
            <v>105</v>
          </cell>
        </row>
        <row r="2484">
          <cell r="I2484">
            <v>6.4</v>
          </cell>
        </row>
        <row r="2485">
          <cell r="B2485">
            <v>82</v>
          </cell>
        </row>
        <row r="2485">
          <cell r="I2485">
            <v>6.6</v>
          </cell>
        </row>
        <row r="2486">
          <cell r="B2486">
            <v>109</v>
          </cell>
        </row>
        <row r="2486">
          <cell r="I2486">
            <v>5.9</v>
          </cell>
        </row>
        <row r="2487">
          <cell r="B2487">
            <v>95</v>
          </cell>
        </row>
        <row r="2487">
          <cell r="I2487">
            <v>5.7</v>
          </cell>
        </row>
        <row r="2488">
          <cell r="B2488">
            <v>100</v>
          </cell>
        </row>
        <row r="2488">
          <cell r="I2488">
            <v>4.5</v>
          </cell>
        </row>
        <row r="2489">
          <cell r="B2489">
            <v>91</v>
          </cell>
        </row>
        <row r="2489">
          <cell r="I2489">
            <v>5</v>
          </cell>
        </row>
        <row r="2490">
          <cell r="B2490">
            <v>90</v>
          </cell>
        </row>
        <row r="2490">
          <cell r="I2490">
            <v>4.6</v>
          </cell>
        </row>
        <row r="2491">
          <cell r="B2491">
            <v>108</v>
          </cell>
        </row>
        <row r="2491">
          <cell r="I2491">
            <v>6.5</v>
          </cell>
        </row>
        <row r="2492">
          <cell r="B2492">
            <v>103</v>
          </cell>
        </row>
        <row r="2492">
          <cell r="I2492">
            <v>4.9</v>
          </cell>
        </row>
        <row r="2493">
          <cell r="B2493">
            <v>96</v>
          </cell>
        </row>
        <row r="2493">
          <cell r="I2493">
            <v>6</v>
          </cell>
        </row>
        <row r="2494">
          <cell r="B2494">
            <v>117</v>
          </cell>
        </row>
        <row r="2494">
          <cell r="I2494">
            <v>6.9</v>
          </cell>
        </row>
        <row r="2495">
          <cell r="B2495">
            <v>93</v>
          </cell>
        </row>
        <row r="2495">
          <cell r="I2495">
            <v>5.7</v>
          </cell>
        </row>
        <row r="2496">
          <cell r="B2496">
            <v>115</v>
          </cell>
        </row>
        <row r="2496">
          <cell r="I2496">
            <v>6.9</v>
          </cell>
        </row>
        <row r="2497">
          <cell r="B2497">
            <v>85</v>
          </cell>
        </row>
        <row r="2497">
          <cell r="I2497">
            <v>4.4</v>
          </cell>
        </row>
        <row r="2498">
          <cell r="B2498">
            <v>112</v>
          </cell>
        </row>
        <row r="2498">
          <cell r="I2498">
            <v>7</v>
          </cell>
        </row>
        <row r="2499">
          <cell r="B2499">
            <v>86</v>
          </cell>
        </row>
        <row r="2499">
          <cell r="I2499">
            <v>5.4</v>
          </cell>
        </row>
        <row r="2500">
          <cell r="B2500">
            <v>86</v>
          </cell>
        </row>
        <row r="2500">
          <cell r="I2500">
            <v>5.4</v>
          </cell>
        </row>
        <row r="2501">
          <cell r="B2501">
            <v>137</v>
          </cell>
        </row>
        <row r="2501">
          <cell r="I2501">
            <v>7.6</v>
          </cell>
        </row>
        <row r="2502">
          <cell r="B2502">
            <v>90</v>
          </cell>
        </row>
        <row r="2502">
          <cell r="I2502">
            <v>5.9</v>
          </cell>
        </row>
        <row r="2503">
          <cell r="B2503">
            <v>107</v>
          </cell>
        </row>
        <row r="2503">
          <cell r="I2503">
            <v>6.6</v>
          </cell>
        </row>
        <row r="2504">
          <cell r="B2504">
            <v>98</v>
          </cell>
        </row>
        <row r="2504">
          <cell r="I2504">
            <v>6.7</v>
          </cell>
        </row>
        <row r="2505">
          <cell r="B2505">
            <v>84</v>
          </cell>
        </row>
        <row r="2505">
          <cell r="I2505">
            <v>3.9</v>
          </cell>
        </row>
        <row r="2506">
          <cell r="B2506">
            <v>139</v>
          </cell>
        </row>
        <row r="2506">
          <cell r="I2506">
            <v>5.7</v>
          </cell>
        </row>
        <row r="2507">
          <cell r="B2507">
            <v>127</v>
          </cell>
        </row>
        <row r="2507">
          <cell r="I2507">
            <v>6.5</v>
          </cell>
        </row>
        <row r="2508">
          <cell r="B2508">
            <v>150</v>
          </cell>
        </row>
        <row r="2508">
          <cell r="I2508">
            <v>6.8</v>
          </cell>
        </row>
        <row r="2509">
          <cell r="B2509">
            <v>132</v>
          </cell>
        </row>
        <row r="2509">
          <cell r="I2509">
            <v>7.3</v>
          </cell>
        </row>
        <row r="2510">
          <cell r="B2510">
            <v>115</v>
          </cell>
        </row>
        <row r="2510">
          <cell r="I2510">
            <v>7</v>
          </cell>
        </row>
        <row r="2511">
          <cell r="B2511">
            <v>186</v>
          </cell>
        </row>
        <row r="2511">
          <cell r="I2511">
            <v>6.5</v>
          </cell>
        </row>
        <row r="2512">
          <cell r="B2512">
            <v>90</v>
          </cell>
        </row>
        <row r="2512">
          <cell r="I2512">
            <v>7.7</v>
          </cell>
        </row>
        <row r="2513">
          <cell r="B2513">
            <v>134</v>
          </cell>
        </row>
        <row r="2513">
          <cell r="I2513">
            <v>7.7</v>
          </cell>
        </row>
        <row r="2514">
          <cell r="B2514">
            <v>97</v>
          </cell>
        </row>
        <row r="2514">
          <cell r="I2514">
            <v>6.8</v>
          </cell>
        </row>
        <row r="2515">
          <cell r="B2515">
            <v>107</v>
          </cell>
        </row>
        <row r="2515">
          <cell r="I2515">
            <v>7.4</v>
          </cell>
        </row>
        <row r="2516">
          <cell r="B2516">
            <v>99</v>
          </cell>
        </row>
        <row r="2516">
          <cell r="I2516">
            <v>5.1</v>
          </cell>
        </row>
        <row r="2517">
          <cell r="B2517">
            <v>124</v>
          </cell>
        </row>
        <row r="2517">
          <cell r="I2517">
            <v>7.4</v>
          </cell>
        </row>
        <row r="2518">
          <cell r="B2518">
            <v>110</v>
          </cell>
        </row>
        <row r="2518">
          <cell r="I2518">
            <v>7.2</v>
          </cell>
        </row>
        <row r="2519">
          <cell r="B2519">
            <v>178</v>
          </cell>
        </row>
        <row r="2519">
          <cell r="I2519">
            <v>8.3</v>
          </cell>
        </row>
        <row r="2520">
          <cell r="B2520">
            <v>125</v>
          </cell>
        </row>
        <row r="2520">
          <cell r="I2520">
            <v>8.1</v>
          </cell>
        </row>
        <row r="2521">
          <cell r="B2521">
            <v>121</v>
          </cell>
        </row>
        <row r="2521">
          <cell r="I2521">
            <v>7.3</v>
          </cell>
        </row>
        <row r="2522">
          <cell r="B2522">
            <v>100</v>
          </cell>
        </row>
        <row r="2522">
          <cell r="I2522">
            <v>3.6</v>
          </cell>
        </row>
        <row r="2523">
          <cell r="B2523">
            <v>115</v>
          </cell>
        </row>
        <row r="2523">
          <cell r="I2523">
            <v>1.6</v>
          </cell>
        </row>
        <row r="2524">
          <cell r="B2524">
            <v>108</v>
          </cell>
        </row>
        <row r="2524">
          <cell r="I2524">
            <v>8</v>
          </cell>
        </row>
        <row r="2525">
          <cell r="B2525">
            <v>220</v>
          </cell>
        </row>
        <row r="2525">
          <cell r="I2525">
            <v>9</v>
          </cell>
        </row>
        <row r="2526">
          <cell r="B2526">
            <v>112</v>
          </cell>
        </row>
        <row r="2526">
          <cell r="I2526">
            <v>6.1</v>
          </cell>
        </row>
        <row r="2527">
          <cell r="B2527">
            <v>99</v>
          </cell>
        </row>
        <row r="2527">
          <cell r="I2527">
            <v>5.7</v>
          </cell>
        </row>
        <row r="2528">
          <cell r="B2528">
            <v>109</v>
          </cell>
        </row>
        <row r="2528">
          <cell r="I2528">
            <v>6.8</v>
          </cell>
        </row>
        <row r="2529">
          <cell r="B2529">
            <v>83</v>
          </cell>
        </row>
        <row r="2529">
          <cell r="I2529">
            <v>5.5</v>
          </cell>
        </row>
        <row r="2530">
          <cell r="B2530">
            <v>107</v>
          </cell>
        </row>
        <row r="2530">
          <cell r="I2530">
            <v>6.8</v>
          </cell>
        </row>
        <row r="2531">
          <cell r="B2531">
            <v>102</v>
          </cell>
        </row>
        <row r="2531">
          <cell r="I2531">
            <v>7.3</v>
          </cell>
        </row>
        <row r="2532">
          <cell r="B2532">
            <v>100</v>
          </cell>
        </row>
        <row r="2532">
          <cell r="I2532">
            <v>6.1</v>
          </cell>
        </row>
        <row r="2533">
          <cell r="B2533">
            <v>97</v>
          </cell>
        </row>
        <row r="2533">
          <cell r="I2533">
            <v>7.2</v>
          </cell>
        </row>
        <row r="2534">
          <cell r="B2534">
            <v>92</v>
          </cell>
        </row>
        <row r="2534">
          <cell r="I2534">
            <v>5.9</v>
          </cell>
        </row>
        <row r="2535">
          <cell r="B2535">
            <v>84</v>
          </cell>
        </row>
        <row r="2535">
          <cell r="I2535">
            <v>6.1</v>
          </cell>
        </row>
        <row r="2536">
          <cell r="B2536">
            <v>86</v>
          </cell>
        </row>
        <row r="2536">
          <cell r="I2536">
            <v>6.8</v>
          </cell>
        </row>
        <row r="2537">
          <cell r="B2537">
            <v>120</v>
          </cell>
        </row>
        <row r="2537">
          <cell r="I2537">
            <v>7.7</v>
          </cell>
        </row>
        <row r="2538">
          <cell r="B2538">
            <v>89</v>
          </cell>
        </row>
        <row r="2538">
          <cell r="I2538">
            <v>4.9</v>
          </cell>
        </row>
        <row r="2539">
          <cell r="B2539">
            <v>117</v>
          </cell>
        </row>
        <row r="2539">
          <cell r="I2539">
            <v>6.1</v>
          </cell>
        </row>
        <row r="2540">
          <cell r="B2540">
            <v>97</v>
          </cell>
        </row>
        <row r="2540">
          <cell r="I2540">
            <v>2.5</v>
          </cell>
        </row>
        <row r="2541">
          <cell r="B2541">
            <v>91</v>
          </cell>
        </row>
        <row r="2541">
          <cell r="I2541">
            <v>6.1</v>
          </cell>
        </row>
        <row r="2542">
          <cell r="B2542">
            <v>100</v>
          </cell>
        </row>
        <row r="2542">
          <cell r="I2542">
            <v>5.9</v>
          </cell>
        </row>
        <row r="2543">
          <cell r="B2543">
            <v>72</v>
          </cell>
        </row>
        <row r="2543">
          <cell r="I2543">
            <v>5.7</v>
          </cell>
        </row>
        <row r="2544">
          <cell r="B2544">
            <v>84</v>
          </cell>
        </row>
        <row r="2544">
          <cell r="I2544">
            <v>5.6</v>
          </cell>
        </row>
        <row r="2545">
          <cell r="B2545">
            <v>126</v>
          </cell>
        </row>
        <row r="2545">
          <cell r="I2545">
            <v>7.2</v>
          </cell>
        </row>
        <row r="2546">
          <cell r="B2546">
            <v>108</v>
          </cell>
        </row>
        <row r="2546">
          <cell r="I2546">
            <v>7.7</v>
          </cell>
        </row>
        <row r="2547">
          <cell r="B2547">
            <v>112</v>
          </cell>
        </row>
        <row r="2547">
          <cell r="I2547">
            <v>7.8</v>
          </cell>
        </row>
        <row r="2548">
          <cell r="B2548">
            <v>90</v>
          </cell>
        </row>
        <row r="2548">
          <cell r="I2548">
            <v>6.1</v>
          </cell>
        </row>
        <row r="2549">
          <cell r="B2549">
            <v>91</v>
          </cell>
        </row>
        <row r="2549">
          <cell r="I2549">
            <v>5.8</v>
          </cell>
        </row>
        <row r="2550">
          <cell r="B2550">
            <v>135</v>
          </cell>
        </row>
        <row r="2550">
          <cell r="I2550">
            <v>6.5</v>
          </cell>
        </row>
        <row r="2551">
          <cell r="B2551">
            <v>141</v>
          </cell>
        </row>
        <row r="2551">
          <cell r="I2551">
            <v>7.9</v>
          </cell>
        </row>
        <row r="2552">
          <cell r="B2552">
            <v>104</v>
          </cell>
        </row>
        <row r="2552">
          <cell r="I2552">
            <v>6.3</v>
          </cell>
        </row>
        <row r="2553">
          <cell r="B2553">
            <v>84</v>
          </cell>
        </row>
        <row r="2553">
          <cell r="I2553">
            <v>3.8</v>
          </cell>
        </row>
        <row r="2554">
          <cell r="B2554">
            <v>118</v>
          </cell>
        </row>
        <row r="2554">
          <cell r="I2554">
            <v>8.3</v>
          </cell>
        </row>
        <row r="2555">
          <cell r="B2555">
            <v>82</v>
          </cell>
        </row>
        <row r="2555">
          <cell r="I2555">
            <v>6.4</v>
          </cell>
        </row>
        <row r="2556">
          <cell r="B2556">
            <v>95</v>
          </cell>
        </row>
        <row r="2556">
          <cell r="I2556">
            <v>6.7</v>
          </cell>
        </row>
        <row r="2557">
          <cell r="B2557">
            <v>94</v>
          </cell>
        </row>
        <row r="2557">
          <cell r="I2557">
            <v>6.1</v>
          </cell>
        </row>
        <row r="2558">
          <cell r="B2558">
            <v>99</v>
          </cell>
        </row>
        <row r="2558">
          <cell r="I2558">
            <v>6</v>
          </cell>
        </row>
        <row r="2559">
          <cell r="B2559">
            <v>121</v>
          </cell>
        </row>
        <row r="2559">
          <cell r="I2559">
            <v>5.8</v>
          </cell>
        </row>
        <row r="2560">
          <cell r="B2560">
            <v>84</v>
          </cell>
        </row>
        <row r="2560">
          <cell r="I2560">
            <v>5.6</v>
          </cell>
        </row>
        <row r="2561">
          <cell r="B2561">
            <v>93</v>
          </cell>
        </row>
        <row r="2561">
          <cell r="I2561">
            <v>6.1</v>
          </cell>
        </row>
        <row r="2562">
          <cell r="B2562">
            <v>93</v>
          </cell>
        </row>
        <row r="2562">
          <cell r="I2562">
            <v>5.9</v>
          </cell>
        </row>
        <row r="2563">
          <cell r="B2563">
            <v>120</v>
          </cell>
        </row>
        <row r="2563">
          <cell r="I2563">
            <v>7.3</v>
          </cell>
        </row>
        <row r="2564">
          <cell r="B2564">
            <v>112</v>
          </cell>
        </row>
        <row r="2564">
          <cell r="I2564">
            <v>6.8</v>
          </cell>
        </row>
        <row r="2565">
          <cell r="B2565">
            <v>107</v>
          </cell>
        </row>
        <row r="2565">
          <cell r="I2565">
            <v>5.7</v>
          </cell>
        </row>
        <row r="2566">
          <cell r="B2566">
            <v>112</v>
          </cell>
        </row>
        <row r="2566">
          <cell r="I2566">
            <v>7.3</v>
          </cell>
        </row>
        <row r="2567">
          <cell r="B2567">
            <v>96</v>
          </cell>
        </row>
        <row r="2567">
          <cell r="I2567">
            <v>6.3</v>
          </cell>
        </row>
        <row r="2568">
          <cell r="B2568">
            <v>91</v>
          </cell>
        </row>
        <row r="2568">
          <cell r="I2568">
            <v>5.9</v>
          </cell>
        </row>
        <row r="2569">
          <cell r="B2569">
            <v>125</v>
          </cell>
        </row>
        <row r="2569">
          <cell r="I2569">
            <v>7.1</v>
          </cell>
        </row>
        <row r="2570">
          <cell r="B2570">
            <v>102</v>
          </cell>
        </row>
        <row r="2570">
          <cell r="I2570">
            <v>8</v>
          </cell>
        </row>
        <row r="2571">
          <cell r="B2571">
            <v>87</v>
          </cell>
        </row>
        <row r="2571">
          <cell r="I2571">
            <v>5.1</v>
          </cell>
        </row>
        <row r="2572">
          <cell r="B2572">
            <v>118</v>
          </cell>
        </row>
        <row r="2572">
          <cell r="I2572">
            <v>7.1</v>
          </cell>
        </row>
        <row r="2573">
          <cell r="B2573">
            <v>115</v>
          </cell>
        </row>
        <row r="2573">
          <cell r="I2573">
            <v>6.5</v>
          </cell>
        </row>
        <row r="2574">
          <cell r="B2574">
            <v>91</v>
          </cell>
        </row>
        <row r="2574">
          <cell r="I2574">
            <v>4.5</v>
          </cell>
        </row>
        <row r="2575">
          <cell r="B2575">
            <v>88</v>
          </cell>
        </row>
        <row r="2575">
          <cell r="I2575">
            <v>6.6</v>
          </cell>
        </row>
        <row r="2576">
          <cell r="B2576">
            <v>127</v>
          </cell>
        </row>
        <row r="2576">
          <cell r="I2576">
            <v>4.3</v>
          </cell>
        </row>
        <row r="2577">
          <cell r="B2577">
            <v>94</v>
          </cell>
        </row>
        <row r="2577">
          <cell r="I2577">
            <v>6.7</v>
          </cell>
        </row>
        <row r="2578">
          <cell r="B2578">
            <v>115</v>
          </cell>
        </row>
        <row r="2578">
          <cell r="I2578">
            <v>6.8</v>
          </cell>
        </row>
        <row r="2579">
          <cell r="B2579">
            <v>90</v>
          </cell>
        </row>
        <row r="2579">
          <cell r="I2579">
            <v>5.4</v>
          </cell>
        </row>
        <row r="2580">
          <cell r="B2580">
            <v>102</v>
          </cell>
        </row>
        <row r="2580">
          <cell r="I2580">
            <v>6.6</v>
          </cell>
        </row>
        <row r="2581">
          <cell r="B2581">
            <v>117</v>
          </cell>
        </row>
        <row r="2581">
          <cell r="I2581">
            <v>7.3</v>
          </cell>
        </row>
        <row r="2582">
          <cell r="B2582">
            <v>109</v>
          </cell>
        </row>
        <row r="2582">
          <cell r="I2582">
            <v>6.9</v>
          </cell>
        </row>
        <row r="2583">
          <cell r="B2583">
            <v>121</v>
          </cell>
        </row>
        <row r="2583">
          <cell r="I2583">
            <v>8</v>
          </cell>
        </row>
        <row r="2584">
          <cell r="B2584">
            <v>100</v>
          </cell>
        </row>
        <row r="2584">
          <cell r="I2584">
            <v>7.8</v>
          </cell>
        </row>
        <row r="2585">
          <cell r="B2585">
            <v>109</v>
          </cell>
        </row>
        <row r="2585">
          <cell r="I2585">
            <v>6.1</v>
          </cell>
        </row>
        <row r="2586">
          <cell r="B2586">
            <v>101</v>
          </cell>
        </row>
        <row r="2586">
          <cell r="I2586">
            <v>5.1</v>
          </cell>
        </row>
        <row r="2587">
          <cell r="B2587">
            <v>106</v>
          </cell>
        </row>
        <row r="2587">
          <cell r="I2587">
            <v>7.4</v>
          </cell>
        </row>
        <row r="2588">
          <cell r="B2588">
            <v>94</v>
          </cell>
        </row>
        <row r="2588">
          <cell r="I2588">
            <v>7.8</v>
          </cell>
        </row>
        <row r="2589">
          <cell r="B2589">
            <v>140</v>
          </cell>
        </row>
        <row r="2589">
          <cell r="I2589">
            <v>8</v>
          </cell>
        </row>
        <row r="2590">
          <cell r="B2590">
            <v>132</v>
          </cell>
        </row>
        <row r="2590">
          <cell r="I2590">
            <v>6.7</v>
          </cell>
        </row>
        <row r="2591">
          <cell r="B2591">
            <v>99</v>
          </cell>
        </row>
        <row r="2591">
          <cell r="I2591">
            <v>6.6</v>
          </cell>
        </row>
        <row r="2592">
          <cell r="B2592">
            <v>90</v>
          </cell>
        </row>
        <row r="2592">
          <cell r="I2592">
            <v>6.4</v>
          </cell>
        </row>
        <row r="2593">
          <cell r="B2593">
            <v>105</v>
          </cell>
        </row>
        <row r="2593">
          <cell r="I2593">
            <v>6.7</v>
          </cell>
        </row>
        <row r="2594">
          <cell r="B2594">
            <v>108</v>
          </cell>
        </row>
        <row r="2594">
          <cell r="I2594">
            <v>6.2</v>
          </cell>
        </row>
        <row r="2595">
          <cell r="B2595">
            <v>69</v>
          </cell>
        </row>
        <row r="2595">
          <cell r="I2595">
            <v>7.3</v>
          </cell>
        </row>
        <row r="2596">
          <cell r="B2596">
            <v>148</v>
          </cell>
        </row>
        <row r="2596">
          <cell r="I2596">
            <v>8.1</v>
          </cell>
        </row>
        <row r="2597">
          <cell r="B2597">
            <v>118</v>
          </cell>
        </row>
        <row r="2597">
          <cell r="I2597">
            <v>7</v>
          </cell>
        </row>
        <row r="2598">
          <cell r="B2598">
            <v>132</v>
          </cell>
        </row>
        <row r="2598">
          <cell r="I2598">
            <v>8</v>
          </cell>
        </row>
        <row r="2599">
          <cell r="B2599">
            <v>130</v>
          </cell>
        </row>
        <row r="2599">
          <cell r="I2599">
            <v>8</v>
          </cell>
        </row>
        <row r="2600">
          <cell r="B2600">
            <v>95</v>
          </cell>
        </row>
        <row r="2600">
          <cell r="I2600">
            <v>7</v>
          </cell>
        </row>
        <row r="2601">
          <cell r="B2601">
            <v>80</v>
          </cell>
        </row>
        <row r="2601">
          <cell r="I2601">
            <v>7.9</v>
          </cell>
        </row>
        <row r="2602">
          <cell r="B2602">
            <v>94</v>
          </cell>
        </row>
        <row r="2602">
          <cell r="I2602">
            <v>5.9</v>
          </cell>
        </row>
        <row r="2603">
          <cell r="B2603">
            <v>122</v>
          </cell>
        </row>
        <row r="2603">
          <cell r="I2603">
            <v>6.6</v>
          </cell>
        </row>
        <row r="2604">
          <cell r="B2604">
            <v>102</v>
          </cell>
        </row>
        <row r="2604">
          <cell r="I2604">
            <v>6.3</v>
          </cell>
        </row>
        <row r="2605">
          <cell r="B2605">
            <v>116</v>
          </cell>
        </row>
        <row r="2605">
          <cell r="I2605">
            <v>7.7</v>
          </cell>
        </row>
        <row r="2606">
          <cell r="B2606">
            <v>78</v>
          </cell>
        </row>
        <row r="2606">
          <cell r="I2606">
            <v>6.9</v>
          </cell>
        </row>
        <row r="2607">
          <cell r="B2607">
            <v>114</v>
          </cell>
        </row>
        <row r="2607">
          <cell r="I2607">
            <v>7.1</v>
          </cell>
        </row>
        <row r="2608">
          <cell r="B2608">
            <v>112</v>
          </cell>
        </row>
        <row r="2608">
          <cell r="I2608">
            <v>7.4</v>
          </cell>
        </row>
        <row r="2609">
          <cell r="B2609">
            <v>110</v>
          </cell>
        </row>
        <row r="2609">
          <cell r="I2609">
            <v>6.5</v>
          </cell>
        </row>
        <row r="2610">
          <cell r="B2610">
            <v>104</v>
          </cell>
        </row>
        <row r="2610">
          <cell r="I2610">
            <v>6.5</v>
          </cell>
        </row>
        <row r="2611">
          <cell r="B2611">
            <v>81</v>
          </cell>
        </row>
        <row r="2611">
          <cell r="I2611">
            <v>6.8</v>
          </cell>
        </row>
        <row r="2612">
          <cell r="B2612">
            <v>154</v>
          </cell>
        </row>
        <row r="2612">
          <cell r="I2612">
            <v>7.5</v>
          </cell>
        </row>
        <row r="2613">
          <cell r="B2613">
            <v>102</v>
          </cell>
        </row>
        <row r="2613">
          <cell r="I2613">
            <v>6.6</v>
          </cell>
        </row>
        <row r="2614">
          <cell r="B2614">
            <v>89</v>
          </cell>
        </row>
        <row r="2614">
          <cell r="I2614">
            <v>7.1</v>
          </cell>
        </row>
        <row r="2615">
          <cell r="B2615">
            <v>132</v>
          </cell>
        </row>
        <row r="2615">
          <cell r="I2615">
            <v>6.6</v>
          </cell>
        </row>
        <row r="2616">
          <cell r="B2616">
            <v>103</v>
          </cell>
        </row>
        <row r="2616">
          <cell r="I2616">
            <v>7</v>
          </cell>
        </row>
        <row r="2617">
          <cell r="B2617">
            <v>93</v>
          </cell>
        </row>
        <row r="2617">
          <cell r="I2617">
            <v>3.3</v>
          </cell>
        </row>
        <row r="2618">
          <cell r="B2618">
            <v>93</v>
          </cell>
        </row>
        <row r="2618">
          <cell r="I2618">
            <v>6.7</v>
          </cell>
        </row>
        <row r="2619">
          <cell r="B2619">
            <v>96</v>
          </cell>
        </row>
        <row r="2619">
          <cell r="I2619">
            <v>6.8</v>
          </cell>
        </row>
        <row r="2620">
          <cell r="B2620">
            <v>89</v>
          </cell>
        </row>
        <row r="2620">
          <cell r="I2620">
            <v>6</v>
          </cell>
        </row>
        <row r="2621">
          <cell r="B2621">
            <v>92</v>
          </cell>
        </row>
        <row r="2621">
          <cell r="I2621">
            <v>5.4</v>
          </cell>
        </row>
        <row r="2622">
          <cell r="B2622">
            <v>97</v>
          </cell>
        </row>
        <row r="2622">
          <cell r="I2622">
            <v>4.3</v>
          </cell>
        </row>
        <row r="2623">
          <cell r="B2623">
            <v>93</v>
          </cell>
        </row>
        <row r="2623">
          <cell r="I2623">
            <v>6.2</v>
          </cell>
        </row>
        <row r="2624">
          <cell r="B2624">
            <v>89</v>
          </cell>
        </row>
        <row r="2624">
          <cell r="I2624">
            <v>7.7</v>
          </cell>
        </row>
        <row r="2625">
          <cell r="B2625">
            <v>123</v>
          </cell>
        </row>
        <row r="2625">
          <cell r="I2625">
            <v>7.4</v>
          </cell>
        </row>
        <row r="2626">
          <cell r="B2626">
            <v>93</v>
          </cell>
        </row>
        <row r="2626">
          <cell r="I2626">
            <v>5.9</v>
          </cell>
        </row>
        <row r="2627">
          <cell r="B2627">
            <v>133</v>
          </cell>
        </row>
        <row r="2627">
          <cell r="I2627">
            <v>7.8</v>
          </cell>
        </row>
        <row r="2628">
          <cell r="B2628">
            <v>121</v>
          </cell>
        </row>
        <row r="2628">
          <cell r="I2628">
            <v>7.4</v>
          </cell>
        </row>
        <row r="2629">
          <cell r="B2629">
            <v>102</v>
          </cell>
        </row>
        <row r="2629">
          <cell r="I2629">
            <v>6.5</v>
          </cell>
        </row>
        <row r="2630">
          <cell r="B2630">
            <v>99</v>
          </cell>
        </row>
        <row r="2630">
          <cell r="I2630">
            <v>7</v>
          </cell>
        </row>
        <row r="2631">
          <cell r="B2631">
            <v>98</v>
          </cell>
        </row>
        <row r="2631">
          <cell r="I2631">
            <v>7.6</v>
          </cell>
        </row>
        <row r="2632">
          <cell r="B2632">
            <v>118</v>
          </cell>
        </row>
        <row r="2632">
          <cell r="I2632">
            <v>6.9</v>
          </cell>
        </row>
        <row r="2633">
          <cell r="B2633">
            <v>104</v>
          </cell>
        </row>
        <row r="2633">
          <cell r="I2633">
            <v>5.3</v>
          </cell>
        </row>
        <row r="2634">
          <cell r="B2634">
            <v>109</v>
          </cell>
        </row>
        <row r="2634">
          <cell r="I2634">
            <v>6.4</v>
          </cell>
        </row>
        <row r="2635">
          <cell r="B2635">
            <v>115</v>
          </cell>
        </row>
        <row r="2635">
          <cell r="I2635">
            <v>7.8</v>
          </cell>
        </row>
        <row r="2636">
          <cell r="B2636">
            <v>92</v>
          </cell>
        </row>
        <row r="2636">
          <cell r="I2636">
            <v>6.7</v>
          </cell>
        </row>
        <row r="2637">
          <cell r="B2637">
            <v>91</v>
          </cell>
        </row>
        <row r="2637">
          <cell r="I2637">
            <v>5.3</v>
          </cell>
        </row>
        <row r="2638">
          <cell r="B2638">
            <v>94</v>
          </cell>
        </row>
        <row r="2638">
          <cell r="I2638">
            <v>6.3</v>
          </cell>
        </row>
        <row r="2639">
          <cell r="B2639">
            <v>93</v>
          </cell>
        </row>
        <row r="2639">
          <cell r="I2639">
            <v>7</v>
          </cell>
        </row>
        <row r="2640">
          <cell r="B2640">
            <v>100</v>
          </cell>
        </row>
        <row r="2640">
          <cell r="I2640">
            <v>6.6</v>
          </cell>
        </row>
        <row r="2641">
          <cell r="B2641">
            <v>293</v>
          </cell>
        </row>
        <row r="2641">
          <cell r="I2641">
            <v>8.4</v>
          </cell>
        </row>
        <row r="2642">
          <cell r="B2642">
            <v>93</v>
          </cell>
        </row>
        <row r="2642">
          <cell r="I2642">
            <v>5.4</v>
          </cell>
        </row>
        <row r="2643">
          <cell r="B2643">
            <v>123</v>
          </cell>
        </row>
        <row r="2643">
          <cell r="I2643">
            <v>7.8</v>
          </cell>
        </row>
        <row r="2644">
          <cell r="B2644">
            <v>119</v>
          </cell>
        </row>
        <row r="2644">
          <cell r="I2644">
            <v>7.6</v>
          </cell>
        </row>
        <row r="2645">
          <cell r="B2645">
            <v>107</v>
          </cell>
        </row>
        <row r="2645">
          <cell r="I2645">
            <v>6.6</v>
          </cell>
        </row>
        <row r="2646">
          <cell r="B2646">
            <v>106</v>
          </cell>
        </row>
        <row r="2646">
          <cell r="I2646">
            <v>6.4</v>
          </cell>
        </row>
        <row r="2647">
          <cell r="B2647">
            <v>109</v>
          </cell>
        </row>
        <row r="2647">
          <cell r="I2647">
            <v>7</v>
          </cell>
        </row>
        <row r="2648">
          <cell r="B2648">
            <v>81</v>
          </cell>
        </row>
        <row r="2648">
          <cell r="I2648">
            <v>5.7</v>
          </cell>
        </row>
        <row r="2649">
          <cell r="B2649">
            <v>95</v>
          </cell>
        </row>
        <row r="2649">
          <cell r="I2649">
            <v>5.9</v>
          </cell>
        </row>
        <row r="2650">
          <cell r="B2650">
            <v>86</v>
          </cell>
        </row>
        <row r="2650">
          <cell r="I2650">
            <v>6.3</v>
          </cell>
        </row>
        <row r="2651">
          <cell r="B2651">
            <v>113</v>
          </cell>
        </row>
        <row r="2651">
          <cell r="I2651">
            <v>6.3</v>
          </cell>
        </row>
        <row r="2652">
          <cell r="B2652">
            <v>122</v>
          </cell>
        </row>
        <row r="2652">
          <cell r="I2652">
            <v>6.2</v>
          </cell>
        </row>
        <row r="2653">
          <cell r="B2653">
            <v>90</v>
          </cell>
        </row>
        <row r="2653">
          <cell r="I2653">
            <v>2.1</v>
          </cell>
        </row>
        <row r="2654">
          <cell r="B2654">
            <v>108</v>
          </cell>
        </row>
        <row r="2654">
          <cell r="I2654">
            <v>5</v>
          </cell>
        </row>
        <row r="2655">
          <cell r="B2655">
            <v>113</v>
          </cell>
        </row>
        <row r="2655">
          <cell r="I2655">
            <v>5.3</v>
          </cell>
        </row>
        <row r="2656">
          <cell r="B2656">
            <v>110</v>
          </cell>
        </row>
        <row r="2656">
          <cell r="I2656">
            <v>7.1</v>
          </cell>
        </row>
        <row r="2657">
          <cell r="B2657">
            <v>109</v>
          </cell>
        </row>
        <row r="2657">
          <cell r="I2657">
            <v>7</v>
          </cell>
        </row>
        <row r="2658">
          <cell r="B2658">
            <v>110</v>
          </cell>
        </row>
        <row r="2658">
          <cell r="I2658">
            <v>7</v>
          </cell>
        </row>
        <row r="2659">
          <cell r="B2659">
            <v>101</v>
          </cell>
        </row>
        <row r="2659">
          <cell r="I2659">
            <v>7.1</v>
          </cell>
        </row>
        <row r="2660">
          <cell r="B2660">
            <v>97</v>
          </cell>
        </row>
        <row r="2660">
          <cell r="I2660">
            <v>7</v>
          </cell>
        </row>
        <row r="2661">
          <cell r="B2661">
            <v>172</v>
          </cell>
        </row>
        <row r="2661">
          <cell r="I2661">
            <v>7.7</v>
          </cell>
        </row>
        <row r="2662">
          <cell r="B2662">
            <v>104</v>
          </cell>
        </row>
        <row r="2662">
          <cell r="I2662">
            <v>7.1</v>
          </cell>
        </row>
        <row r="2663">
          <cell r="B2663">
            <v>99</v>
          </cell>
        </row>
        <row r="2663">
          <cell r="I2663">
            <v>6.8</v>
          </cell>
        </row>
        <row r="2664">
          <cell r="B2664">
            <v>129</v>
          </cell>
        </row>
        <row r="2664">
          <cell r="I2664">
            <v>7.5</v>
          </cell>
        </row>
        <row r="2665">
          <cell r="B2665">
            <v>91</v>
          </cell>
        </row>
        <row r="2665">
          <cell r="I2665">
            <v>6.3</v>
          </cell>
        </row>
        <row r="2666">
          <cell r="B2666">
            <v>100</v>
          </cell>
        </row>
        <row r="2666">
          <cell r="I2666">
            <v>7.3</v>
          </cell>
        </row>
        <row r="2667">
          <cell r="B2667">
            <v>111</v>
          </cell>
        </row>
        <row r="2667">
          <cell r="I2667">
            <v>6.8</v>
          </cell>
        </row>
        <row r="2668">
          <cell r="B2668">
            <v>114</v>
          </cell>
        </row>
        <row r="2668">
          <cell r="I2668">
            <v>7.2</v>
          </cell>
        </row>
        <row r="2669">
          <cell r="B2669">
            <v>86</v>
          </cell>
        </row>
        <row r="2669">
          <cell r="I2669">
            <v>6.4</v>
          </cell>
        </row>
        <row r="2670">
          <cell r="B2670">
            <v>107</v>
          </cell>
        </row>
        <row r="2670">
          <cell r="I2670">
            <v>6</v>
          </cell>
        </row>
        <row r="2671">
          <cell r="B2671">
            <v>90</v>
          </cell>
        </row>
        <row r="2671">
          <cell r="I2671">
            <v>6.4</v>
          </cell>
        </row>
        <row r="2672">
          <cell r="B2672">
            <v>120</v>
          </cell>
        </row>
        <row r="2672">
          <cell r="I2672">
            <v>7.5</v>
          </cell>
        </row>
        <row r="2673">
          <cell r="B2673">
            <v>134</v>
          </cell>
        </row>
        <row r="2673">
          <cell r="I2673">
            <v>7.1</v>
          </cell>
        </row>
        <row r="2674">
          <cell r="B2674">
            <v>110</v>
          </cell>
        </row>
        <row r="2674">
          <cell r="I2674">
            <v>4.6</v>
          </cell>
        </row>
        <row r="2675">
          <cell r="B2675">
            <v>132</v>
          </cell>
        </row>
        <row r="2675">
          <cell r="I2675">
            <v>7.7</v>
          </cell>
        </row>
        <row r="2676">
          <cell r="B2676">
            <v>113</v>
          </cell>
        </row>
        <row r="2676">
          <cell r="I2676">
            <v>5.6</v>
          </cell>
        </row>
        <row r="2677">
          <cell r="B2677">
            <v>111</v>
          </cell>
        </row>
        <row r="2677">
          <cell r="I2677">
            <v>7.5</v>
          </cell>
        </row>
        <row r="2678">
          <cell r="B2678">
            <v>99</v>
          </cell>
        </row>
        <row r="2678">
          <cell r="I2678">
            <v>5.8</v>
          </cell>
        </row>
        <row r="2679">
          <cell r="B2679">
            <v>104</v>
          </cell>
        </row>
        <row r="2679">
          <cell r="I2679">
            <v>8.3</v>
          </cell>
        </row>
        <row r="2680">
          <cell r="B2680">
            <v>103</v>
          </cell>
        </row>
        <row r="2680">
          <cell r="I2680">
            <v>6.6</v>
          </cell>
        </row>
        <row r="2681">
          <cell r="B2681">
            <v>134</v>
          </cell>
        </row>
        <row r="2681">
          <cell r="I2681">
            <v>7.5</v>
          </cell>
        </row>
        <row r="2682">
          <cell r="B2682">
            <v>106</v>
          </cell>
        </row>
        <row r="2682">
          <cell r="I2682">
            <v>7.2</v>
          </cell>
        </row>
        <row r="2683">
          <cell r="B2683">
            <v>125</v>
          </cell>
        </row>
        <row r="2683">
          <cell r="I2683">
            <v>8.7</v>
          </cell>
        </row>
        <row r="2684">
          <cell r="B2684">
            <v>109</v>
          </cell>
        </row>
        <row r="2684">
          <cell r="I2684">
            <v>6</v>
          </cell>
        </row>
        <row r="2685">
          <cell r="B2685">
            <v>200</v>
          </cell>
        </row>
        <row r="2685">
          <cell r="I2685">
            <v>8</v>
          </cell>
        </row>
        <row r="2686">
          <cell r="B2686">
            <v>112</v>
          </cell>
        </row>
        <row r="2686">
          <cell r="I2686">
            <v>4.5</v>
          </cell>
        </row>
        <row r="2687">
          <cell r="B2687">
            <v>116</v>
          </cell>
        </row>
        <row r="2687">
          <cell r="I2687">
            <v>7.9</v>
          </cell>
        </row>
        <row r="2688">
          <cell r="B2688">
            <v>120</v>
          </cell>
        </row>
        <row r="2688">
          <cell r="I2688">
            <v>7.5</v>
          </cell>
        </row>
        <row r="2689">
          <cell r="B2689">
            <v>107</v>
          </cell>
        </row>
        <row r="2689">
          <cell r="I2689">
            <v>6.8</v>
          </cell>
        </row>
        <row r="2690">
          <cell r="B2690">
            <v>107</v>
          </cell>
        </row>
        <row r="2690">
          <cell r="I2690">
            <v>7.2</v>
          </cell>
        </row>
        <row r="2691">
          <cell r="B2691">
            <v>81</v>
          </cell>
        </row>
        <row r="2691">
          <cell r="I2691">
            <v>7.1</v>
          </cell>
        </row>
        <row r="2692">
          <cell r="B2692">
            <v>101</v>
          </cell>
        </row>
        <row r="2692">
          <cell r="I2692">
            <v>7.4</v>
          </cell>
        </row>
        <row r="2693">
          <cell r="B2693">
            <v>122</v>
          </cell>
        </row>
        <row r="2693">
          <cell r="I2693">
            <v>7.6</v>
          </cell>
        </row>
        <row r="2694">
          <cell r="B2694">
            <v>97</v>
          </cell>
        </row>
        <row r="2694">
          <cell r="I2694">
            <v>6.9</v>
          </cell>
        </row>
        <row r="2695">
          <cell r="B2695">
            <v>92</v>
          </cell>
        </row>
        <row r="2695">
          <cell r="I2695">
            <v>6</v>
          </cell>
        </row>
        <row r="2696">
          <cell r="B2696">
            <v>110</v>
          </cell>
        </row>
        <row r="2696">
          <cell r="I2696">
            <v>7.3</v>
          </cell>
        </row>
        <row r="2697">
          <cell r="B2697">
            <v>86</v>
          </cell>
        </row>
        <row r="2697">
          <cell r="I2697">
            <v>4.6</v>
          </cell>
        </row>
        <row r="2698">
          <cell r="B2698">
            <v>91</v>
          </cell>
        </row>
        <row r="2698">
          <cell r="I2698">
            <v>6</v>
          </cell>
        </row>
        <row r="2699">
          <cell r="B2699">
            <v>100</v>
          </cell>
        </row>
        <row r="2699">
          <cell r="I2699">
            <v>5.5</v>
          </cell>
        </row>
        <row r="2700">
          <cell r="B2700">
            <v>111</v>
          </cell>
        </row>
        <row r="2700">
          <cell r="I2700">
            <v>7.5</v>
          </cell>
        </row>
        <row r="2701">
          <cell r="B2701">
            <v>89</v>
          </cell>
        </row>
        <row r="2701">
          <cell r="I2701">
            <v>6.3</v>
          </cell>
        </row>
        <row r="2702">
          <cell r="B2702">
            <v>84</v>
          </cell>
        </row>
        <row r="2702">
          <cell r="I2702">
            <v>5.1</v>
          </cell>
        </row>
        <row r="2703">
          <cell r="B2703">
            <v>98</v>
          </cell>
        </row>
        <row r="2703">
          <cell r="I2703">
            <v>6.8</v>
          </cell>
        </row>
        <row r="2704">
          <cell r="B2704">
            <v>95</v>
          </cell>
        </row>
        <row r="2704">
          <cell r="I2704">
            <v>5.3</v>
          </cell>
        </row>
        <row r="2705">
          <cell r="B2705">
            <v>100</v>
          </cell>
        </row>
        <row r="2705">
          <cell r="I2705">
            <v>7.3</v>
          </cell>
        </row>
        <row r="2706">
          <cell r="B2706">
            <v>109</v>
          </cell>
        </row>
        <row r="2706">
          <cell r="I2706">
            <v>7.3</v>
          </cell>
        </row>
        <row r="2707">
          <cell r="B2707">
            <v>118</v>
          </cell>
        </row>
        <row r="2707">
          <cell r="I2707">
            <v>7.1</v>
          </cell>
        </row>
        <row r="2708">
          <cell r="B2708">
            <v>88</v>
          </cell>
        </row>
        <row r="2708">
          <cell r="I2708">
            <v>7.6</v>
          </cell>
        </row>
        <row r="2709">
          <cell r="B2709">
            <v>86</v>
          </cell>
        </row>
        <row r="2709">
          <cell r="I2709">
            <v>5.3</v>
          </cell>
        </row>
        <row r="2710">
          <cell r="B2710">
            <v>118</v>
          </cell>
        </row>
        <row r="2710">
          <cell r="I2710">
            <v>7.8</v>
          </cell>
        </row>
        <row r="2711">
          <cell r="B2711">
            <v>125</v>
          </cell>
        </row>
        <row r="2711">
          <cell r="I2711">
            <v>7.7</v>
          </cell>
        </row>
        <row r="2712">
          <cell r="B2712">
            <v>125</v>
          </cell>
        </row>
        <row r="2712">
          <cell r="I2712">
            <v>7.7</v>
          </cell>
        </row>
        <row r="2713">
          <cell r="B2713">
            <v>94</v>
          </cell>
        </row>
        <row r="2713">
          <cell r="I2713">
            <v>5.4</v>
          </cell>
        </row>
        <row r="2714">
          <cell r="B2714">
            <v>113</v>
          </cell>
        </row>
        <row r="2714">
          <cell r="I2714">
            <v>6.2</v>
          </cell>
        </row>
        <row r="2715">
          <cell r="B2715">
            <v>104</v>
          </cell>
        </row>
        <row r="2715">
          <cell r="I2715">
            <v>7.4</v>
          </cell>
        </row>
        <row r="2716">
          <cell r="B2716">
            <v>95</v>
          </cell>
        </row>
        <row r="2716">
          <cell r="I2716">
            <v>6.2</v>
          </cell>
        </row>
        <row r="2717">
          <cell r="B2717">
            <v>102</v>
          </cell>
        </row>
        <row r="2717">
          <cell r="I2717">
            <v>5.1</v>
          </cell>
        </row>
        <row r="2718">
          <cell r="B2718">
            <v>104</v>
          </cell>
        </row>
        <row r="2718">
          <cell r="I2718">
            <v>6.8</v>
          </cell>
        </row>
        <row r="2719">
          <cell r="B2719">
            <v>95</v>
          </cell>
        </row>
        <row r="2719">
          <cell r="I2719">
            <v>5.8</v>
          </cell>
        </row>
        <row r="2720">
          <cell r="B2720">
            <v>118</v>
          </cell>
        </row>
        <row r="2720">
          <cell r="I2720">
            <v>6.4</v>
          </cell>
        </row>
        <row r="2721">
          <cell r="B2721">
            <v>193</v>
          </cell>
        </row>
        <row r="2721">
          <cell r="I2721">
            <v>6</v>
          </cell>
        </row>
        <row r="2722">
          <cell r="B2722">
            <v>97</v>
          </cell>
        </row>
        <row r="2722">
          <cell r="I2722">
            <v>6.9</v>
          </cell>
        </row>
        <row r="2723">
          <cell r="B2723">
            <v>98</v>
          </cell>
        </row>
        <row r="2723">
          <cell r="I2723">
            <v>5.5</v>
          </cell>
        </row>
        <row r="2724">
          <cell r="B2724">
            <v>103</v>
          </cell>
        </row>
        <row r="2724">
          <cell r="I2724">
            <v>5.4</v>
          </cell>
        </row>
        <row r="2725">
          <cell r="B2725">
            <v>161</v>
          </cell>
        </row>
        <row r="2725">
          <cell r="I2725">
            <v>8.3</v>
          </cell>
        </row>
        <row r="2726">
          <cell r="B2726">
            <v>120</v>
          </cell>
        </row>
        <row r="2726">
          <cell r="I2726">
            <v>7.9</v>
          </cell>
        </row>
        <row r="2727">
          <cell r="B2727">
            <v>97</v>
          </cell>
        </row>
        <row r="2727">
          <cell r="I2727">
            <v>6.5</v>
          </cell>
        </row>
        <row r="2728">
          <cell r="B2728">
            <v>99</v>
          </cell>
        </row>
        <row r="2728">
          <cell r="I2728">
            <v>6.4</v>
          </cell>
        </row>
        <row r="2729">
          <cell r="B2729">
            <v>145</v>
          </cell>
        </row>
        <row r="2729">
          <cell r="I2729">
            <v>6.6</v>
          </cell>
        </row>
        <row r="2730">
          <cell r="B2730">
            <v>126</v>
          </cell>
        </row>
        <row r="2730">
          <cell r="I2730">
            <v>8.3</v>
          </cell>
        </row>
        <row r="2731">
          <cell r="B2731">
            <v>121</v>
          </cell>
        </row>
        <row r="2731">
          <cell r="I2731">
            <v>6.2</v>
          </cell>
        </row>
        <row r="2732">
          <cell r="B2732">
            <v>117</v>
          </cell>
        </row>
        <row r="2732">
          <cell r="I2732">
            <v>6.9</v>
          </cell>
        </row>
        <row r="2733">
          <cell r="B2733">
            <v>98</v>
          </cell>
        </row>
        <row r="2733">
          <cell r="I2733">
            <v>5.9</v>
          </cell>
        </row>
        <row r="2734">
          <cell r="B2734">
            <v>109</v>
          </cell>
        </row>
        <row r="2734">
          <cell r="I2734">
            <v>6.1</v>
          </cell>
        </row>
        <row r="2735">
          <cell r="B2735">
            <v>95</v>
          </cell>
        </row>
        <row r="2735">
          <cell r="I2735">
            <v>5.8</v>
          </cell>
        </row>
        <row r="2736">
          <cell r="B2736">
            <v>96</v>
          </cell>
        </row>
        <row r="2736">
          <cell r="I2736">
            <v>5.9</v>
          </cell>
        </row>
        <row r="2737">
          <cell r="B2737">
            <v>101</v>
          </cell>
        </row>
        <row r="2737">
          <cell r="I2737">
            <v>5.5</v>
          </cell>
        </row>
        <row r="2738">
          <cell r="B2738">
            <v>107</v>
          </cell>
        </row>
        <row r="2738">
          <cell r="I2738">
            <v>5</v>
          </cell>
        </row>
        <row r="2739">
          <cell r="B2739">
            <v>119</v>
          </cell>
        </row>
        <row r="2739">
          <cell r="I2739">
            <v>7</v>
          </cell>
        </row>
        <row r="2740">
          <cell r="B2740">
            <v>100</v>
          </cell>
        </row>
        <row r="2740">
          <cell r="I2740">
            <v>6.4</v>
          </cell>
        </row>
        <row r="2741">
          <cell r="B2741">
            <v>98</v>
          </cell>
        </row>
        <row r="2741">
          <cell r="I2741">
            <v>5.9</v>
          </cell>
        </row>
        <row r="2742">
          <cell r="B2742">
            <v>92</v>
          </cell>
        </row>
        <row r="2742">
          <cell r="I2742">
            <v>7</v>
          </cell>
        </row>
        <row r="2743">
          <cell r="B2743">
            <v>90</v>
          </cell>
        </row>
        <row r="2743">
          <cell r="I2743">
            <v>6.1</v>
          </cell>
        </row>
        <row r="2744">
          <cell r="B2744">
            <v>90</v>
          </cell>
        </row>
        <row r="2744">
          <cell r="I2744">
            <v>6.9</v>
          </cell>
        </row>
        <row r="2745">
          <cell r="B2745">
            <v>153</v>
          </cell>
        </row>
        <row r="2745">
          <cell r="I2745">
            <v>7.5</v>
          </cell>
        </row>
        <row r="2746">
          <cell r="B2746">
            <v>124</v>
          </cell>
        </row>
        <row r="2746">
          <cell r="I2746">
            <v>7.3</v>
          </cell>
        </row>
        <row r="2747">
          <cell r="B2747">
            <v>82</v>
          </cell>
        </row>
        <row r="2747">
          <cell r="I2747">
            <v>6.5</v>
          </cell>
        </row>
        <row r="2748">
          <cell r="B2748">
            <v>107</v>
          </cell>
        </row>
        <row r="2748">
          <cell r="I2748">
            <v>6.2</v>
          </cell>
        </row>
        <row r="2749">
          <cell r="B2749">
            <v>97</v>
          </cell>
        </row>
        <row r="2749">
          <cell r="I2749">
            <v>6</v>
          </cell>
        </row>
        <row r="2750">
          <cell r="B2750">
            <v>80</v>
          </cell>
        </row>
        <row r="2750">
          <cell r="I2750">
            <v>6.3</v>
          </cell>
        </row>
        <row r="2751">
          <cell r="B2751">
            <v>85</v>
          </cell>
        </row>
        <row r="2751">
          <cell r="I2751">
            <v>5.8</v>
          </cell>
        </row>
        <row r="2752">
          <cell r="B2752">
            <v>97</v>
          </cell>
        </row>
        <row r="2752">
          <cell r="I2752">
            <v>6.1</v>
          </cell>
        </row>
        <row r="2753">
          <cell r="B2753">
            <v>109</v>
          </cell>
        </row>
        <row r="2753">
          <cell r="I2753">
            <v>6.9</v>
          </cell>
        </row>
        <row r="2754">
          <cell r="B2754">
            <v>140</v>
          </cell>
        </row>
        <row r="2754">
          <cell r="I2754">
            <v>5.4</v>
          </cell>
        </row>
        <row r="2755">
          <cell r="B2755">
            <v>90</v>
          </cell>
        </row>
        <row r="2755">
          <cell r="I2755">
            <v>6.7</v>
          </cell>
        </row>
        <row r="2756">
          <cell r="B2756">
            <v>130</v>
          </cell>
        </row>
        <row r="2756">
          <cell r="I2756">
            <v>7.4</v>
          </cell>
        </row>
        <row r="2757">
          <cell r="B2757">
            <v>98</v>
          </cell>
        </row>
        <row r="2757">
          <cell r="I2757">
            <v>5.6</v>
          </cell>
        </row>
        <row r="2758">
          <cell r="B2758">
            <v>101</v>
          </cell>
        </row>
        <row r="2758">
          <cell r="I2758">
            <v>6.5</v>
          </cell>
        </row>
        <row r="2759">
          <cell r="B2759">
            <v>114</v>
          </cell>
        </row>
        <row r="2759">
          <cell r="I2759">
            <v>6.5</v>
          </cell>
        </row>
        <row r="2760">
          <cell r="B2760">
            <v>100</v>
          </cell>
        </row>
        <row r="2760">
          <cell r="I2760">
            <v>5.8</v>
          </cell>
        </row>
        <row r="2761">
          <cell r="B2761">
            <v>85</v>
          </cell>
        </row>
        <row r="2761">
          <cell r="I2761">
            <v>5</v>
          </cell>
        </row>
        <row r="2762">
          <cell r="B2762">
            <v>103</v>
          </cell>
        </row>
        <row r="2762">
          <cell r="I2762">
            <v>5.5</v>
          </cell>
        </row>
        <row r="2763">
          <cell r="B2763">
            <v>100</v>
          </cell>
        </row>
        <row r="2763">
          <cell r="I2763">
            <v>6.5</v>
          </cell>
        </row>
        <row r="2764">
          <cell r="B2764">
            <v>114</v>
          </cell>
        </row>
        <row r="2764">
          <cell r="I2764">
            <v>7.2</v>
          </cell>
        </row>
        <row r="2765">
          <cell r="B2765">
            <v>97</v>
          </cell>
        </row>
        <row r="2765">
          <cell r="I2765">
            <v>5.2</v>
          </cell>
        </row>
        <row r="2766">
          <cell r="B2766">
            <v>116</v>
          </cell>
        </row>
        <row r="2766">
          <cell r="I2766">
            <v>5.7</v>
          </cell>
        </row>
        <row r="2767">
          <cell r="B2767">
            <v>96</v>
          </cell>
        </row>
        <row r="2767">
          <cell r="I2767">
            <v>4.7</v>
          </cell>
        </row>
        <row r="2768">
          <cell r="B2768">
            <v>98</v>
          </cell>
        </row>
        <row r="2768">
          <cell r="I2768">
            <v>5.9</v>
          </cell>
        </row>
        <row r="2769">
          <cell r="B2769">
            <v>105</v>
          </cell>
        </row>
        <row r="2769">
          <cell r="I2769">
            <v>6.8</v>
          </cell>
        </row>
        <row r="2770">
          <cell r="B2770">
            <v>123</v>
          </cell>
        </row>
        <row r="2770">
          <cell r="I2770">
            <v>5.9</v>
          </cell>
        </row>
        <row r="2771">
          <cell r="B2771">
            <v>93</v>
          </cell>
        </row>
        <row r="2771">
          <cell r="I2771">
            <v>7.7</v>
          </cell>
        </row>
        <row r="2772">
          <cell r="B2772">
            <v>97</v>
          </cell>
        </row>
        <row r="2772">
          <cell r="I2772">
            <v>4.4</v>
          </cell>
        </row>
        <row r="2773">
          <cell r="B2773">
            <v>122</v>
          </cell>
        </row>
        <row r="2773">
          <cell r="I2773">
            <v>6.6</v>
          </cell>
        </row>
        <row r="2774">
          <cell r="B2774">
            <v>101</v>
          </cell>
        </row>
        <row r="2774">
          <cell r="I2774">
            <v>6.7</v>
          </cell>
        </row>
        <row r="2775">
          <cell r="B2775">
            <v>100</v>
          </cell>
        </row>
        <row r="2775">
          <cell r="I2775">
            <v>5.5</v>
          </cell>
        </row>
        <row r="2776">
          <cell r="B2776">
            <v>129</v>
          </cell>
        </row>
        <row r="2776">
          <cell r="I2776">
            <v>6.5</v>
          </cell>
        </row>
        <row r="2777">
          <cell r="B2777">
            <v>81</v>
          </cell>
        </row>
        <row r="2777">
          <cell r="I2777">
            <v>6.2</v>
          </cell>
        </row>
        <row r="2778">
          <cell r="B2778">
            <v>96</v>
          </cell>
        </row>
        <row r="2778">
          <cell r="I2778">
            <v>7.1</v>
          </cell>
        </row>
        <row r="2779">
          <cell r="B2779">
            <v>84</v>
          </cell>
        </row>
        <row r="2779">
          <cell r="I2779">
            <v>6.1</v>
          </cell>
        </row>
        <row r="2780">
          <cell r="B2780">
            <v>110</v>
          </cell>
        </row>
        <row r="2780">
          <cell r="I2780">
            <v>6</v>
          </cell>
        </row>
        <row r="2781">
          <cell r="B2781">
            <v>130</v>
          </cell>
        </row>
        <row r="2781">
          <cell r="I2781">
            <v>7.4</v>
          </cell>
        </row>
        <row r="2782">
          <cell r="B2782">
            <v>84</v>
          </cell>
        </row>
        <row r="2782">
          <cell r="I2782">
            <v>5.9</v>
          </cell>
        </row>
        <row r="2783">
          <cell r="B2783">
            <v>106</v>
          </cell>
        </row>
        <row r="2783">
          <cell r="I2783">
            <v>4.1</v>
          </cell>
        </row>
        <row r="2784">
          <cell r="B2784">
            <v>76</v>
          </cell>
        </row>
        <row r="2784">
          <cell r="I2784">
            <v>5.9</v>
          </cell>
        </row>
        <row r="2785">
          <cell r="B2785">
            <v>99</v>
          </cell>
        </row>
        <row r="2785">
          <cell r="I2785">
            <v>7</v>
          </cell>
        </row>
        <row r="2786">
          <cell r="B2786">
            <v>96</v>
          </cell>
        </row>
        <row r="2786">
          <cell r="I2786">
            <v>6.8</v>
          </cell>
        </row>
        <row r="2787">
          <cell r="B2787">
            <v>104</v>
          </cell>
        </row>
        <row r="2787">
          <cell r="I2787">
            <v>7.4</v>
          </cell>
        </row>
        <row r="2788">
          <cell r="B2788">
            <v>108</v>
          </cell>
        </row>
        <row r="2788">
          <cell r="I2788">
            <v>7.1</v>
          </cell>
        </row>
        <row r="2789">
          <cell r="B2789">
            <v>108</v>
          </cell>
        </row>
        <row r="2789">
          <cell r="I2789">
            <v>7</v>
          </cell>
        </row>
        <row r="2790">
          <cell r="B2790">
            <v>87</v>
          </cell>
        </row>
        <row r="2790">
          <cell r="I2790">
            <v>5.8</v>
          </cell>
        </row>
        <row r="2791">
          <cell r="B2791">
            <v>89</v>
          </cell>
        </row>
        <row r="2791">
          <cell r="I2791">
            <v>7.8</v>
          </cell>
        </row>
        <row r="2792">
          <cell r="B2792">
            <v>97</v>
          </cell>
        </row>
        <row r="2792">
          <cell r="I2792">
            <v>6.5</v>
          </cell>
        </row>
        <row r="2793">
          <cell r="B2793">
            <v>106</v>
          </cell>
        </row>
        <row r="2793">
          <cell r="I2793">
            <v>7</v>
          </cell>
        </row>
        <row r="2794">
          <cell r="B2794">
            <v>100</v>
          </cell>
        </row>
        <row r="2794">
          <cell r="I2794">
            <v>6.3</v>
          </cell>
        </row>
        <row r="2795">
          <cell r="B2795">
            <v>89</v>
          </cell>
        </row>
        <row r="2795">
          <cell r="I2795">
            <v>5.3</v>
          </cell>
        </row>
        <row r="2796">
          <cell r="B2796">
            <v>95</v>
          </cell>
        </row>
        <row r="2796">
          <cell r="I2796">
            <v>5.5</v>
          </cell>
        </row>
        <row r="2797">
          <cell r="B2797">
            <v>97</v>
          </cell>
        </row>
        <row r="2797">
          <cell r="I2797">
            <v>7.4</v>
          </cell>
        </row>
        <row r="2798">
          <cell r="B2798">
            <v>94</v>
          </cell>
        </row>
        <row r="2798">
          <cell r="I2798">
            <v>4.3</v>
          </cell>
        </row>
        <row r="2799">
          <cell r="B2799">
            <v>95</v>
          </cell>
        </row>
        <row r="2799">
          <cell r="I2799">
            <v>5.2</v>
          </cell>
        </row>
        <row r="2800">
          <cell r="B2800">
            <v>101</v>
          </cell>
        </row>
        <row r="2800">
          <cell r="I2800">
            <v>6.7</v>
          </cell>
        </row>
        <row r="2801">
          <cell r="B2801">
            <v>101</v>
          </cell>
        </row>
        <row r="2801">
          <cell r="I2801">
            <v>8.6</v>
          </cell>
        </row>
        <row r="2802">
          <cell r="B2802">
            <v>82</v>
          </cell>
        </row>
        <row r="2802">
          <cell r="I2802">
            <v>6.1</v>
          </cell>
        </row>
        <row r="2803">
          <cell r="B2803">
            <v>74</v>
          </cell>
        </row>
        <row r="2803">
          <cell r="I2803">
            <v>5.8</v>
          </cell>
        </row>
        <row r="2804">
          <cell r="B2804">
            <v>130</v>
          </cell>
        </row>
        <row r="2804">
          <cell r="I2804">
            <v>7.7</v>
          </cell>
        </row>
        <row r="2805">
          <cell r="B2805">
            <v>112</v>
          </cell>
        </row>
        <row r="2805">
          <cell r="I2805">
            <v>8</v>
          </cell>
        </row>
        <row r="2806">
          <cell r="B2806">
            <v>96</v>
          </cell>
        </row>
        <row r="2806">
          <cell r="I2806">
            <v>5.6</v>
          </cell>
        </row>
        <row r="2807">
          <cell r="B2807">
            <v>89</v>
          </cell>
        </row>
        <row r="2807">
          <cell r="I2807">
            <v>6.7</v>
          </cell>
        </row>
        <row r="2808">
          <cell r="B2808">
            <v>121</v>
          </cell>
        </row>
        <row r="2808">
          <cell r="I2808">
            <v>6.6</v>
          </cell>
        </row>
        <row r="2809">
          <cell r="B2809">
            <v>85</v>
          </cell>
        </row>
        <row r="2809">
          <cell r="I2809">
            <v>4.1</v>
          </cell>
        </row>
        <row r="2810">
          <cell r="B2810">
            <v>120</v>
          </cell>
        </row>
        <row r="2810">
          <cell r="I2810">
            <v>7.3</v>
          </cell>
        </row>
        <row r="2811">
          <cell r="B2811">
            <v>106</v>
          </cell>
        </row>
        <row r="2811">
          <cell r="I2811">
            <v>7.1</v>
          </cell>
        </row>
        <row r="2812">
          <cell r="B2812">
            <v>83</v>
          </cell>
        </row>
        <row r="2812">
          <cell r="I2812">
            <v>6.5</v>
          </cell>
        </row>
        <row r="2813">
          <cell r="B2813">
            <v>120</v>
          </cell>
        </row>
        <row r="2813">
          <cell r="I2813">
            <v>7</v>
          </cell>
        </row>
        <row r="2814">
          <cell r="B2814">
            <v>111</v>
          </cell>
        </row>
        <row r="2814">
          <cell r="I2814">
            <v>5.5</v>
          </cell>
        </row>
        <row r="2815">
          <cell r="B2815">
            <v>100</v>
          </cell>
        </row>
        <row r="2815">
          <cell r="I2815">
            <v>6.6</v>
          </cell>
        </row>
        <row r="2816">
          <cell r="B2816">
            <v>89</v>
          </cell>
        </row>
        <row r="2816">
          <cell r="I2816">
            <v>7.1</v>
          </cell>
        </row>
        <row r="2817">
          <cell r="B2817">
            <v>115</v>
          </cell>
        </row>
        <row r="2817">
          <cell r="I2817">
            <v>7.9</v>
          </cell>
        </row>
        <row r="2818">
          <cell r="B2818">
            <v>135</v>
          </cell>
        </row>
        <row r="2818">
          <cell r="I2818">
            <v>7.1</v>
          </cell>
        </row>
        <row r="2819">
          <cell r="B2819">
            <v>92</v>
          </cell>
        </row>
        <row r="2819">
          <cell r="I2819">
            <v>5.6</v>
          </cell>
        </row>
        <row r="2820">
          <cell r="B2820">
            <v>120</v>
          </cell>
        </row>
        <row r="2820">
          <cell r="I2820">
            <v>7.3</v>
          </cell>
        </row>
        <row r="2821">
          <cell r="B2821">
            <v>97</v>
          </cell>
        </row>
        <row r="2821">
          <cell r="I2821">
            <v>3.3</v>
          </cell>
        </row>
        <row r="2822">
          <cell r="B2822">
            <v>135</v>
          </cell>
        </row>
        <row r="2822">
          <cell r="I2822">
            <v>6.5</v>
          </cell>
        </row>
        <row r="2823">
          <cell r="B2823">
            <v>93</v>
          </cell>
        </row>
        <row r="2823">
          <cell r="I2823">
            <v>4.8</v>
          </cell>
        </row>
        <row r="2824">
          <cell r="B2824">
            <v>118</v>
          </cell>
        </row>
        <row r="2824">
          <cell r="I2824">
            <v>5.2</v>
          </cell>
        </row>
        <row r="2825">
          <cell r="B2825">
            <v>97</v>
          </cell>
        </row>
        <row r="2825">
          <cell r="I2825">
            <v>6.3</v>
          </cell>
        </row>
        <row r="2826">
          <cell r="B2826">
            <v>98</v>
          </cell>
        </row>
        <row r="2826">
          <cell r="I2826">
            <v>7.2</v>
          </cell>
        </row>
        <row r="2827">
          <cell r="B2827">
            <v>98</v>
          </cell>
        </row>
        <row r="2827">
          <cell r="I2827">
            <v>6.8</v>
          </cell>
        </row>
        <row r="2828">
          <cell r="B2828">
            <v>101</v>
          </cell>
        </row>
        <row r="2828">
          <cell r="I2828">
            <v>5.7</v>
          </cell>
        </row>
        <row r="2829">
          <cell r="B2829">
            <v>132</v>
          </cell>
        </row>
        <row r="2829">
          <cell r="I2829">
            <v>7.2</v>
          </cell>
        </row>
        <row r="2830">
          <cell r="B2830">
            <v>106</v>
          </cell>
        </row>
        <row r="2830">
          <cell r="I2830">
            <v>6.9</v>
          </cell>
        </row>
        <row r="2831">
          <cell r="B2831">
            <v>87</v>
          </cell>
        </row>
        <row r="2831">
          <cell r="I2831">
            <v>6.2</v>
          </cell>
        </row>
        <row r="2832">
          <cell r="B2832">
            <v>98</v>
          </cell>
        </row>
        <row r="2832">
          <cell r="I2832">
            <v>6.7</v>
          </cell>
        </row>
        <row r="2833">
          <cell r="B2833">
            <v>96</v>
          </cell>
        </row>
        <row r="2833">
          <cell r="I2833">
            <v>6.5</v>
          </cell>
        </row>
        <row r="2834">
          <cell r="B2834">
            <v>104</v>
          </cell>
        </row>
        <row r="2834">
          <cell r="I2834">
            <v>7.2</v>
          </cell>
        </row>
        <row r="2835">
          <cell r="B2835">
            <v>93</v>
          </cell>
        </row>
        <row r="2835">
          <cell r="I2835">
            <v>5.3</v>
          </cell>
        </row>
        <row r="2836">
          <cell r="B2836">
            <v>95</v>
          </cell>
        </row>
        <row r="2836">
          <cell r="I2836">
            <v>6.7</v>
          </cell>
        </row>
        <row r="2837">
          <cell r="B2837">
            <v>89</v>
          </cell>
        </row>
        <row r="2837">
          <cell r="I2837">
            <v>3.6</v>
          </cell>
        </row>
        <row r="2838">
          <cell r="B2838">
            <v>107</v>
          </cell>
        </row>
        <row r="2838">
          <cell r="I2838">
            <v>5.7</v>
          </cell>
        </row>
        <row r="2839">
          <cell r="B2839">
            <v>85</v>
          </cell>
        </row>
        <row r="2839">
          <cell r="I2839">
            <v>7.3</v>
          </cell>
        </row>
        <row r="2840">
          <cell r="B2840">
            <v>93</v>
          </cell>
        </row>
        <row r="2840">
          <cell r="I2840">
            <v>5</v>
          </cell>
        </row>
        <row r="2841">
          <cell r="B2841">
            <v>101</v>
          </cell>
        </row>
        <row r="2841">
          <cell r="I2841">
            <v>6.6</v>
          </cell>
        </row>
        <row r="2842">
          <cell r="B2842">
            <v>103</v>
          </cell>
        </row>
        <row r="2842">
          <cell r="I2842">
            <v>6.6</v>
          </cell>
        </row>
        <row r="2843">
          <cell r="B2843">
            <v>111</v>
          </cell>
        </row>
        <row r="2843">
          <cell r="I2843">
            <v>7.3</v>
          </cell>
        </row>
        <row r="2844">
          <cell r="B2844">
            <v>86</v>
          </cell>
        </row>
        <row r="2844">
          <cell r="I2844">
            <v>6.2</v>
          </cell>
        </row>
        <row r="2845">
          <cell r="B2845">
            <v>90</v>
          </cell>
        </row>
        <row r="2845">
          <cell r="I2845">
            <v>6.6</v>
          </cell>
        </row>
        <row r="2846">
          <cell r="B2846">
            <v>82</v>
          </cell>
        </row>
        <row r="2846">
          <cell r="I2846">
            <v>6.3</v>
          </cell>
        </row>
        <row r="2847">
          <cell r="B2847">
            <v>83</v>
          </cell>
        </row>
        <row r="2847">
          <cell r="I2847">
            <v>3.3</v>
          </cell>
        </row>
        <row r="2848">
          <cell r="B2848">
            <v>125</v>
          </cell>
        </row>
        <row r="2848">
          <cell r="I2848">
            <v>6.2</v>
          </cell>
        </row>
        <row r="2849">
          <cell r="B2849">
            <v>86</v>
          </cell>
        </row>
        <row r="2849">
          <cell r="I2849">
            <v>3.5</v>
          </cell>
        </row>
        <row r="2850">
          <cell r="B2850">
            <v>91</v>
          </cell>
        </row>
        <row r="2850">
          <cell r="I2850">
            <v>5.5</v>
          </cell>
        </row>
        <row r="2851">
          <cell r="B2851">
            <v>90</v>
          </cell>
        </row>
        <row r="2851">
          <cell r="I2851">
            <v>5.9</v>
          </cell>
        </row>
        <row r="2852">
          <cell r="B2852">
            <v>90</v>
          </cell>
        </row>
        <row r="2852">
          <cell r="I2852">
            <v>4.7</v>
          </cell>
        </row>
        <row r="2853">
          <cell r="B2853">
            <v>93</v>
          </cell>
        </row>
        <row r="2853">
          <cell r="I2853">
            <v>3.9</v>
          </cell>
        </row>
        <row r="2854">
          <cell r="B2854">
            <v>104</v>
          </cell>
        </row>
        <row r="2854">
          <cell r="I2854">
            <v>6.1</v>
          </cell>
        </row>
        <row r="2855">
          <cell r="B2855">
            <v>85</v>
          </cell>
        </row>
        <row r="2855">
          <cell r="I2855">
            <v>6.7</v>
          </cell>
        </row>
        <row r="2856">
          <cell r="B2856">
            <v>81</v>
          </cell>
        </row>
        <row r="2856">
          <cell r="I2856">
            <v>6.9</v>
          </cell>
        </row>
        <row r="2857">
          <cell r="B2857">
            <v>135</v>
          </cell>
        </row>
        <row r="2857">
          <cell r="I2857">
            <v>7.3</v>
          </cell>
        </row>
        <row r="2858">
          <cell r="B2858">
            <v>144</v>
          </cell>
        </row>
        <row r="2858">
          <cell r="I2858">
            <v>6.7</v>
          </cell>
        </row>
        <row r="2859">
          <cell r="B2859">
            <v>98</v>
          </cell>
        </row>
        <row r="2859">
          <cell r="I2859">
            <v>6.1</v>
          </cell>
        </row>
        <row r="2860">
          <cell r="B2860">
            <v>117</v>
          </cell>
        </row>
        <row r="2860">
          <cell r="I2860">
            <v>6.9</v>
          </cell>
        </row>
        <row r="2861">
          <cell r="B2861">
            <v>127</v>
          </cell>
        </row>
        <row r="2861">
          <cell r="I2861">
            <v>7.9</v>
          </cell>
        </row>
        <row r="2862">
          <cell r="B2862">
            <v>98</v>
          </cell>
        </row>
        <row r="2862">
          <cell r="I2862">
            <v>4.5</v>
          </cell>
        </row>
        <row r="2863">
          <cell r="B2863">
            <v>197</v>
          </cell>
        </row>
        <row r="2863">
          <cell r="I2863">
            <v>7.6</v>
          </cell>
        </row>
        <row r="2864">
          <cell r="B2864">
            <v>104</v>
          </cell>
        </row>
        <row r="2864">
          <cell r="I2864">
            <v>7.5</v>
          </cell>
        </row>
        <row r="2865">
          <cell r="B2865">
            <v>90</v>
          </cell>
        </row>
        <row r="2865">
          <cell r="I2865">
            <v>6</v>
          </cell>
        </row>
        <row r="2866">
          <cell r="B2866">
            <v>130</v>
          </cell>
        </row>
        <row r="2866">
          <cell r="I2866">
            <v>7.1</v>
          </cell>
        </row>
        <row r="2867">
          <cell r="B2867">
            <v>176</v>
          </cell>
        </row>
        <row r="2867">
          <cell r="I2867">
            <v>6.9</v>
          </cell>
        </row>
        <row r="2868">
          <cell r="B2868">
            <v>116</v>
          </cell>
        </row>
        <row r="2868">
          <cell r="I2868">
            <v>8.5</v>
          </cell>
        </row>
        <row r="2869">
          <cell r="B2869">
            <v>88</v>
          </cell>
        </row>
        <row r="2869">
          <cell r="I2869">
            <v>7.5</v>
          </cell>
        </row>
        <row r="2870">
          <cell r="B2870">
            <v>106</v>
          </cell>
        </row>
        <row r="2870">
          <cell r="I2870">
            <v>6.6</v>
          </cell>
        </row>
        <row r="2871">
          <cell r="B2871">
            <v>181</v>
          </cell>
        </row>
        <row r="2871">
          <cell r="I2871">
            <v>8</v>
          </cell>
        </row>
        <row r="2872">
          <cell r="B2872">
            <v>130</v>
          </cell>
        </row>
        <row r="2872">
          <cell r="I2872">
            <v>7</v>
          </cell>
        </row>
        <row r="2873">
          <cell r="B2873">
            <v>123</v>
          </cell>
        </row>
        <row r="2873">
          <cell r="I2873">
            <v>6.8</v>
          </cell>
        </row>
        <row r="2874">
          <cell r="B2874">
            <v>120</v>
          </cell>
        </row>
        <row r="2874">
          <cell r="I2874">
            <v>6.7</v>
          </cell>
        </row>
        <row r="2875">
          <cell r="B2875">
            <v>87</v>
          </cell>
        </row>
        <row r="2875">
          <cell r="I2875">
            <v>6.5</v>
          </cell>
        </row>
        <row r="2876">
          <cell r="B2876">
            <v>123</v>
          </cell>
        </row>
        <row r="2876">
          <cell r="I2876">
            <v>8</v>
          </cell>
        </row>
        <row r="2877">
          <cell r="B2877">
            <v>103</v>
          </cell>
        </row>
        <row r="2877">
          <cell r="I2877">
            <v>6.5</v>
          </cell>
        </row>
        <row r="2878">
          <cell r="B2878">
            <v>91</v>
          </cell>
        </row>
        <row r="2878">
          <cell r="I2878">
            <v>4.9</v>
          </cell>
        </row>
        <row r="2879">
          <cell r="B2879">
            <v>88</v>
          </cell>
        </row>
        <row r="2879">
          <cell r="I2879">
            <v>7.1</v>
          </cell>
        </row>
        <row r="2880">
          <cell r="B2880">
            <v>126</v>
          </cell>
        </row>
        <row r="2880">
          <cell r="I2880">
            <v>7</v>
          </cell>
        </row>
        <row r="2881">
          <cell r="B2881">
            <v>120</v>
          </cell>
        </row>
        <row r="2881">
          <cell r="I2881">
            <v>7</v>
          </cell>
        </row>
        <row r="2882">
          <cell r="B2882">
            <v>94</v>
          </cell>
        </row>
        <row r="2882">
          <cell r="I2882">
            <v>4.5</v>
          </cell>
        </row>
        <row r="2883">
          <cell r="B2883">
            <v>137</v>
          </cell>
        </row>
        <row r="2883">
          <cell r="I2883">
            <v>7.7</v>
          </cell>
        </row>
        <row r="2884">
          <cell r="B2884">
            <v>119</v>
          </cell>
        </row>
        <row r="2884">
          <cell r="I2884">
            <v>6.7</v>
          </cell>
        </row>
        <row r="2885">
          <cell r="B2885">
            <v>99</v>
          </cell>
        </row>
        <row r="2885">
          <cell r="I2885">
            <v>7</v>
          </cell>
        </row>
        <row r="2886">
          <cell r="B2886">
            <v>79</v>
          </cell>
        </row>
        <row r="2886">
          <cell r="I2886">
            <v>6.5</v>
          </cell>
        </row>
        <row r="2887">
          <cell r="B2887">
            <v>95</v>
          </cell>
        </row>
        <row r="2887">
          <cell r="I2887">
            <v>6.2</v>
          </cell>
        </row>
        <row r="2888">
          <cell r="B2888">
            <v>103</v>
          </cell>
        </row>
        <row r="2888">
          <cell r="I2888">
            <v>5.7</v>
          </cell>
        </row>
        <row r="2889">
          <cell r="B2889">
            <v>92</v>
          </cell>
        </row>
        <row r="2889">
          <cell r="I2889">
            <v>6.4</v>
          </cell>
        </row>
        <row r="2890">
          <cell r="B2890">
            <v>84</v>
          </cell>
        </row>
        <row r="2890">
          <cell r="I2890">
            <v>5.4</v>
          </cell>
        </row>
        <row r="2891">
          <cell r="B2891">
            <v>300</v>
          </cell>
        </row>
        <row r="2891">
          <cell r="I2891">
            <v>6.6</v>
          </cell>
        </row>
        <row r="2892">
          <cell r="B2892">
            <v>120</v>
          </cell>
        </row>
        <row r="2892">
          <cell r="I2892">
            <v>6.1</v>
          </cell>
        </row>
        <row r="2893">
          <cell r="B2893">
            <v>121</v>
          </cell>
        </row>
        <row r="2893">
          <cell r="I2893">
            <v>7.6</v>
          </cell>
        </row>
        <row r="2894">
          <cell r="B2894">
            <v>97</v>
          </cell>
        </row>
        <row r="2894">
          <cell r="I2894">
            <v>6.2</v>
          </cell>
        </row>
        <row r="2895">
          <cell r="B2895">
            <v>86</v>
          </cell>
        </row>
        <row r="2895">
          <cell r="I2895">
            <v>6.6</v>
          </cell>
        </row>
        <row r="2896">
          <cell r="B2896">
            <v>45</v>
          </cell>
        </row>
        <row r="2896">
          <cell r="I2896">
            <v>7.3</v>
          </cell>
        </row>
        <row r="2897">
          <cell r="B2897">
            <v>97</v>
          </cell>
        </row>
        <row r="2897">
          <cell r="I2897">
            <v>4.2</v>
          </cell>
        </row>
        <row r="2898">
          <cell r="B2898">
            <v>93</v>
          </cell>
        </row>
        <row r="2898">
          <cell r="I2898">
            <v>6.5</v>
          </cell>
        </row>
        <row r="2899">
          <cell r="B2899">
            <v>84</v>
          </cell>
        </row>
        <row r="2899">
          <cell r="I2899">
            <v>6.5</v>
          </cell>
        </row>
        <row r="2900">
          <cell r="B2900">
            <v>96</v>
          </cell>
        </row>
        <row r="2900">
          <cell r="I2900">
            <v>5.7</v>
          </cell>
        </row>
        <row r="2901">
          <cell r="B2901">
            <v>112</v>
          </cell>
        </row>
        <row r="2901">
          <cell r="I2901">
            <v>7.3</v>
          </cell>
        </row>
        <row r="2902">
          <cell r="B2902">
            <v>125</v>
          </cell>
        </row>
        <row r="2902">
          <cell r="I2902">
            <v>6.9</v>
          </cell>
        </row>
        <row r="2903">
          <cell r="B2903">
            <v>96</v>
          </cell>
        </row>
        <row r="2903">
          <cell r="I2903">
            <v>5</v>
          </cell>
        </row>
        <row r="2904">
          <cell r="B2904">
            <v>103</v>
          </cell>
        </row>
        <row r="2904">
          <cell r="I2904">
            <v>7.3</v>
          </cell>
        </row>
        <row r="2905">
          <cell r="B2905">
            <v>101</v>
          </cell>
        </row>
        <row r="2905">
          <cell r="I2905">
            <v>6.5</v>
          </cell>
        </row>
        <row r="2906">
          <cell r="B2906">
            <v>104</v>
          </cell>
        </row>
        <row r="2906">
          <cell r="I2906">
            <v>2.1</v>
          </cell>
        </row>
        <row r="2907">
          <cell r="B2907">
            <v>119</v>
          </cell>
        </row>
        <row r="2907">
          <cell r="I2907">
            <v>7</v>
          </cell>
        </row>
        <row r="2908">
          <cell r="B2908">
            <v>128</v>
          </cell>
        </row>
        <row r="2908">
          <cell r="I2908">
            <v>8</v>
          </cell>
        </row>
        <row r="2909">
          <cell r="B2909">
            <v>106</v>
          </cell>
        </row>
        <row r="2909">
          <cell r="I2909">
            <v>6.9</v>
          </cell>
        </row>
        <row r="2910">
          <cell r="B2910">
            <v>126</v>
          </cell>
        </row>
        <row r="2910">
          <cell r="I2910">
            <v>7.1</v>
          </cell>
        </row>
        <row r="2911">
          <cell r="B2911">
            <v>150</v>
          </cell>
        </row>
        <row r="2911">
          <cell r="I2911">
            <v>6.7</v>
          </cell>
        </row>
        <row r="2912">
          <cell r="B2912">
            <v>178</v>
          </cell>
        </row>
        <row r="2912">
          <cell r="I2912">
            <v>8.9</v>
          </cell>
        </row>
        <row r="2913">
          <cell r="B2913">
            <v>117</v>
          </cell>
        </row>
        <row r="2913">
          <cell r="I2913">
            <v>7.9</v>
          </cell>
        </row>
        <row r="2914">
          <cell r="B2914">
            <v>119</v>
          </cell>
        </row>
        <row r="2914">
          <cell r="I2914">
            <v>5.6</v>
          </cell>
        </row>
        <row r="2915">
          <cell r="B2915">
            <v>174</v>
          </cell>
        </row>
        <row r="2915">
          <cell r="I2915">
            <v>8</v>
          </cell>
        </row>
        <row r="2916">
          <cell r="B2916">
            <v>111</v>
          </cell>
        </row>
        <row r="2916">
          <cell r="I2916">
            <v>6.2</v>
          </cell>
        </row>
        <row r="2917">
          <cell r="B2917">
            <v>101</v>
          </cell>
        </row>
        <row r="2917">
          <cell r="I2917">
            <v>7.9</v>
          </cell>
        </row>
        <row r="2918">
          <cell r="B2918">
            <v>89</v>
          </cell>
        </row>
        <row r="2918">
          <cell r="I2918">
            <v>8.1</v>
          </cell>
        </row>
        <row r="2919">
          <cell r="B2919">
            <v>113</v>
          </cell>
        </row>
        <row r="2919">
          <cell r="I2919">
            <v>7.6</v>
          </cell>
        </row>
        <row r="2920">
          <cell r="B2920">
            <v>95</v>
          </cell>
        </row>
        <row r="2920">
          <cell r="I2920">
            <v>3.5</v>
          </cell>
        </row>
        <row r="2921">
          <cell r="B2921">
            <v>112</v>
          </cell>
        </row>
        <row r="2921">
          <cell r="I2921">
            <v>7.6</v>
          </cell>
        </row>
        <row r="2922">
          <cell r="B2922">
            <v>109</v>
          </cell>
        </row>
        <row r="2922">
          <cell r="I2922">
            <v>6.5</v>
          </cell>
        </row>
        <row r="2923">
          <cell r="B2923">
            <v>108</v>
          </cell>
        </row>
        <row r="2923">
          <cell r="I2923">
            <v>5.6</v>
          </cell>
        </row>
        <row r="2924">
          <cell r="B2924">
            <v>100</v>
          </cell>
        </row>
        <row r="2924">
          <cell r="I2924">
            <v>7.7</v>
          </cell>
        </row>
        <row r="2925">
          <cell r="B2925">
            <v>90</v>
          </cell>
        </row>
        <row r="2925">
          <cell r="I2925">
            <v>5.2</v>
          </cell>
        </row>
        <row r="2926">
          <cell r="B2926">
            <v>94</v>
          </cell>
        </row>
        <row r="2926">
          <cell r="I2926">
            <v>6.1</v>
          </cell>
        </row>
        <row r="2927">
          <cell r="B2927">
            <v>111</v>
          </cell>
        </row>
        <row r="2927">
          <cell r="I2927">
            <v>7.4</v>
          </cell>
        </row>
        <row r="2928">
          <cell r="B2928">
            <v>142</v>
          </cell>
        </row>
        <row r="2928">
          <cell r="I2928">
            <v>6.8</v>
          </cell>
        </row>
        <row r="2929">
          <cell r="B2929">
            <v>107</v>
          </cell>
        </row>
        <row r="2929">
          <cell r="I2929">
            <v>6.4</v>
          </cell>
        </row>
        <row r="2930">
          <cell r="B2930">
            <v>91</v>
          </cell>
        </row>
        <row r="2930">
          <cell r="I2930">
            <v>5.7</v>
          </cell>
        </row>
        <row r="2931">
          <cell r="B2931">
            <v>82</v>
          </cell>
        </row>
        <row r="2931">
          <cell r="I2931">
            <v>6.7</v>
          </cell>
        </row>
        <row r="2932">
          <cell r="B2932">
            <v>97</v>
          </cell>
        </row>
        <row r="2932">
          <cell r="I2932">
            <v>5.6</v>
          </cell>
        </row>
        <row r="2933">
          <cell r="B2933">
            <v>102</v>
          </cell>
        </row>
        <row r="2933">
          <cell r="I2933">
            <v>7.6</v>
          </cell>
        </row>
        <row r="2934">
          <cell r="B2934">
            <v>93</v>
          </cell>
        </row>
        <row r="2934">
          <cell r="I2934">
            <v>6.5</v>
          </cell>
        </row>
        <row r="2935">
          <cell r="B2935">
            <v>138</v>
          </cell>
        </row>
        <row r="2935">
          <cell r="I2935">
            <v>6.3</v>
          </cell>
        </row>
        <row r="2936">
          <cell r="B2936">
            <v>93</v>
          </cell>
        </row>
        <row r="2936">
          <cell r="I2936">
            <v>7.1</v>
          </cell>
        </row>
        <row r="2937">
          <cell r="B2937">
            <v>92</v>
          </cell>
        </row>
        <row r="2937">
          <cell r="I2937">
            <v>7.1</v>
          </cell>
        </row>
        <row r="2938">
          <cell r="B2938">
            <v>92</v>
          </cell>
        </row>
        <row r="2938">
          <cell r="I2938">
            <v>6.9</v>
          </cell>
        </row>
        <row r="2939">
          <cell r="B2939">
            <v>104</v>
          </cell>
        </row>
        <row r="2939">
          <cell r="I2939">
            <v>5.4</v>
          </cell>
        </row>
        <row r="2940">
          <cell r="B2940">
            <v>89</v>
          </cell>
        </row>
        <row r="2940">
          <cell r="I2940">
            <v>5.1</v>
          </cell>
        </row>
        <row r="2941">
          <cell r="B2941">
            <v>92</v>
          </cell>
        </row>
        <row r="2941">
          <cell r="I2941">
            <v>5.3</v>
          </cell>
        </row>
        <row r="2942">
          <cell r="B2942">
            <v>90</v>
          </cell>
        </row>
        <row r="2942">
          <cell r="I2942">
            <v>7.3</v>
          </cell>
        </row>
        <row r="2943">
          <cell r="B2943">
            <v>129</v>
          </cell>
        </row>
        <row r="2943">
          <cell r="I2943">
            <v>7.3</v>
          </cell>
        </row>
        <row r="2944">
          <cell r="B2944">
            <v>111</v>
          </cell>
        </row>
        <row r="2944">
          <cell r="I2944">
            <v>7.1</v>
          </cell>
        </row>
        <row r="2945">
          <cell r="B2945">
            <v>79</v>
          </cell>
        </row>
        <row r="2945">
          <cell r="I2945">
            <v>6</v>
          </cell>
        </row>
        <row r="2946">
          <cell r="B2946">
            <v>104</v>
          </cell>
        </row>
        <row r="2946">
          <cell r="I2946">
            <v>6.6</v>
          </cell>
        </row>
        <row r="2947">
          <cell r="B2947">
            <v>101</v>
          </cell>
        </row>
        <row r="2947">
          <cell r="I2947">
            <v>7.2</v>
          </cell>
        </row>
        <row r="2948">
          <cell r="B2948">
            <v>113</v>
          </cell>
        </row>
        <row r="2948">
          <cell r="I2948">
            <v>7.2</v>
          </cell>
        </row>
        <row r="2949">
          <cell r="B2949">
            <v>92</v>
          </cell>
        </row>
        <row r="2949">
          <cell r="I2949">
            <v>6.9</v>
          </cell>
        </row>
        <row r="2950">
          <cell r="B2950">
            <v>106</v>
          </cell>
        </row>
        <row r="2950">
          <cell r="I2950">
            <v>6.8</v>
          </cell>
        </row>
        <row r="2951">
          <cell r="B2951">
            <v>75</v>
          </cell>
        </row>
        <row r="2951">
          <cell r="I2951">
            <v>7.7</v>
          </cell>
        </row>
        <row r="2952">
          <cell r="B2952">
            <v>104</v>
          </cell>
        </row>
        <row r="2952">
          <cell r="I2952">
            <v>7.4</v>
          </cell>
        </row>
        <row r="2953">
          <cell r="B2953">
            <v>108</v>
          </cell>
        </row>
        <row r="2953">
          <cell r="I2953">
            <v>6.5</v>
          </cell>
        </row>
        <row r="2954">
          <cell r="B2954">
            <v>99</v>
          </cell>
        </row>
        <row r="2954">
          <cell r="I2954">
            <v>6.4</v>
          </cell>
        </row>
        <row r="2955">
          <cell r="B2955">
            <v>109</v>
          </cell>
        </row>
        <row r="2955">
          <cell r="I2955">
            <v>5.6</v>
          </cell>
        </row>
        <row r="2956">
          <cell r="B2956">
            <v>93</v>
          </cell>
        </row>
        <row r="2956">
          <cell r="I2956">
            <v>6.8</v>
          </cell>
        </row>
        <row r="2957">
          <cell r="B2957">
            <v>99</v>
          </cell>
        </row>
        <row r="2957">
          <cell r="I2957">
            <v>5.5</v>
          </cell>
        </row>
        <row r="2958">
          <cell r="B2958">
            <v>98</v>
          </cell>
        </row>
        <row r="2958">
          <cell r="I2958">
            <v>6.9</v>
          </cell>
        </row>
        <row r="2959">
          <cell r="B2959">
            <v>95</v>
          </cell>
        </row>
        <row r="2959">
          <cell r="I2959">
            <v>6</v>
          </cell>
        </row>
        <row r="2960">
          <cell r="B2960">
            <v>107</v>
          </cell>
        </row>
        <row r="2960">
          <cell r="I2960">
            <v>6.4</v>
          </cell>
        </row>
        <row r="2961">
          <cell r="B2961">
            <v>102</v>
          </cell>
        </row>
        <row r="2961">
          <cell r="I2961">
            <v>6.6</v>
          </cell>
        </row>
        <row r="2962">
          <cell r="B2962">
            <v>97</v>
          </cell>
        </row>
        <row r="2962">
          <cell r="I2962">
            <v>5.3</v>
          </cell>
        </row>
        <row r="2963">
          <cell r="B2963">
            <v>124</v>
          </cell>
        </row>
        <row r="2963">
          <cell r="I2963">
            <v>8.1</v>
          </cell>
        </row>
        <row r="2964">
          <cell r="B2964">
            <v>90</v>
          </cell>
        </row>
        <row r="2964">
          <cell r="I2964">
            <v>6.9</v>
          </cell>
        </row>
        <row r="2965">
          <cell r="B2965">
            <v>90</v>
          </cell>
        </row>
        <row r="2965">
          <cell r="I2965">
            <v>6.5</v>
          </cell>
        </row>
        <row r="2966">
          <cell r="B2966">
            <v>99</v>
          </cell>
        </row>
        <row r="2966">
          <cell r="I2966">
            <v>7.4</v>
          </cell>
        </row>
        <row r="2967">
          <cell r="B2967">
            <v>115</v>
          </cell>
        </row>
        <row r="2967">
          <cell r="I2967">
            <v>6.9</v>
          </cell>
        </row>
        <row r="2968">
          <cell r="B2968">
            <v>89</v>
          </cell>
        </row>
        <row r="2968">
          <cell r="I2968">
            <v>6.7</v>
          </cell>
        </row>
        <row r="2969">
          <cell r="B2969">
            <v>92</v>
          </cell>
        </row>
        <row r="2969">
          <cell r="I2969">
            <v>7.6</v>
          </cell>
        </row>
        <row r="2970">
          <cell r="B2970">
            <v>94</v>
          </cell>
        </row>
        <row r="2970">
          <cell r="I2970">
            <v>5.4</v>
          </cell>
        </row>
        <row r="2971">
          <cell r="B2971">
            <v>100</v>
          </cell>
        </row>
        <row r="2971">
          <cell r="I2971">
            <v>7.3</v>
          </cell>
        </row>
        <row r="2972">
          <cell r="B2972">
            <v>109</v>
          </cell>
        </row>
        <row r="2972">
          <cell r="I2972">
            <v>6</v>
          </cell>
        </row>
        <row r="2973">
          <cell r="B2973">
            <v>105</v>
          </cell>
        </row>
        <row r="2973">
          <cell r="I2973">
            <v>7.2</v>
          </cell>
        </row>
        <row r="2974">
          <cell r="B2974">
            <v>102</v>
          </cell>
        </row>
        <row r="2974">
          <cell r="I2974">
            <v>6</v>
          </cell>
        </row>
        <row r="2975">
          <cell r="B2975">
            <v>97</v>
          </cell>
        </row>
        <row r="2975">
          <cell r="I2975">
            <v>3.1</v>
          </cell>
        </row>
        <row r="2976">
          <cell r="B2976">
            <v>118</v>
          </cell>
        </row>
        <row r="2976">
          <cell r="I2976">
            <v>6.9</v>
          </cell>
        </row>
        <row r="2977">
          <cell r="B2977">
            <v>92</v>
          </cell>
        </row>
        <row r="2977">
          <cell r="I2977">
            <v>6.2</v>
          </cell>
        </row>
        <row r="2978">
          <cell r="B2978">
            <v>103</v>
          </cell>
        </row>
        <row r="2978">
          <cell r="I2978">
            <v>6.9</v>
          </cell>
        </row>
        <row r="2979">
          <cell r="B2979">
            <v>93</v>
          </cell>
        </row>
        <row r="2979">
          <cell r="I2979">
            <v>6.3</v>
          </cell>
        </row>
        <row r="2980">
          <cell r="B2980">
            <v>113</v>
          </cell>
        </row>
        <row r="2980">
          <cell r="I2980">
            <v>6.7</v>
          </cell>
        </row>
        <row r="2981">
          <cell r="B2981">
            <v>153</v>
          </cell>
        </row>
        <row r="2981">
          <cell r="I2981">
            <v>5.4</v>
          </cell>
        </row>
        <row r="2982">
          <cell r="B2982">
            <v>89</v>
          </cell>
        </row>
        <row r="2982">
          <cell r="I2982">
            <v>8</v>
          </cell>
        </row>
        <row r="2983">
          <cell r="B2983">
            <v>118</v>
          </cell>
        </row>
        <row r="2983">
          <cell r="I2983">
            <v>7</v>
          </cell>
        </row>
        <row r="2984">
          <cell r="B2984">
            <v>97</v>
          </cell>
        </row>
        <row r="2984">
          <cell r="I2984">
            <v>7.2</v>
          </cell>
        </row>
        <row r="2985">
          <cell r="B2985">
            <v>100</v>
          </cell>
        </row>
        <row r="2985">
          <cell r="I2985">
            <v>3.5</v>
          </cell>
        </row>
        <row r="2986">
          <cell r="B2986">
            <v>96</v>
          </cell>
        </row>
        <row r="2986">
          <cell r="I2986">
            <v>7.5</v>
          </cell>
        </row>
        <row r="2987">
          <cell r="B2987">
            <v>120</v>
          </cell>
        </row>
        <row r="2987">
          <cell r="I2987">
            <v>6.7</v>
          </cell>
        </row>
        <row r="2988">
          <cell r="B2988">
            <v>175</v>
          </cell>
        </row>
        <row r="2988">
          <cell r="I2988">
            <v>9.2</v>
          </cell>
        </row>
        <row r="2989">
          <cell r="B2989">
            <v>95</v>
          </cell>
        </row>
        <row r="2989">
          <cell r="I2989">
            <v>6.1</v>
          </cell>
        </row>
        <row r="2990">
          <cell r="B2990">
            <v>95</v>
          </cell>
        </row>
        <row r="2990">
          <cell r="I2990">
            <v>7.7</v>
          </cell>
        </row>
        <row r="2991">
          <cell r="B2991">
            <v>121</v>
          </cell>
        </row>
        <row r="2991">
          <cell r="I2991">
            <v>7.6</v>
          </cell>
        </row>
        <row r="2992">
          <cell r="B2992">
            <v>110</v>
          </cell>
        </row>
        <row r="2992">
          <cell r="I2992">
            <v>6.1</v>
          </cell>
        </row>
        <row r="2993">
          <cell r="B2993">
            <v>96</v>
          </cell>
        </row>
        <row r="2993">
          <cell r="I2993">
            <v>4.9</v>
          </cell>
        </row>
        <row r="2994">
          <cell r="B2994">
            <v>121</v>
          </cell>
        </row>
        <row r="2994">
          <cell r="I2994">
            <v>6.8</v>
          </cell>
        </row>
        <row r="2995">
          <cell r="B2995">
            <v>95</v>
          </cell>
        </row>
        <row r="2995">
          <cell r="I2995">
            <v>7</v>
          </cell>
        </row>
        <row r="2996">
          <cell r="B2996">
            <v>112</v>
          </cell>
        </row>
        <row r="2996">
          <cell r="I2996">
            <v>5.7</v>
          </cell>
        </row>
        <row r="2997">
          <cell r="B2997">
            <v>93</v>
          </cell>
        </row>
        <row r="2997">
          <cell r="I2997">
            <v>7.5</v>
          </cell>
        </row>
        <row r="2998">
          <cell r="B2998">
            <v>110</v>
          </cell>
        </row>
        <row r="2998">
          <cell r="I2998">
            <v>7.4</v>
          </cell>
        </row>
        <row r="2999">
          <cell r="B2999">
            <v>104</v>
          </cell>
        </row>
        <row r="2999">
          <cell r="I2999">
            <v>7.2</v>
          </cell>
        </row>
        <row r="3000">
          <cell r="B3000">
            <v>119</v>
          </cell>
        </row>
        <row r="3000">
          <cell r="I3000">
            <v>6.8</v>
          </cell>
        </row>
        <row r="3001">
          <cell r="B3001">
            <v>125</v>
          </cell>
        </row>
        <row r="3001">
          <cell r="I3001">
            <v>6.8</v>
          </cell>
        </row>
        <row r="3002">
          <cell r="B3002">
            <v>96</v>
          </cell>
        </row>
        <row r="3002">
          <cell r="I3002">
            <v>5.2</v>
          </cell>
        </row>
        <row r="3003">
          <cell r="B3003">
            <v>100</v>
          </cell>
        </row>
        <row r="3003">
          <cell r="I3003">
            <v>7.2</v>
          </cell>
        </row>
        <row r="3004">
          <cell r="B3004">
            <v>89</v>
          </cell>
        </row>
        <row r="3004">
          <cell r="I3004">
            <v>4</v>
          </cell>
        </row>
        <row r="3005">
          <cell r="B3005">
            <v>92</v>
          </cell>
        </row>
        <row r="3005">
          <cell r="I3005">
            <v>6.8</v>
          </cell>
        </row>
        <row r="3006">
          <cell r="B3006">
            <v>109</v>
          </cell>
        </row>
        <row r="3006">
          <cell r="I3006">
            <v>6.9</v>
          </cell>
        </row>
        <row r="3007">
          <cell r="B3007">
            <v>103</v>
          </cell>
        </row>
        <row r="3007">
          <cell r="I3007">
            <v>7.3</v>
          </cell>
        </row>
        <row r="3008">
          <cell r="B3008">
            <v>95</v>
          </cell>
        </row>
        <row r="3008">
          <cell r="I3008">
            <v>6.1</v>
          </cell>
        </row>
        <row r="3009">
          <cell r="B3009">
            <v>105</v>
          </cell>
        </row>
        <row r="3009">
          <cell r="I3009">
            <v>6</v>
          </cell>
        </row>
        <row r="3010">
          <cell r="B3010">
            <v>106</v>
          </cell>
        </row>
        <row r="3010">
          <cell r="I3010">
            <v>7</v>
          </cell>
        </row>
        <row r="3011">
          <cell r="B3011">
            <v>100</v>
          </cell>
        </row>
        <row r="3011">
          <cell r="I3011">
            <v>7.1</v>
          </cell>
        </row>
        <row r="3012">
          <cell r="B3012">
            <v>103</v>
          </cell>
        </row>
        <row r="3012">
          <cell r="I3012">
            <v>6.2</v>
          </cell>
        </row>
        <row r="3013">
          <cell r="B3013">
            <v>116</v>
          </cell>
        </row>
        <row r="3013">
          <cell r="I3013">
            <v>6.9</v>
          </cell>
        </row>
        <row r="3014">
          <cell r="B3014">
            <v>99</v>
          </cell>
        </row>
        <row r="3014">
          <cell r="I3014">
            <v>7.6</v>
          </cell>
        </row>
        <row r="3015">
          <cell r="B3015">
            <v>164</v>
          </cell>
        </row>
        <row r="3015">
          <cell r="I3015">
            <v>7.6</v>
          </cell>
        </row>
        <row r="3016">
          <cell r="B3016">
            <v>96</v>
          </cell>
        </row>
        <row r="3016">
          <cell r="I3016">
            <v>6.4</v>
          </cell>
        </row>
        <row r="3017">
          <cell r="B3017">
            <v>122</v>
          </cell>
        </row>
        <row r="3017">
          <cell r="I3017">
            <v>6.2</v>
          </cell>
        </row>
        <row r="3018">
          <cell r="B3018">
            <v>94</v>
          </cell>
        </row>
        <row r="3018">
          <cell r="I3018">
            <v>7.5</v>
          </cell>
        </row>
        <row r="3019">
          <cell r="B3019">
            <v>93</v>
          </cell>
        </row>
        <row r="3019">
          <cell r="I3019">
            <v>2</v>
          </cell>
        </row>
        <row r="3020">
          <cell r="B3020">
            <v>96</v>
          </cell>
        </row>
        <row r="3020">
          <cell r="I3020">
            <v>6.2</v>
          </cell>
        </row>
        <row r="3021">
          <cell r="B3021">
            <v>113</v>
          </cell>
        </row>
        <row r="3021">
          <cell r="I3021">
            <v>6.5</v>
          </cell>
        </row>
        <row r="3022">
          <cell r="B3022">
            <v>192</v>
          </cell>
        </row>
        <row r="3022">
          <cell r="I3022">
            <v>7.9</v>
          </cell>
        </row>
        <row r="3023">
          <cell r="B3023">
            <v>99</v>
          </cell>
        </row>
        <row r="3023">
          <cell r="I3023">
            <v>6.8</v>
          </cell>
        </row>
        <row r="3024">
          <cell r="B3024">
            <v>91</v>
          </cell>
        </row>
        <row r="3024">
          <cell r="I3024">
            <v>6.3</v>
          </cell>
        </row>
        <row r="3025">
          <cell r="B3025">
            <v>100</v>
          </cell>
        </row>
        <row r="3025">
          <cell r="I3025">
            <v>6.3</v>
          </cell>
        </row>
        <row r="3026">
          <cell r="B3026">
            <v>105</v>
          </cell>
        </row>
        <row r="3026">
          <cell r="I3026">
            <v>6.6</v>
          </cell>
        </row>
        <row r="3027">
          <cell r="B3027">
            <v>99</v>
          </cell>
        </row>
        <row r="3027">
          <cell r="I3027">
            <v>6.4</v>
          </cell>
        </row>
        <row r="3028">
          <cell r="B3028">
            <v>112</v>
          </cell>
        </row>
        <row r="3028">
          <cell r="I3028">
            <v>7.5</v>
          </cell>
        </row>
        <row r="3029">
          <cell r="B3029">
            <v>99</v>
          </cell>
        </row>
        <row r="3029">
          <cell r="I3029">
            <v>6.5</v>
          </cell>
        </row>
        <row r="3030">
          <cell r="B3030">
            <v>125</v>
          </cell>
        </row>
        <row r="3030">
          <cell r="I3030">
            <v>7.2</v>
          </cell>
        </row>
        <row r="3031">
          <cell r="B3031">
            <v>107</v>
          </cell>
        </row>
        <row r="3031">
          <cell r="I3031">
            <v>6.3</v>
          </cell>
        </row>
        <row r="3032">
          <cell r="B3032">
            <v>107</v>
          </cell>
        </row>
        <row r="3032">
          <cell r="I3032">
            <v>7</v>
          </cell>
        </row>
        <row r="3033">
          <cell r="B3033">
            <v>97</v>
          </cell>
        </row>
        <row r="3033">
          <cell r="I3033">
            <v>6.3</v>
          </cell>
        </row>
        <row r="3034">
          <cell r="B3034">
            <v>95</v>
          </cell>
        </row>
        <row r="3034">
          <cell r="I3034">
            <v>2.3</v>
          </cell>
        </row>
        <row r="3035">
          <cell r="B3035">
            <v>106</v>
          </cell>
        </row>
        <row r="3035">
          <cell r="I3035">
            <v>7.1</v>
          </cell>
        </row>
        <row r="3036">
          <cell r="B3036">
            <v>103</v>
          </cell>
        </row>
        <row r="3036">
          <cell r="I3036">
            <v>6.2</v>
          </cell>
        </row>
        <row r="3037">
          <cell r="B3037">
            <v>96</v>
          </cell>
        </row>
        <row r="3037">
          <cell r="I3037">
            <v>6.7</v>
          </cell>
        </row>
        <row r="3038">
          <cell r="B3038">
            <v>103</v>
          </cell>
        </row>
        <row r="3038">
          <cell r="I3038">
            <v>6.5</v>
          </cell>
        </row>
        <row r="3039">
          <cell r="B3039">
            <v>108</v>
          </cell>
        </row>
        <row r="3039">
          <cell r="I3039">
            <v>5.9</v>
          </cell>
        </row>
        <row r="3040">
          <cell r="B3040">
            <v>118</v>
          </cell>
        </row>
        <row r="3040">
          <cell r="I3040">
            <v>6</v>
          </cell>
        </row>
        <row r="3041">
          <cell r="B3041">
            <v>97</v>
          </cell>
        </row>
        <row r="3041">
          <cell r="I3041">
            <v>6.9</v>
          </cell>
        </row>
        <row r="3042">
          <cell r="B3042">
            <v>115</v>
          </cell>
        </row>
        <row r="3042">
          <cell r="I3042">
            <v>7.3</v>
          </cell>
        </row>
        <row r="3043">
          <cell r="B3043">
            <v>102</v>
          </cell>
        </row>
        <row r="3043">
          <cell r="I3043">
            <v>7.7</v>
          </cell>
        </row>
        <row r="3044">
          <cell r="B3044">
            <v>125</v>
          </cell>
        </row>
        <row r="3044">
          <cell r="I3044">
            <v>7.3</v>
          </cell>
        </row>
        <row r="3045">
          <cell r="B3045">
            <v>108</v>
          </cell>
        </row>
        <row r="3045">
          <cell r="I3045">
            <v>7</v>
          </cell>
        </row>
        <row r="3046">
          <cell r="B3046">
            <v>101</v>
          </cell>
        </row>
        <row r="3046">
          <cell r="I3046">
            <v>6.4</v>
          </cell>
        </row>
        <row r="3047">
          <cell r="B3047">
            <v>101</v>
          </cell>
        </row>
        <row r="3047">
          <cell r="I3047">
            <v>5.6</v>
          </cell>
        </row>
        <row r="3048">
          <cell r="B3048">
            <v>139</v>
          </cell>
        </row>
        <row r="3048">
          <cell r="I3048">
            <v>8.2</v>
          </cell>
        </row>
        <row r="3049">
          <cell r="B3049">
            <v>125</v>
          </cell>
        </row>
        <row r="3049">
          <cell r="I3049">
            <v>6.5</v>
          </cell>
        </row>
        <row r="3050">
          <cell r="B3050">
            <v>115</v>
          </cell>
        </row>
        <row r="3050">
          <cell r="I3050">
            <v>8.1</v>
          </cell>
        </row>
        <row r="3051">
          <cell r="B3051">
            <v>99</v>
          </cell>
        </row>
        <row r="3051">
          <cell r="I3051">
            <v>5.4</v>
          </cell>
        </row>
        <row r="3052">
          <cell r="B3052">
            <v>88</v>
          </cell>
        </row>
        <row r="3052">
          <cell r="I3052">
            <v>6.3</v>
          </cell>
        </row>
        <row r="3053">
          <cell r="B3053">
            <v>112</v>
          </cell>
        </row>
        <row r="3053">
          <cell r="I3053">
            <v>7.8</v>
          </cell>
        </row>
        <row r="3054">
          <cell r="B3054">
            <v>108</v>
          </cell>
        </row>
        <row r="3054">
          <cell r="I3054">
            <v>6.8</v>
          </cell>
        </row>
        <row r="3055">
          <cell r="B3055">
            <v>104</v>
          </cell>
        </row>
        <row r="3055">
          <cell r="I3055">
            <v>7.1</v>
          </cell>
        </row>
        <row r="3056">
          <cell r="B3056">
            <v>108</v>
          </cell>
        </row>
        <row r="3056">
          <cell r="I3056">
            <v>6.2</v>
          </cell>
        </row>
        <row r="3057">
          <cell r="B3057">
            <v>102</v>
          </cell>
        </row>
        <row r="3057">
          <cell r="I3057">
            <v>7.3</v>
          </cell>
        </row>
        <row r="3058">
          <cell r="B3058">
            <v>88</v>
          </cell>
        </row>
        <row r="3058">
          <cell r="I3058">
            <v>5.9</v>
          </cell>
        </row>
        <row r="3059">
          <cell r="B3059">
            <v>91</v>
          </cell>
        </row>
        <row r="3059">
          <cell r="I3059">
            <v>3.6</v>
          </cell>
        </row>
        <row r="3060">
          <cell r="B3060">
            <v>141</v>
          </cell>
        </row>
        <row r="3060">
          <cell r="I3060">
            <v>7.7</v>
          </cell>
        </row>
        <row r="3061">
          <cell r="B3061">
            <v>101</v>
          </cell>
        </row>
        <row r="3061">
          <cell r="I3061">
            <v>7.3</v>
          </cell>
        </row>
        <row r="3062">
          <cell r="B3062">
            <v>105</v>
          </cell>
        </row>
        <row r="3062">
          <cell r="I3062">
            <v>7.4</v>
          </cell>
        </row>
        <row r="3063">
          <cell r="B3063">
            <v>100</v>
          </cell>
        </row>
        <row r="3063">
          <cell r="I3063">
            <v>6.6</v>
          </cell>
        </row>
        <row r="3064">
          <cell r="B3064">
            <v>116</v>
          </cell>
        </row>
        <row r="3064">
          <cell r="I3064">
            <v>6.9</v>
          </cell>
        </row>
        <row r="3065">
          <cell r="B3065">
            <v>97</v>
          </cell>
        </row>
        <row r="3065">
          <cell r="I3065">
            <v>6.8</v>
          </cell>
        </row>
        <row r="3066">
          <cell r="B3066">
            <v>106</v>
          </cell>
        </row>
        <row r="3066">
          <cell r="I3066">
            <v>7.3</v>
          </cell>
        </row>
        <row r="3067">
          <cell r="B3067">
            <v>105</v>
          </cell>
        </row>
        <row r="3067">
          <cell r="I3067">
            <v>7.2</v>
          </cell>
        </row>
        <row r="3068">
          <cell r="B3068">
            <v>122</v>
          </cell>
        </row>
        <row r="3068">
          <cell r="I3068">
            <v>7.7</v>
          </cell>
        </row>
        <row r="3069">
          <cell r="B3069">
            <v>107</v>
          </cell>
        </row>
        <row r="3069">
          <cell r="I3069">
            <v>8.1</v>
          </cell>
        </row>
        <row r="3070">
          <cell r="B3070">
            <v>121</v>
          </cell>
        </row>
        <row r="3070">
          <cell r="I3070">
            <v>7.7</v>
          </cell>
        </row>
        <row r="3071">
          <cell r="B3071">
            <v>98</v>
          </cell>
        </row>
        <row r="3071">
          <cell r="I3071">
            <v>7.6</v>
          </cell>
        </row>
        <row r="3072">
          <cell r="B3072">
            <v>123</v>
          </cell>
        </row>
        <row r="3072">
          <cell r="I3072">
            <v>7.2</v>
          </cell>
        </row>
        <row r="3073">
          <cell r="B3073">
            <v>110</v>
          </cell>
        </row>
        <row r="3073">
          <cell r="I3073">
            <v>7.2</v>
          </cell>
        </row>
        <row r="3074">
          <cell r="B3074">
            <v>120</v>
          </cell>
        </row>
        <row r="3074">
          <cell r="I3074">
            <v>8.1</v>
          </cell>
        </row>
        <row r="3075">
          <cell r="B3075">
            <v>122</v>
          </cell>
        </row>
        <row r="3075">
          <cell r="I3075">
            <v>7.5</v>
          </cell>
        </row>
        <row r="3076">
          <cell r="B3076">
            <v>110</v>
          </cell>
        </row>
        <row r="3076">
          <cell r="I3076">
            <v>8.1</v>
          </cell>
        </row>
        <row r="3077">
          <cell r="B3077">
            <v>139</v>
          </cell>
        </row>
        <row r="3077">
          <cell r="I3077">
            <v>7.8</v>
          </cell>
        </row>
        <row r="3078">
          <cell r="B3078">
            <v>124</v>
          </cell>
        </row>
        <row r="3078">
          <cell r="I3078">
            <v>7.8</v>
          </cell>
        </row>
        <row r="3079">
          <cell r="B3079">
            <v>152</v>
          </cell>
        </row>
        <row r="3079">
          <cell r="I3079">
            <v>7.6</v>
          </cell>
        </row>
        <row r="3080">
          <cell r="B3080">
            <v>98</v>
          </cell>
        </row>
        <row r="3080">
          <cell r="I3080">
            <v>7.4</v>
          </cell>
        </row>
        <row r="3081">
          <cell r="B3081">
            <v>106</v>
          </cell>
        </row>
        <row r="3081">
          <cell r="I3081">
            <v>6.3</v>
          </cell>
        </row>
        <row r="3082">
          <cell r="B3082">
            <v>106</v>
          </cell>
        </row>
        <row r="3082">
          <cell r="I3082">
            <v>6.9</v>
          </cell>
        </row>
        <row r="3083">
          <cell r="B3083">
            <v>106</v>
          </cell>
        </row>
        <row r="3083">
          <cell r="I3083">
            <v>8.6</v>
          </cell>
        </row>
        <row r="3084">
          <cell r="B3084">
            <v>89</v>
          </cell>
        </row>
        <row r="3084">
          <cell r="I3084">
            <v>5.1</v>
          </cell>
        </row>
        <row r="3085">
          <cell r="B3085">
            <v>94</v>
          </cell>
        </row>
        <row r="3085">
          <cell r="I3085">
            <v>6.4</v>
          </cell>
        </row>
        <row r="3086">
          <cell r="B3086">
            <v>109</v>
          </cell>
        </row>
        <row r="3086">
          <cell r="I3086">
            <v>7.9</v>
          </cell>
        </row>
        <row r="3087">
          <cell r="B3087">
            <v>144</v>
          </cell>
        </row>
        <row r="3087">
          <cell r="I3087">
            <v>6.9</v>
          </cell>
        </row>
        <row r="3088">
          <cell r="B3088">
            <v>90</v>
          </cell>
        </row>
        <row r="3088">
          <cell r="I3088">
            <v>7.5</v>
          </cell>
        </row>
        <row r="3089">
          <cell r="B3089">
            <v>106</v>
          </cell>
        </row>
        <row r="3089">
          <cell r="I3089">
            <v>7.2</v>
          </cell>
        </row>
        <row r="3090">
          <cell r="B3090">
            <v>121</v>
          </cell>
        </row>
        <row r="3090">
          <cell r="I3090">
            <v>5.8</v>
          </cell>
        </row>
        <row r="3091">
          <cell r="B3091">
            <v>89</v>
          </cell>
        </row>
        <row r="3091">
          <cell r="I3091">
            <v>2.9</v>
          </cell>
        </row>
        <row r="3092">
          <cell r="B3092">
            <v>104</v>
          </cell>
        </row>
        <row r="3092">
          <cell r="I3092">
            <v>6.2</v>
          </cell>
        </row>
        <row r="3093">
          <cell r="B3093">
            <v>99</v>
          </cell>
        </row>
        <row r="3093">
          <cell r="I3093">
            <v>6.8</v>
          </cell>
        </row>
        <row r="3094">
          <cell r="B3094">
            <v>98</v>
          </cell>
        </row>
        <row r="3094">
          <cell r="I3094">
            <v>6.1</v>
          </cell>
        </row>
        <row r="3095">
          <cell r="B3095">
            <v>121</v>
          </cell>
        </row>
        <row r="3095">
          <cell r="I3095">
            <v>7.7</v>
          </cell>
        </row>
        <row r="3096">
          <cell r="B3096">
            <v>96</v>
          </cell>
        </row>
        <row r="3096">
          <cell r="I3096">
            <v>5.2</v>
          </cell>
        </row>
        <row r="3097">
          <cell r="B3097">
            <v>99</v>
          </cell>
        </row>
        <row r="3097">
          <cell r="I3097">
            <v>6.8</v>
          </cell>
        </row>
        <row r="3098">
          <cell r="B3098">
            <v>42</v>
          </cell>
        </row>
        <row r="3098">
          <cell r="I3098">
            <v>6.5</v>
          </cell>
        </row>
        <row r="3099">
          <cell r="B3099">
            <v>122</v>
          </cell>
        </row>
        <row r="3099">
          <cell r="I3099">
            <v>7</v>
          </cell>
        </row>
        <row r="3100">
          <cell r="B3100">
            <v>101</v>
          </cell>
        </row>
        <row r="3100">
          <cell r="I3100">
            <v>5.9</v>
          </cell>
        </row>
        <row r="3101">
          <cell r="B3101">
            <v>102</v>
          </cell>
        </row>
        <row r="3101">
          <cell r="I3101">
            <v>7.1</v>
          </cell>
        </row>
        <row r="3102">
          <cell r="B3102">
            <v>84</v>
          </cell>
        </row>
        <row r="3102">
          <cell r="I3102">
            <v>5.5</v>
          </cell>
        </row>
        <row r="3103">
          <cell r="B3103">
            <v>104</v>
          </cell>
        </row>
        <row r="3103">
          <cell r="I3103">
            <v>7.4</v>
          </cell>
        </row>
        <row r="3104">
          <cell r="B3104">
            <v>96</v>
          </cell>
        </row>
        <row r="3104">
          <cell r="I3104">
            <v>7.3</v>
          </cell>
        </row>
        <row r="3105">
          <cell r="B3105">
            <v>94</v>
          </cell>
        </row>
        <row r="3105">
          <cell r="I3105">
            <v>4.6</v>
          </cell>
        </row>
        <row r="3106">
          <cell r="B3106">
            <v>90</v>
          </cell>
        </row>
        <row r="3106">
          <cell r="I3106">
            <v>7.2</v>
          </cell>
        </row>
        <row r="3107">
          <cell r="B3107">
            <v>90</v>
          </cell>
        </row>
        <row r="3107">
          <cell r="I3107">
            <v>5.1</v>
          </cell>
        </row>
        <row r="3108">
          <cell r="B3108">
            <v>106</v>
          </cell>
        </row>
        <row r="3108">
          <cell r="I3108">
            <v>6.7</v>
          </cell>
        </row>
        <row r="3109">
          <cell r="B3109">
            <v>96</v>
          </cell>
        </row>
        <row r="3109">
          <cell r="I3109">
            <v>5.3</v>
          </cell>
        </row>
        <row r="3110">
          <cell r="B3110">
            <v>95</v>
          </cell>
        </row>
        <row r="3110">
          <cell r="I3110">
            <v>7.8</v>
          </cell>
        </row>
        <row r="3111">
          <cell r="B3111">
            <v>99</v>
          </cell>
        </row>
        <row r="3111">
          <cell r="I3111">
            <v>6.7</v>
          </cell>
        </row>
        <row r="3112">
          <cell r="B3112">
            <v>99</v>
          </cell>
        </row>
        <row r="3112">
          <cell r="I3112">
            <v>7.2</v>
          </cell>
        </row>
        <row r="3113">
          <cell r="B3113">
            <v>95</v>
          </cell>
        </row>
        <row r="3113">
          <cell r="I3113">
            <v>5.8</v>
          </cell>
        </row>
        <row r="3114">
          <cell r="B3114">
            <v>99</v>
          </cell>
        </row>
        <row r="3114">
          <cell r="I3114">
            <v>7</v>
          </cell>
        </row>
        <row r="3115">
          <cell r="B3115">
            <v>107</v>
          </cell>
        </row>
        <row r="3115">
          <cell r="I3115">
            <v>3.8</v>
          </cell>
        </row>
        <row r="3116">
          <cell r="B3116">
            <v>90</v>
          </cell>
        </row>
        <row r="3116">
          <cell r="I3116">
            <v>5.7</v>
          </cell>
        </row>
        <row r="3117">
          <cell r="B3117">
            <v>96</v>
          </cell>
        </row>
        <row r="3117">
          <cell r="I3117">
            <v>6.7</v>
          </cell>
        </row>
        <row r="3118">
          <cell r="B3118">
            <v>104</v>
          </cell>
        </row>
        <row r="3118">
          <cell r="I3118">
            <v>6.1</v>
          </cell>
        </row>
        <row r="3119">
          <cell r="B3119">
            <v>97</v>
          </cell>
        </row>
        <row r="3119">
          <cell r="I3119">
            <v>6.2</v>
          </cell>
        </row>
        <row r="3120">
          <cell r="B3120">
            <v>107</v>
          </cell>
        </row>
        <row r="3120">
          <cell r="I3120">
            <v>6.2</v>
          </cell>
        </row>
        <row r="3121">
          <cell r="B3121">
            <v>85</v>
          </cell>
        </row>
        <row r="3121">
          <cell r="I3121">
            <v>4.7</v>
          </cell>
        </row>
        <row r="3122">
          <cell r="B3122">
            <v>95</v>
          </cell>
        </row>
        <row r="3122">
          <cell r="I3122">
            <v>6.3</v>
          </cell>
        </row>
        <row r="3123">
          <cell r="B3123">
            <v>111</v>
          </cell>
        </row>
        <row r="3123">
          <cell r="I3123">
            <v>7.3</v>
          </cell>
        </row>
        <row r="3124">
          <cell r="B3124">
            <v>86</v>
          </cell>
        </row>
        <row r="3124">
          <cell r="I3124">
            <v>5.8</v>
          </cell>
        </row>
        <row r="3125">
          <cell r="B3125">
            <v>103</v>
          </cell>
        </row>
        <row r="3125">
          <cell r="I3125">
            <v>7.1</v>
          </cell>
        </row>
        <row r="3126">
          <cell r="B3126">
            <v>111</v>
          </cell>
        </row>
        <row r="3126">
          <cell r="I3126">
            <v>7.1</v>
          </cell>
        </row>
        <row r="3127">
          <cell r="B3127">
            <v>112</v>
          </cell>
        </row>
        <row r="3127">
          <cell r="I3127">
            <v>6.7</v>
          </cell>
        </row>
        <row r="3128">
          <cell r="B3128">
            <v>141</v>
          </cell>
        </row>
        <row r="3128">
          <cell r="I3128">
            <v>6.9</v>
          </cell>
        </row>
        <row r="3129">
          <cell r="B3129">
            <v>95</v>
          </cell>
        </row>
        <row r="3129">
          <cell r="I3129">
            <v>2.1</v>
          </cell>
        </row>
        <row r="3130">
          <cell r="B3130">
            <v>85</v>
          </cell>
        </row>
        <row r="3130">
          <cell r="I3130">
            <v>6.6</v>
          </cell>
        </row>
        <row r="3131">
          <cell r="B3131">
            <v>129</v>
          </cell>
        </row>
        <row r="3131">
          <cell r="I3131">
            <v>8.3</v>
          </cell>
        </row>
        <row r="3132">
          <cell r="B3132">
            <v>125</v>
          </cell>
        </row>
        <row r="3132">
          <cell r="I3132">
            <v>7.2</v>
          </cell>
        </row>
        <row r="3133">
          <cell r="B3133">
            <v>116</v>
          </cell>
        </row>
        <row r="3133">
          <cell r="I3133">
            <v>5.6</v>
          </cell>
        </row>
        <row r="3134">
          <cell r="B3134">
            <v>105</v>
          </cell>
        </row>
        <row r="3134">
          <cell r="I3134">
            <v>7.7</v>
          </cell>
        </row>
        <row r="3135">
          <cell r="B3135">
            <v>90</v>
          </cell>
        </row>
        <row r="3135">
          <cell r="I3135">
            <v>6.6</v>
          </cell>
        </row>
        <row r="3136">
          <cell r="B3136">
            <v>111</v>
          </cell>
        </row>
        <row r="3136">
          <cell r="I3136">
            <v>7.4</v>
          </cell>
        </row>
        <row r="3137">
          <cell r="B3137">
            <v>91</v>
          </cell>
        </row>
        <row r="3137">
          <cell r="I3137">
            <v>7.1</v>
          </cell>
        </row>
        <row r="3138">
          <cell r="B3138">
            <v>97</v>
          </cell>
        </row>
        <row r="3138">
          <cell r="I3138">
            <v>7.9</v>
          </cell>
        </row>
        <row r="3139">
          <cell r="B3139">
            <v>92</v>
          </cell>
        </row>
        <row r="3139">
          <cell r="I3139">
            <v>6.7</v>
          </cell>
        </row>
        <row r="3140">
          <cell r="B3140">
            <v>104</v>
          </cell>
        </row>
        <row r="3140">
          <cell r="I3140">
            <v>6.6</v>
          </cell>
        </row>
        <row r="3141">
          <cell r="B3141">
            <v>120</v>
          </cell>
        </row>
        <row r="3141">
          <cell r="I3141">
            <v>7.9</v>
          </cell>
        </row>
        <row r="3142">
          <cell r="B3142">
            <v>99</v>
          </cell>
        </row>
        <row r="3142">
          <cell r="I3142">
            <v>4.9</v>
          </cell>
        </row>
        <row r="3143">
          <cell r="B3143">
            <v>93</v>
          </cell>
        </row>
        <row r="3143">
          <cell r="I3143">
            <v>7.2</v>
          </cell>
        </row>
        <row r="3144">
          <cell r="B3144">
            <v>99</v>
          </cell>
        </row>
        <row r="3144">
          <cell r="I3144">
            <v>6.1</v>
          </cell>
        </row>
        <row r="3145">
          <cell r="B3145">
            <v>96</v>
          </cell>
        </row>
        <row r="3145">
          <cell r="I3145">
            <v>5.3</v>
          </cell>
        </row>
        <row r="3146">
          <cell r="B3146">
            <v>96</v>
          </cell>
        </row>
        <row r="3146">
          <cell r="I3146">
            <v>5</v>
          </cell>
        </row>
        <row r="3147">
          <cell r="B3147">
            <v>100</v>
          </cell>
        </row>
        <row r="3147">
          <cell r="I3147">
            <v>7.6</v>
          </cell>
        </row>
        <row r="3148">
          <cell r="B3148">
            <v>98</v>
          </cell>
        </row>
        <row r="3148">
          <cell r="I3148">
            <v>7.6</v>
          </cell>
        </row>
        <row r="3149">
          <cell r="B3149">
            <v>106</v>
          </cell>
        </row>
        <row r="3149">
          <cell r="I3149">
            <v>6.6</v>
          </cell>
        </row>
        <row r="3150">
          <cell r="B3150">
            <v>95</v>
          </cell>
        </row>
        <row r="3150">
          <cell r="I3150">
            <v>6.6</v>
          </cell>
        </row>
        <row r="3151">
          <cell r="B3151">
            <v>104</v>
          </cell>
        </row>
        <row r="3151">
          <cell r="I3151">
            <v>7.3</v>
          </cell>
        </row>
        <row r="3152">
          <cell r="B3152">
            <v>87</v>
          </cell>
        </row>
        <row r="3152">
          <cell r="I3152">
            <v>6.6</v>
          </cell>
        </row>
        <row r="3153">
          <cell r="B3153">
            <v>81</v>
          </cell>
        </row>
        <row r="3153">
          <cell r="I3153">
            <v>6.9</v>
          </cell>
        </row>
        <row r="3154">
          <cell r="B3154">
            <v>94</v>
          </cell>
        </row>
        <row r="3154">
          <cell r="I3154">
            <v>5.8</v>
          </cell>
        </row>
        <row r="3155">
          <cell r="B3155">
            <v>89</v>
          </cell>
        </row>
        <row r="3155">
          <cell r="I3155">
            <v>4.4</v>
          </cell>
        </row>
        <row r="3156">
          <cell r="B3156">
            <v>88</v>
          </cell>
        </row>
        <row r="3156">
          <cell r="I3156">
            <v>6.6</v>
          </cell>
        </row>
        <row r="3157">
          <cell r="B3157">
            <v>115</v>
          </cell>
        </row>
        <row r="3157">
          <cell r="I3157">
            <v>7.6</v>
          </cell>
        </row>
        <row r="3158">
          <cell r="B3158">
            <v>96</v>
          </cell>
        </row>
        <row r="3158">
          <cell r="I3158">
            <v>4.6</v>
          </cell>
        </row>
        <row r="3159">
          <cell r="B3159">
            <v>135</v>
          </cell>
        </row>
        <row r="3159">
          <cell r="I3159">
            <v>6.8</v>
          </cell>
        </row>
        <row r="3160">
          <cell r="B3160">
            <v>93</v>
          </cell>
        </row>
        <row r="3160">
          <cell r="I3160">
            <v>4.9</v>
          </cell>
        </row>
        <row r="3161">
          <cell r="B3161">
            <v>109</v>
          </cell>
        </row>
        <row r="3161">
          <cell r="I3161">
            <v>7.3</v>
          </cell>
        </row>
        <row r="3162">
          <cell r="B3162">
            <v>101</v>
          </cell>
        </row>
        <row r="3162">
          <cell r="I3162">
            <v>5</v>
          </cell>
        </row>
        <row r="3163">
          <cell r="B3163">
            <v>117</v>
          </cell>
        </row>
        <row r="3163">
          <cell r="I3163">
            <v>8</v>
          </cell>
        </row>
        <row r="3164">
          <cell r="B3164">
            <v>83</v>
          </cell>
        </row>
        <row r="3164">
          <cell r="I3164">
            <v>5.2</v>
          </cell>
        </row>
        <row r="3165">
          <cell r="B3165">
            <v>113</v>
          </cell>
        </row>
        <row r="3165">
          <cell r="I3165">
            <v>8.5</v>
          </cell>
        </row>
        <row r="3166">
          <cell r="B3166">
            <v>104</v>
          </cell>
        </row>
        <row r="3166">
          <cell r="I3166">
            <v>6.5</v>
          </cell>
        </row>
        <row r="3167">
          <cell r="B3167">
            <v>97</v>
          </cell>
        </row>
        <row r="3167">
          <cell r="I3167">
            <v>7.4</v>
          </cell>
        </row>
        <row r="3168">
          <cell r="B3168">
            <v>110</v>
          </cell>
        </row>
        <row r="3168">
          <cell r="I3168">
            <v>7.7</v>
          </cell>
        </row>
        <row r="3169">
          <cell r="B3169">
            <v>103</v>
          </cell>
        </row>
        <row r="3169">
          <cell r="I3169">
            <v>7.4</v>
          </cell>
        </row>
        <row r="3170">
          <cell r="B3170">
            <v>94</v>
          </cell>
        </row>
        <row r="3170">
          <cell r="I3170">
            <v>5.1</v>
          </cell>
        </row>
        <row r="3171">
          <cell r="B3171">
            <v>77</v>
          </cell>
        </row>
        <row r="3171">
          <cell r="I3171">
            <v>5</v>
          </cell>
        </row>
        <row r="3172">
          <cell r="B3172">
            <v>134</v>
          </cell>
        </row>
        <row r="3172">
          <cell r="I3172">
            <v>7.2</v>
          </cell>
        </row>
        <row r="3173">
          <cell r="B3173">
            <v>90</v>
          </cell>
        </row>
        <row r="3173">
          <cell r="I3173">
            <v>6.4</v>
          </cell>
        </row>
        <row r="3174">
          <cell r="B3174">
            <v>104</v>
          </cell>
        </row>
        <row r="3174">
          <cell r="I3174">
            <v>5.6</v>
          </cell>
        </row>
        <row r="3175">
          <cell r="B3175">
            <v>93</v>
          </cell>
        </row>
        <row r="3175">
          <cell r="I3175">
            <v>6.1</v>
          </cell>
        </row>
        <row r="3176">
          <cell r="B3176">
            <v>106</v>
          </cell>
        </row>
        <row r="3176">
          <cell r="I3176">
            <v>5.2</v>
          </cell>
        </row>
        <row r="3177">
          <cell r="B3177">
            <v>109</v>
          </cell>
        </row>
        <row r="3177">
          <cell r="I3177">
            <v>7.3</v>
          </cell>
        </row>
        <row r="3178">
          <cell r="B3178">
            <v>101</v>
          </cell>
        </row>
        <row r="3178">
          <cell r="I3178">
            <v>7.5</v>
          </cell>
        </row>
        <row r="3179">
          <cell r="B3179">
            <v>100</v>
          </cell>
        </row>
        <row r="3179">
          <cell r="I3179">
            <v>4.5</v>
          </cell>
        </row>
        <row r="3180">
          <cell r="B3180">
            <v>95</v>
          </cell>
        </row>
        <row r="3180">
          <cell r="I3180">
            <v>6.6</v>
          </cell>
        </row>
        <row r="3181">
          <cell r="B3181">
            <v>94</v>
          </cell>
        </row>
        <row r="3181">
          <cell r="I3181">
            <v>5.3</v>
          </cell>
        </row>
        <row r="3182">
          <cell r="B3182">
            <v>93</v>
          </cell>
        </row>
        <row r="3182">
          <cell r="I3182">
            <v>4.9</v>
          </cell>
        </row>
        <row r="3183">
          <cell r="B3183">
            <v>106</v>
          </cell>
        </row>
        <row r="3183">
          <cell r="I3183">
            <v>7.7</v>
          </cell>
        </row>
        <row r="3184">
          <cell r="B3184">
            <v>99</v>
          </cell>
        </row>
        <row r="3184">
          <cell r="I3184">
            <v>8</v>
          </cell>
        </row>
        <row r="3185">
          <cell r="B3185">
            <v>82</v>
          </cell>
        </row>
        <row r="3185">
          <cell r="I3185">
            <v>3.8</v>
          </cell>
        </row>
        <row r="3186">
          <cell r="B3186">
            <v>135</v>
          </cell>
        </row>
        <row r="3186">
          <cell r="I3186">
            <v>7.6</v>
          </cell>
        </row>
        <row r="3187">
          <cell r="B3187">
            <v>88</v>
          </cell>
        </row>
        <row r="3187">
          <cell r="I3187">
            <v>5.9</v>
          </cell>
        </row>
        <row r="3188">
          <cell r="B3188">
            <v>89</v>
          </cell>
        </row>
        <row r="3188">
          <cell r="I3188">
            <v>6.2</v>
          </cell>
        </row>
        <row r="3189">
          <cell r="B3189">
            <v>110</v>
          </cell>
        </row>
        <row r="3189">
          <cell r="I3189">
            <v>7.2</v>
          </cell>
        </row>
        <row r="3190">
          <cell r="B3190">
            <v>107</v>
          </cell>
        </row>
        <row r="3190">
          <cell r="I3190">
            <v>6.3</v>
          </cell>
        </row>
        <row r="3191">
          <cell r="B3191">
            <v>86</v>
          </cell>
        </row>
        <row r="3191">
          <cell r="I3191">
            <v>5.2</v>
          </cell>
        </row>
        <row r="3192">
          <cell r="B3192">
            <v>91</v>
          </cell>
        </row>
        <row r="3192">
          <cell r="I3192">
            <v>6.9</v>
          </cell>
        </row>
        <row r="3193">
          <cell r="B3193">
            <v>103</v>
          </cell>
        </row>
        <row r="3193">
          <cell r="I3193">
            <v>6.8</v>
          </cell>
        </row>
        <row r="3194">
          <cell r="B3194">
            <v>92</v>
          </cell>
        </row>
        <row r="3194">
          <cell r="I3194">
            <v>3.5</v>
          </cell>
        </row>
        <row r="3195">
          <cell r="B3195">
            <v>99</v>
          </cell>
        </row>
        <row r="3195">
          <cell r="I3195">
            <v>6.1</v>
          </cell>
        </row>
        <row r="3196">
          <cell r="B3196">
            <v>96</v>
          </cell>
        </row>
        <row r="3196">
          <cell r="I3196">
            <v>4.5</v>
          </cell>
        </row>
        <row r="3197">
          <cell r="B3197">
            <v>82</v>
          </cell>
        </row>
        <row r="3197">
          <cell r="I3197">
            <v>5.9</v>
          </cell>
        </row>
        <row r="3198">
          <cell r="B3198">
            <v>92</v>
          </cell>
        </row>
        <row r="3198">
          <cell r="I3198">
            <v>6.9</v>
          </cell>
        </row>
        <row r="3199">
          <cell r="B3199">
            <v>112</v>
          </cell>
        </row>
        <row r="3199">
          <cell r="I3199">
            <v>7.7</v>
          </cell>
        </row>
        <row r="3200">
          <cell r="B3200">
            <v>90</v>
          </cell>
        </row>
        <row r="3200">
          <cell r="I3200">
            <v>5.3</v>
          </cell>
        </row>
        <row r="3201">
          <cell r="B3201">
            <v>150</v>
          </cell>
        </row>
        <row r="3201">
          <cell r="I3201">
            <v>7</v>
          </cell>
        </row>
        <row r="3202">
          <cell r="B3202">
            <v>91</v>
          </cell>
        </row>
        <row r="3202">
          <cell r="I3202">
            <v>6.6</v>
          </cell>
        </row>
        <row r="3203">
          <cell r="B3203">
            <v>95</v>
          </cell>
        </row>
        <row r="3203">
          <cell r="I3203">
            <v>6.4</v>
          </cell>
        </row>
        <row r="3204">
          <cell r="B3204">
            <v>97</v>
          </cell>
        </row>
        <row r="3204">
          <cell r="I3204">
            <v>7.9</v>
          </cell>
        </row>
        <row r="3205">
          <cell r="B3205">
            <v>41</v>
          </cell>
        </row>
        <row r="3205">
          <cell r="I3205">
            <v>6.9</v>
          </cell>
        </row>
        <row r="3206">
          <cell r="B3206">
            <v>112</v>
          </cell>
        </row>
        <row r="3206">
          <cell r="I3206">
            <v>7.7</v>
          </cell>
        </row>
        <row r="3207">
          <cell r="B3207">
            <v>122</v>
          </cell>
        </row>
        <row r="3207">
          <cell r="I3207">
            <v>7.2</v>
          </cell>
        </row>
        <row r="3208">
          <cell r="B3208">
            <v>110</v>
          </cell>
        </row>
        <row r="3208">
          <cell r="I3208">
            <v>6.8</v>
          </cell>
        </row>
        <row r="3209">
          <cell r="B3209">
            <v>108</v>
          </cell>
        </row>
        <row r="3209">
          <cell r="I3209">
            <v>7.4</v>
          </cell>
        </row>
        <row r="3210">
          <cell r="B3210">
            <v>121</v>
          </cell>
        </row>
        <row r="3210">
          <cell r="I3210">
            <v>4.6</v>
          </cell>
        </row>
        <row r="3211">
          <cell r="B3211">
            <v>97</v>
          </cell>
        </row>
        <row r="3211">
          <cell r="I3211">
            <v>6.4</v>
          </cell>
        </row>
        <row r="3212">
          <cell r="B3212">
            <v>116</v>
          </cell>
        </row>
        <row r="3212">
          <cell r="I3212">
            <v>7</v>
          </cell>
        </row>
        <row r="3213">
          <cell r="B3213">
            <v>94</v>
          </cell>
        </row>
        <row r="3213">
          <cell r="I3213">
            <v>7.7</v>
          </cell>
        </row>
        <row r="3214">
          <cell r="B3214">
            <v>103</v>
          </cell>
        </row>
        <row r="3214">
          <cell r="I3214">
            <v>6.8</v>
          </cell>
        </row>
        <row r="3215">
          <cell r="B3215">
            <v>112</v>
          </cell>
        </row>
        <row r="3215">
          <cell r="I3215">
            <v>7</v>
          </cell>
        </row>
        <row r="3216">
          <cell r="B3216">
            <v>91</v>
          </cell>
        </row>
        <row r="3216">
          <cell r="I3216">
            <v>7</v>
          </cell>
        </row>
        <row r="3217">
          <cell r="B3217">
            <v>98</v>
          </cell>
        </row>
        <row r="3217">
          <cell r="I3217">
            <v>6.3</v>
          </cell>
        </row>
        <row r="3218">
          <cell r="B3218">
            <v>95</v>
          </cell>
        </row>
        <row r="3218">
          <cell r="I3218">
            <v>7.1</v>
          </cell>
        </row>
        <row r="3219">
          <cell r="B3219">
            <v>99</v>
          </cell>
        </row>
        <row r="3219">
          <cell r="I3219">
            <v>4.4</v>
          </cell>
        </row>
        <row r="3220">
          <cell r="B3220">
            <v>91</v>
          </cell>
        </row>
        <row r="3220">
          <cell r="I3220">
            <v>7.1</v>
          </cell>
        </row>
        <row r="3221">
          <cell r="B3221">
            <v>97</v>
          </cell>
        </row>
        <row r="3221">
          <cell r="I3221">
            <v>6.1</v>
          </cell>
        </row>
        <row r="3222">
          <cell r="B3222">
            <v>90</v>
          </cell>
        </row>
        <row r="3222">
          <cell r="I3222">
            <v>7.3</v>
          </cell>
        </row>
        <row r="3223">
          <cell r="B3223">
            <v>90</v>
          </cell>
        </row>
        <row r="3223">
          <cell r="I3223">
            <v>6.2</v>
          </cell>
        </row>
        <row r="3224">
          <cell r="B3224">
            <v>94</v>
          </cell>
        </row>
        <row r="3224">
          <cell r="I3224">
            <v>6.2</v>
          </cell>
        </row>
        <row r="3225">
          <cell r="B3225">
            <v>90</v>
          </cell>
        </row>
        <row r="3225">
          <cell r="I3225">
            <v>6.2</v>
          </cell>
        </row>
        <row r="3226">
          <cell r="B3226">
            <v>103</v>
          </cell>
        </row>
        <row r="3226">
          <cell r="I3226">
            <v>3.3</v>
          </cell>
        </row>
        <row r="3227">
          <cell r="B3227">
            <v>105</v>
          </cell>
        </row>
        <row r="3227">
          <cell r="I3227">
            <v>7.5</v>
          </cell>
        </row>
        <row r="3228">
          <cell r="B3228">
            <v>113</v>
          </cell>
        </row>
        <row r="3228">
          <cell r="I3228">
            <v>7.4</v>
          </cell>
        </row>
        <row r="3229">
          <cell r="B3229">
            <v>99</v>
          </cell>
        </row>
        <row r="3229">
          <cell r="I3229">
            <v>7.3</v>
          </cell>
        </row>
        <row r="3230">
          <cell r="B3230">
            <v>148</v>
          </cell>
        </row>
        <row r="3230">
          <cell r="I3230">
            <v>8</v>
          </cell>
        </row>
        <row r="3231">
          <cell r="B3231">
            <v>93</v>
          </cell>
        </row>
        <row r="3231">
          <cell r="I3231">
            <v>5.9</v>
          </cell>
        </row>
        <row r="3232">
          <cell r="B3232">
            <v>94</v>
          </cell>
        </row>
        <row r="3232">
          <cell r="I3232">
            <v>6.8</v>
          </cell>
        </row>
        <row r="3233">
          <cell r="B3233">
            <v>121</v>
          </cell>
        </row>
        <row r="3233">
          <cell r="I3233">
            <v>7.4</v>
          </cell>
        </row>
        <row r="3234">
          <cell r="B3234">
            <v>118</v>
          </cell>
        </row>
        <row r="3234">
          <cell r="I3234">
            <v>6.7</v>
          </cell>
        </row>
        <row r="3235">
          <cell r="B3235">
            <v>101</v>
          </cell>
        </row>
        <row r="3235">
          <cell r="I3235">
            <v>5.5</v>
          </cell>
        </row>
        <row r="3236">
          <cell r="B3236">
            <v>90</v>
          </cell>
        </row>
        <row r="3236">
          <cell r="I3236">
            <v>5.7</v>
          </cell>
        </row>
        <row r="3237">
          <cell r="B3237">
            <v>100</v>
          </cell>
        </row>
        <row r="3237">
          <cell r="I3237">
            <v>7.2</v>
          </cell>
        </row>
        <row r="3238">
          <cell r="B3238">
            <v>97</v>
          </cell>
        </row>
        <row r="3238">
          <cell r="I3238">
            <v>5.9</v>
          </cell>
        </row>
        <row r="3239">
          <cell r="B3239">
            <v>96</v>
          </cell>
        </row>
        <row r="3239">
          <cell r="I3239">
            <v>6.7</v>
          </cell>
        </row>
        <row r="3240">
          <cell r="B3240">
            <v>117</v>
          </cell>
        </row>
        <row r="3240">
          <cell r="I3240">
            <v>7.1</v>
          </cell>
        </row>
        <row r="3241">
          <cell r="B3241">
            <v>108</v>
          </cell>
        </row>
        <row r="3241">
          <cell r="I3241">
            <v>7.7</v>
          </cell>
        </row>
        <row r="3242">
          <cell r="B3242">
            <v>109</v>
          </cell>
        </row>
        <row r="3242">
          <cell r="I3242">
            <v>7.4</v>
          </cell>
        </row>
        <row r="3243">
          <cell r="B3243">
            <v>102</v>
          </cell>
        </row>
        <row r="3243">
          <cell r="I3243">
            <v>8.4</v>
          </cell>
        </row>
        <row r="3244">
          <cell r="B3244">
            <v>115</v>
          </cell>
        </row>
        <row r="3244">
          <cell r="I3244">
            <v>7.2</v>
          </cell>
        </row>
        <row r="3245">
          <cell r="B3245">
            <v>98</v>
          </cell>
        </row>
        <row r="3245">
          <cell r="I3245">
            <v>5.4</v>
          </cell>
        </row>
        <row r="3246">
          <cell r="B3246">
            <v>133</v>
          </cell>
        </row>
        <row r="3246">
          <cell r="I3246">
            <v>8.1</v>
          </cell>
        </row>
        <row r="3247">
          <cell r="B3247">
            <v>122</v>
          </cell>
        </row>
        <row r="3247">
          <cell r="I3247">
            <v>7.8</v>
          </cell>
        </row>
        <row r="3248">
          <cell r="B3248">
            <v>106</v>
          </cell>
        </row>
        <row r="3248">
          <cell r="I3248">
            <v>6.8</v>
          </cell>
        </row>
        <row r="3249">
          <cell r="B3249">
            <v>112</v>
          </cell>
        </row>
        <row r="3249">
          <cell r="I3249">
            <v>7.7</v>
          </cell>
        </row>
        <row r="3250">
          <cell r="B3250">
            <v>99</v>
          </cell>
        </row>
        <row r="3250">
          <cell r="I3250">
            <v>6.5</v>
          </cell>
        </row>
        <row r="3251">
          <cell r="B3251">
            <v>110</v>
          </cell>
        </row>
        <row r="3251">
          <cell r="I3251">
            <v>7.3</v>
          </cell>
        </row>
        <row r="3252">
          <cell r="B3252">
            <v>104</v>
          </cell>
        </row>
        <row r="3252">
          <cell r="I3252">
            <v>5.9</v>
          </cell>
        </row>
        <row r="3253">
          <cell r="B3253">
            <v>133</v>
          </cell>
        </row>
        <row r="3253">
          <cell r="I3253">
            <v>8.7</v>
          </cell>
        </row>
        <row r="3254">
          <cell r="B3254">
            <v>103</v>
          </cell>
        </row>
        <row r="3254">
          <cell r="I3254">
            <v>5.8</v>
          </cell>
        </row>
        <row r="3255">
          <cell r="B3255">
            <v>112</v>
          </cell>
        </row>
        <row r="3255">
          <cell r="I3255">
            <v>6.1</v>
          </cell>
        </row>
        <row r="3256">
          <cell r="B3256">
            <v>101</v>
          </cell>
        </row>
        <row r="3256">
          <cell r="I3256">
            <v>7.6</v>
          </cell>
        </row>
        <row r="3257">
          <cell r="B3257">
            <v>133</v>
          </cell>
        </row>
        <row r="3257">
          <cell r="I3257">
            <v>7.2</v>
          </cell>
        </row>
        <row r="3258">
          <cell r="B3258">
            <v>104</v>
          </cell>
        </row>
        <row r="3258">
          <cell r="I3258">
            <v>6.5</v>
          </cell>
        </row>
        <row r="3259">
          <cell r="B3259">
            <v>112</v>
          </cell>
        </row>
        <row r="3259">
          <cell r="I3259">
            <v>7.3</v>
          </cell>
        </row>
        <row r="3260">
          <cell r="B3260">
            <v>94</v>
          </cell>
        </row>
        <row r="3260">
          <cell r="I3260">
            <v>6.2</v>
          </cell>
        </row>
        <row r="3261">
          <cell r="B3261">
            <v>90</v>
          </cell>
        </row>
        <row r="3261">
          <cell r="I3261">
            <v>5</v>
          </cell>
        </row>
        <row r="3262">
          <cell r="B3262">
            <v>101</v>
          </cell>
        </row>
        <row r="3262">
          <cell r="I3262">
            <v>7.8</v>
          </cell>
        </row>
        <row r="3263">
          <cell r="B3263">
            <v>93</v>
          </cell>
        </row>
        <row r="3263">
          <cell r="I3263">
            <v>8.1</v>
          </cell>
        </row>
        <row r="3264">
          <cell r="B3264">
            <v>152</v>
          </cell>
        </row>
        <row r="3264">
          <cell r="I3264">
            <v>6.7</v>
          </cell>
        </row>
        <row r="3265">
          <cell r="B3265">
            <v>112</v>
          </cell>
        </row>
        <row r="3265">
          <cell r="I3265">
            <v>7.1</v>
          </cell>
        </row>
        <row r="3266">
          <cell r="B3266">
            <v>95</v>
          </cell>
        </row>
        <row r="3266">
          <cell r="I3266">
            <v>5.6</v>
          </cell>
        </row>
        <row r="3267">
          <cell r="B3267">
            <v>111</v>
          </cell>
        </row>
        <row r="3267">
          <cell r="I3267">
            <v>7.6</v>
          </cell>
        </row>
        <row r="3268">
          <cell r="B3268">
            <v>91</v>
          </cell>
        </row>
        <row r="3268">
          <cell r="I3268">
            <v>4.6</v>
          </cell>
        </row>
        <row r="3269">
          <cell r="B3269">
            <v>106</v>
          </cell>
        </row>
        <row r="3269">
          <cell r="I3269">
            <v>7.1</v>
          </cell>
        </row>
        <row r="3270">
          <cell r="B3270">
            <v>93</v>
          </cell>
        </row>
        <row r="3270">
          <cell r="I3270">
            <v>7.3</v>
          </cell>
        </row>
        <row r="3271">
          <cell r="B3271">
            <v>93</v>
          </cell>
        </row>
        <row r="3271">
          <cell r="I3271">
            <v>4</v>
          </cell>
        </row>
        <row r="3272">
          <cell r="B3272">
            <v>165</v>
          </cell>
        </row>
        <row r="3272">
          <cell r="I3272">
            <v>8</v>
          </cell>
        </row>
        <row r="3273">
          <cell r="B3273">
            <v>96</v>
          </cell>
        </row>
        <row r="3273">
          <cell r="I3273">
            <v>6.7</v>
          </cell>
        </row>
        <row r="3274">
          <cell r="B3274">
            <v>93</v>
          </cell>
        </row>
        <row r="3274">
          <cell r="I3274">
            <v>4.6</v>
          </cell>
        </row>
        <row r="3275">
          <cell r="B3275">
            <v>82</v>
          </cell>
        </row>
        <row r="3275">
          <cell r="I3275">
            <v>4</v>
          </cell>
        </row>
        <row r="3276">
          <cell r="B3276">
            <v>101</v>
          </cell>
        </row>
        <row r="3276">
          <cell r="I3276">
            <v>7</v>
          </cell>
        </row>
        <row r="3277">
          <cell r="B3277">
            <v>81</v>
          </cell>
        </row>
        <row r="3277">
          <cell r="I3277">
            <v>5.9</v>
          </cell>
        </row>
        <row r="3278">
          <cell r="B3278">
            <v>105</v>
          </cell>
        </row>
        <row r="3278">
          <cell r="I3278">
            <v>7.5</v>
          </cell>
        </row>
        <row r="3279">
          <cell r="B3279">
            <v>86</v>
          </cell>
        </row>
        <row r="3279">
          <cell r="I3279">
            <v>4.7</v>
          </cell>
        </row>
        <row r="3280">
          <cell r="B3280">
            <v>110</v>
          </cell>
        </row>
        <row r="3280">
          <cell r="I3280">
            <v>6.7</v>
          </cell>
        </row>
        <row r="3281">
          <cell r="B3281">
            <v>110</v>
          </cell>
        </row>
        <row r="3281">
          <cell r="I3281">
            <v>6.7</v>
          </cell>
        </row>
        <row r="3282">
          <cell r="B3282">
            <v>104</v>
          </cell>
        </row>
        <row r="3282">
          <cell r="I3282">
            <v>7.1</v>
          </cell>
        </row>
        <row r="3283">
          <cell r="B3283">
            <v>96</v>
          </cell>
        </row>
        <row r="3283">
          <cell r="I3283">
            <v>2.7</v>
          </cell>
        </row>
        <row r="3284">
          <cell r="B3284">
            <v>110</v>
          </cell>
        </row>
        <row r="3284">
          <cell r="I3284">
            <v>7.3</v>
          </cell>
        </row>
        <row r="3285">
          <cell r="B3285">
            <v>84</v>
          </cell>
        </row>
        <row r="3285">
          <cell r="I3285">
            <v>7.6</v>
          </cell>
        </row>
        <row r="3286">
          <cell r="B3286">
            <v>94</v>
          </cell>
        </row>
        <row r="3286">
          <cell r="I3286">
            <v>5.8</v>
          </cell>
        </row>
        <row r="3287">
          <cell r="B3287">
            <v>93</v>
          </cell>
        </row>
        <row r="3287">
          <cell r="I3287">
            <v>6.5</v>
          </cell>
        </row>
        <row r="3288">
          <cell r="B3288">
            <v>96</v>
          </cell>
        </row>
        <row r="3288">
          <cell r="I3288">
            <v>6.6</v>
          </cell>
        </row>
        <row r="3289">
          <cell r="B3289">
            <v>101</v>
          </cell>
        </row>
        <row r="3289">
          <cell r="I3289">
            <v>6.9</v>
          </cell>
        </row>
        <row r="3290">
          <cell r="B3290">
            <v>102</v>
          </cell>
        </row>
        <row r="3290">
          <cell r="I3290">
            <v>8.5</v>
          </cell>
        </row>
        <row r="3291">
          <cell r="B3291">
            <v>87</v>
          </cell>
        </row>
        <row r="3291">
          <cell r="I3291">
            <v>4.8</v>
          </cell>
        </row>
        <row r="3292">
          <cell r="B3292">
            <v>99</v>
          </cell>
        </row>
        <row r="3292">
          <cell r="I3292">
            <v>7</v>
          </cell>
        </row>
        <row r="3293">
          <cell r="B3293">
            <v>106</v>
          </cell>
        </row>
        <row r="3293">
          <cell r="I3293">
            <v>5.4</v>
          </cell>
        </row>
        <row r="3294">
          <cell r="B3294">
            <v>117</v>
          </cell>
        </row>
        <row r="3294">
          <cell r="I3294">
            <v>6.9</v>
          </cell>
        </row>
        <row r="3295">
          <cell r="B3295">
            <v>99</v>
          </cell>
        </row>
        <row r="3295">
          <cell r="I3295">
            <v>6.6</v>
          </cell>
        </row>
        <row r="3296">
          <cell r="B3296">
            <v>102</v>
          </cell>
        </row>
        <row r="3296">
          <cell r="I3296">
            <v>5.9</v>
          </cell>
        </row>
        <row r="3297">
          <cell r="B3297">
            <v>85</v>
          </cell>
        </row>
        <row r="3297">
          <cell r="I3297">
            <v>6.3</v>
          </cell>
        </row>
        <row r="3298">
          <cell r="B3298">
            <v>86</v>
          </cell>
        </row>
        <row r="3298">
          <cell r="I3298">
            <v>6.3</v>
          </cell>
        </row>
        <row r="3299">
          <cell r="B3299">
            <v>120</v>
          </cell>
        </row>
        <row r="3299">
          <cell r="I3299">
            <v>7.7</v>
          </cell>
        </row>
        <row r="3300">
          <cell r="B3300">
            <v>106</v>
          </cell>
        </row>
        <row r="3300">
          <cell r="I3300">
            <v>7</v>
          </cell>
        </row>
        <row r="3301">
          <cell r="B3301">
            <v>103</v>
          </cell>
        </row>
        <row r="3301">
          <cell r="I3301">
            <v>6.3</v>
          </cell>
        </row>
        <row r="3302">
          <cell r="B3302">
            <v>93</v>
          </cell>
        </row>
        <row r="3302">
          <cell r="I3302">
            <v>5.9</v>
          </cell>
        </row>
        <row r="3303">
          <cell r="B3303">
            <v>112</v>
          </cell>
        </row>
        <row r="3303">
          <cell r="I3303">
            <v>6.2</v>
          </cell>
        </row>
        <row r="3304">
          <cell r="B3304">
            <v>113</v>
          </cell>
        </row>
        <row r="3304">
          <cell r="I3304">
            <v>7.7</v>
          </cell>
        </row>
        <row r="3305">
          <cell r="B3305">
            <v>98</v>
          </cell>
        </row>
        <row r="3305">
          <cell r="I3305">
            <v>6.5</v>
          </cell>
        </row>
        <row r="3306">
          <cell r="B3306">
            <v>92</v>
          </cell>
        </row>
        <row r="3306">
          <cell r="I3306">
            <v>5.8</v>
          </cell>
        </row>
        <row r="3307">
          <cell r="B3307">
            <v>106</v>
          </cell>
        </row>
        <row r="3307">
          <cell r="I3307">
            <v>6.1</v>
          </cell>
        </row>
        <row r="3308">
          <cell r="B3308">
            <v>93</v>
          </cell>
        </row>
        <row r="3308">
          <cell r="I3308">
            <v>5.2</v>
          </cell>
        </row>
        <row r="3309">
          <cell r="B3309">
            <v>226</v>
          </cell>
        </row>
        <row r="3309">
          <cell r="I3309">
            <v>8.2</v>
          </cell>
        </row>
        <row r="3310">
          <cell r="B3310">
            <v>104</v>
          </cell>
        </row>
        <row r="3310">
          <cell r="I3310">
            <v>6</v>
          </cell>
        </row>
        <row r="3311">
          <cell r="B3311">
            <v>152</v>
          </cell>
        </row>
        <row r="3311">
          <cell r="I3311">
            <v>6.8</v>
          </cell>
        </row>
        <row r="3312">
          <cell r="B3312">
            <v>107</v>
          </cell>
        </row>
        <row r="3312">
          <cell r="I3312">
            <v>7</v>
          </cell>
        </row>
        <row r="3313">
          <cell r="B3313">
            <v>95</v>
          </cell>
        </row>
        <row r="3313">
          <cell r="I3313">
            <v>6.8</v>
          </cell>
        </row>
        <row r="3314">
          <cell r="B3314">
            <v>102</v>
          </cell>
        </row>
        <row r="3314">
          <cell r="I3314">
            <v>7.1</v>
          </cell>
        </row>
        <row r="3315">
          <cell r="B3315">
            <v>99</v>
          </cell>
        </row>
        <row r="3315">
          <cell r="I3315">
            <v>6.9</v>
          </cell>
        </row>
        <row r="3316">
          <cell r="B3316">
            <v>109</v>
          </cell>
        </row>
        <row r="3316">
          <cell r="I3316">
            <v>6.9</v>
          </cell>
        </row>
        <row r="3317">
          <cell r="B3317">
            <v>91</v>
          </cell>
        </row>
        <row r="3317">
          <cell r="I3317">
            <v>7.2</v>
          </cell>
        </row>
        <row r="3318">
          <cell r="B3318">
            <v>88</v>
          </cell>
        </row>
        <row r="3318">
          <cell r="I3318">
            <v>7.8</v>
          </cell>
        </row>
        <row r="3319">
          <cell r="B3319">
            <v>97</v>
          </cell>
        </row>
        <row r="3319">
          <cell r="I3319">
            <v>7.3</v>
          </cell>
        </row>
        <row r="3320">
          <cell r="B3320">
            <v>97</v>
          </cell>
        </row>
        <row r="3320">
          <cell r="I3320">
            <v>7.5</v>
          </cell>
        </row>
        <row r="3321">
          <cell r="B3321">
            <v>85</v>
          </cell>
        </row>
        <row r="3321">
          <cell r="I3321">
            <v>6</v>
          </cell>
        </row>
        <row r="3322">
          <cell r="B3322">
            <v>92</v>
          </cell>
        </row>
        <row r="3322">
          <cell r="I3322">
            <v>6.8</v>
          </cell>
        </row>
        <row r="3323">
          <cell r="B3323">
            <v>93</v>
          </cell>
        </row>
        <row r="3323">
          <cell r="I3323">
            <v>3.9</v>
          </cell>
        </row>
        <row r="3324">
          <cell r="B3324">
            <v>96</v>
          </cell>
        </row>
        <row r="3324">
          <cell r="I3324">
            <v>6.1</v>
          </cell>
        </row>
        <row r="3325">
          <cell r="B3325">
            <v>105</v>
          </cell>
        </row>
        <row r="3325">
          <cell r="I3325">
            <v>7.5</v>
          </cell>
        </row>
        <row r="3326">
          <cell r="B3326">
            <v>129</v>
          </cell>
        </row>
        <row r="3326">
          <cell r="I3326">
            <v>8.2</v>
          </cell>
        </row>
        <row r="3327">
          <cell r="B3327">
            <v>37</v>
          </cell>
        </row>
        <row r="3327">
          <cell r="I3327">
            <v>7.8</v>
          </cell>
        </row>
        <row r="3328">
          <cell r="B3328">
            <v>81</v>
          </cell>
        </row>
        <row r="3328">
          <cell r="I3328">
            <v>5.2</v>
          </cell>
        </row>
        <row r="3329">
          <cell r="B3329">
            <v>106</v>
          </cell>
        </row>
        <row r="3329">
          <cell r="I3329">
            <v>6.8</v>
          </cell>
        </row>
        <row r="3330">
          <cell r="B3330">
            <v>103</v>
          </cell>
        </row>
        <row r="3330">
          <cell r="I3330">
            <v>7</v>
          </cell>
        </row>
        <row r="3331">
          <cell r="B3331">
            <v>101</v>
          </cell>
        </row>
        <row r="3331">
          <cell r="I3331">
            <v>6.5</v>
          </cell>
        </row>
        <row r="3332">
          <cell r="B3332">
            <v>98</v>
          </cell>
        </row>
        <row r="3332">
          <cell r="I3332">
            <v>6.4</v>
          </cell>
        </row>
        <row r="3333">
          <cell r="B3333">
            <v>91</v>
          </cell>
        </row>
        <row r="3333">
          <cell r="I3333">
            <v>5.3</v>
          </cell>
        </row>
        <row r="3334">
          <cell r="B3334">
            <v>105</v>
          </cell>
        </row>
        <row r="3334">
          <cell r="I3334">
            <v>4.7</v>
          </cell>
        </row>
        <row r="3335">
          <cell r="B3335">
            <v>100</v>
          </cell>
        </row>
        <row r="3335">
          <cell r="I3335">
            <v>7</v>
          </cell>
        </row>
        <row r="3336">
          <cell r="B3336">
            <v>80</v>
          </cell>
        </row>
        <row r="3336">
          <cell r="I3336">
            <v>7.6</v>
          </cell>
        </row>
        <row r="3337">
          <cell r="B3337">
            <v>107</v>
          </cell>
        </row>
        <row r="3337">
          <cell r="I3337">
            <v>7.1</v>
          </cell>
        </row>
        <row r="3338">
          <cell r="B3338">
            <v>92</v>
          </cell>
        </row>
        <row r="3338">
          <cell r="I3338">
            <v>6.5</v>
          </cell>
        </row>
        <row r="3339">
          <cell r="B3339">
            <v>107</v>
          </cell>
        </row>
        <row r="3339">
          <cell r="I3339">
            <v>8.5</v>
          </cell>
        </row>
        <row r="3340">
          <cell r="B3340">
            <v>135</v>
          </cell>
        </row>
        <row r="3340">
          <cell r="I3340">
            <v>8.7</v>
          </cell>
        </row>
        <row r="3341">
          <cell r="B3341">
            <v>99</v>
          </cell>
        </row>
        <row r="3341">
          <cell r="I3341">
            <v>7.1</v>
          </cell>
        </row>
        <row r="3342">
          <cell r="B3342">
            <v>115</v>
          </cell>
        </row>
        <row r="3342">
          <cell r="I3342">
            <v>8.3</v>
          </cell>
        </row>
        <row r="3343">
          <cell r="B3343">
            <v>91</v>
          </cell>
        </row>
        <row r="3343">
          <cell r="I3343">
            <v>7.4</v>
          </cell>
        </row>
        <row r="3344">
          <cell r="B3344">
            <v>92</v>
          </cell>
        </row>
        <row r="3344">
          <cell r="I3344">
            <v>6.4</v>
          </cell>
        </row>
        <row r="3345">
          <cell r="B3345">
            <v>101</v>
          </cell>
        </row>
        <row r="3345">
          <cell r="I3345">
            <v>7.5</v>
          </cell>
        </row>
        <row r="3346">
          <cell r="B3346">
            <v>105</v>
          </cell>
        </row>
        <row r="3346">
          <cell r="I3346">
            <v>7.2</v>
          </cell>
        </row>
        <row r="3347">
          <cell r="B3347">
            <v>109</v>
          </cell>
        </row>
        <row r="3347">
          <cell r="I3347">
            <v>7.6</v>
          </cell>
        </row>
        <row r="3348">
          <cell r="B3348">
            <v>110</v>
          </cell>
        </row>
        <row r="3348">
          <cell r="I3348">
            <v>7.8</v>
          </cell>
        </row>
        <row r="3349">
          <cell r="B3349">
            <v>94</v>
          </cell>
        </row>
        <row r="3349">
          <cell r="I3349">
            <v>8.2</v>
          </cell>
        </row>
        <row r="3350">
          <cell r="B3350">
            <v>115</v>
          </cell>
        </row>
        <row r="3350">
          <cell r="I3350">
            <v>6.6</v>
          </cell>
        </row>
        <row r="3351">
          <cell r="B3351">
            <v>98</v>
          </cell>
        </row>
        <row r="3351">
          <cell r="I3351">
            <v>5.7</v>
          </cell>
        </row>
        <row r="3352">
          <cell r="B3352">
            <v>91</v>
          </cell>
        </row>
        <row r="3352">
          <cell r="I3352">
            <v>7.4</v>
          </cell>
        </row>
        <row r="3353">
          <cell r="B3353">
            <v>120</v>
          </cell>
        </row>
        <row r="3353">
          <cell r="I3353">
            <v>8</v>
          </cell>
        </row>
        <row r="3354">
          <cell r="B3354">
            <v>87</v>
          </cell>
        </row>
        <row r="3354">
          <cell r="I3354">
            <v>5.4</v>
          </cell>
        </row>
        <row r="3355">
          <cell r="B3355">
            <v>117</v>
          </cell>
        </row>
        <row r="3355">
          <cell r="I3355">
            <v>7.4</v>
          </cell>
        </row>
        <row r="3356">
          <cell r="B3356">
            <v>85</v>
          </cell>
        </row>
        <row r="3356">
          <cell r="I3356">
            <v>5.7</v>
          </cell>
        </row>
        <row r="3357">
          <cell r="B3357">
            <v>110</v>
          </cell>
        </row>
        <row r="3357">
          <cell r="I3357">
            <v>6.8</v>
          </cell>
        </row>
        <row r="3358">
          <cell r="B3358">
            <v>113</v>
          </cell>
        </row>
        <row r="3358">
          <cell r="I3358">
            <v>5.4</v>
          </cell>
        </row>
        <row r="3359">
          <cell r="B3359">
            <v>98</v>
          </cell>
        </row>
        <row r="3359">
          <cell r="I3359">
            <v>5.1</v>
          </cell>
        </row>
        <row r="3360">
          <cell r="B3360">
            <v>86</v>
          </cell>
        </row>
        <row r="3360">
          <cell r="I3360">
            <v>5.9</v>
          </cell>
        </row>
        <row r="3361">
          <cell r="B3361">
            <v>161</v>
          </cell>
        </row>
        <row r="3361">
          <cell r="I3361">
            <v>8.2</v>
          </cell>
        </row>
        <row r="3362">
          <cell r="B3362">
            <v>100</v>
          </cell>
        </row>
        <row r="3362">
          <cell r="I3362">
            <v>5.3</v>
          </cell>
        </row>
        <row r="3363">
          <cell r="B3363">
            <v>91</v>
          </cell>
        </row>
        <row r="3363">
          <cell r="I3363">
            <v>4.3</v>
          </cell>
        </row>
        <row r="3364">
          <cell r="B3364">
            <v>100</v>
          </cell>
        </row>
        <row r="3364">
          <cell r="I3364">
            <v>7.2</v>
          </cell>
        </row>
        <row r="3365">
          <cell r="B3365">
            <v>84</v>
          </cell>
        </row>
        <row r="3365">
          <cell r="I3365">
            <v>5.9</v>
          </cell>
        </row>
        <row r="3366">
          <cell r="B3366">
            <v>99</v>
          </cell>
        </row>
        <row r="3366">
          <cell r="I3366">
            <v>3</v>
          </cell>
        </row>
        <row r="3367">
          <cell r="B3367">
            <v>109</v>
          </cell>
        </row>
        <row r="3367">
          <cell r="I3367">
            <v>7.9</v>
          </cell>
        </row>
        <row r="3368">
          <cell r="B3368">
            <v>95</v>
          </cell>
        </row>
        <row r="3368">
          <cell r="I3368">
            <v>3.2</v>
          </cell>
        </row>
        <row r="3369">
          <cell r="B3369">
            <v>97</v>
          </cell>
        </row>
        <row r="3369">
          <cell r="I3369">
            <v>6.5</v>
          </cell>
        </row>
        <row r="3370">
          <cell r="B3370">
            <v>90</v>
          </cell>
        </row>
        <row r="3370">
          <cell r="I3370">
            <v>7</v>
          </cell>
        </row>
        <row r="3371">
          <cell r="B3371">
            <v>96</v>
          </cell>
        </row>
        <row r="3371">
          <cell r="I3371">
            <v>6.9</v>
          </cell>
        </row>
        <row r="3372">
          <cell r="B3372">
            <v>82</v>
          </cell>
        </row>
        <row r="3372">
          <cell r="I3372">
            <v>4.4</v>
          </cell>
        </row>
        <row r="3373">
          <cell r="B3373">
            <v>109</v>
          </cell>
        </row>
        <row r="3373">
          <cell r="I3373">
            <v>6</v>
          </cell>
        </row>
        <row r="3374">
          <cell r="B3374">
            <v>98</v>
          </cell>
        </row>
        <row r="3374">
          <cell r="I3374">
            <v>5.3</v>
          </cell>
        </row>
        <row r="3375">
          <cell r="B3375">
            <v>95</v>
          </cell>
        </row>
        <row r="3375">
          <cell r="I3375">
            <v>5.3</v>
          </cell>
        </row>
        <row r="3376">
          <cell r="B3376">
            <v>104</v>
          </cell>
        </row>
        <row r="3376">
          <cell r="I3376">
            <v>7.1</v>
          </cell>
        </row>
        <row r="3377">
          <cell r="B3377">
            <v>87</v>
          </cell>
        </row>
        <row r="3377">
          <cell r="I3377">
            <v>5.4</v>
          </cell>
        </row>
        <row r="3378">
          <cell r="B3378">
            <v>108</v>
          </cell>
        </row>
        <row r="3378">
          <cell r="I3378">
            <v>6.9</v>
          </cell>
        </row>
        <row r="3379">
          <cell r="B3379">
            <v>94</v>
          </cell>
        </row>
        <row r="3379">
          <cell r="I3379">
            <v>7.3</v>
          </cell>
        </row>
        <row r="3380">
          <cell r="B3380">
            <v>134</v>
          </cell>
        </row>
        <row r="3380">
          <cell r="I3380">
            <v>7.8</v>
          </cell>
        </row>
        <row r="3381">
          <cell r="B3381">
            <v>89</v>
          </cell>
        </row>
        <row r="3381">
          <cell r="I3381">
            <v>6.6</v>
          </cell>
        </row>
        <row r="3382">
          <cell r="B3382">
            <v>102</v>
          </cell>
        </row>
        <row r="3382">
          <cell r="I3382">
            <v>5.4</v>
          </cell>
        </row>
        <row r="3383">
          <cell r="B3383">
            <v>120</v>
          </cell>
        </row>
        <row r="3383">
          <cell r="I3383">
            <v>8.4</v>
          </cell>
        </row>
        <row r="3384">
          <cell r="B3384">
            <v>110</v>
          </cell>
        </row>
        <row r="3384">
          <cell r="I3384">
            <v>6.3</v>
          </cell>
        </row>
        <row r="3385">
          <cell r="B3385">
            <v>86</v>
          </cell>
        </row>
        <row r="3385">
          <cell r="I3385">
            <v>6.1</v>
          </cell>
        </row>
        <row r="3386">
          <cell r="B3386">
            <v>101</v>
          </cell>
        </row>
        <row r="3386">
          <cell r="I3386">
            <v>5</v>
          </cell>
        </row>
        <row r="3387">
          <cell r="B3387">
            <v>87</v>
          </cell>
        </row>
        <row r="3387">
          <cell r="I3387">
            <v>5.3</v>
          </cell>
        </row>
        <row r="3388">
          <cell r="B3388">
            <v>93</v>
          </cell>
        </row>
        <row r="3388">
          <cell r="I3388">
            <v>5.3</v>
          </cell>
        </row>
        <row r="3389">
          <cell r="B3389">
            <v>98</v>
          </cell>
        </row>
        <row r="3389">
          <cell r="I3389">
            <v>7.4</v>
          </cell>
        </row>
        <row r="3390">
          <cell r="B3390">
            <v>100</v>
          </cell>
        </row>
        <row r="3390">
          <cell r="I3390">
            <v>5.9</v>
          </cell>
        </row>
        <row r="3391">
          <cell r="B3391">
            <v>88</v>
          </cell>
        </row>
        <row r="3391">
          <cell r="I3391">
            <v>4.1</v>
          </cell>
        </row>
        <row r="3392">
          <cell r="B3392">
            <v>97</v>
          </cell>
        </row>
        <row r="3392">
          <cell r="I3392">
            <v>6.7</v>
          </cell>
        </row>
        <row r="3393">
          <cell r="B3393">
            <v>122</v>
          </cell>
        </row>
        <row r="3393">
          <cell r="I3393">
            <v>5.8</v>
          </cell>
        </row>
        <row r="3394">
          <cell r="B3394">
            <v>96</v>
          </cell>
        </row>
        <row r="3394">
          <cell r="I3394">
            <v>5.9</v>
          </cell>
        </row>
        <row r="3395">
          <cell r="B3395">
            <v>113</v>
          </cell>
        </row>
        <row r="3395">
          <cell r="I3395">
            <v>8</v>
          </cell>
        </row>
        <row r="3396">
          <cell r="B3396">
            <v>105</v>
          </cell>
        </row>
        <row r="3396">
          <cell r="I3396">
            <v>6.5</v>
          </cell>
        </row>
        <row r="3397">
          <cell r="B3397">
            <v>93</v>
          </cell>
        </row>
        <row r="3397">
          <cell r="I3397">
            <v>6.4</v>
          </cell>
        </row>
        <row r="3398">
          <cell r="B3398">
            <v>89</v>
          </cell>
        </row>
        <row r="3398">
          <cell r="I3398">
            <v>6.8</v>
          </cell>
        </row>
        <row r="3399">
          <cell r="B3399">
            <v>116</v>
          </cell>
        </row>
        <row r="3399">
          <cell r="I3399">
            <v>7.4</v>
          </cell>
        </row>
        <row r="3400">
          <cell r="B3400">
            <v>120</v>
          </cell>
        </row>
        <row r="3400">
          <cell r="I3400">
            <v>8.3</v>
          </cell>
        </row>
        <row r="3401">
          <cell r="B3401">
            <v>88</v>
          </cell>
        </row>
        <row r="3401">
          <cell r="I3401">
            <v>5.3</v>
          </cell>
        </row>
        <row r="3402">
          <cell r="B3402">
            <v>102</v>
          </cell>
        </row>
        <row r="3402">
          <cell r="I3402">
            <v>8.1</v>
          </cell>
        </row>
        <row r="3403">
          <cell r="B3403">
            <v>106</v>
          </cell>
        </row>
        <row r="3403">
          <cell r="I3403">
            <v>8</v>
          </cell>
        </row>
        <row r="3404">
          <cell r="B3404">
            <v>95</v>
          </cell>
        </row>
        <row r="3404">
          <cell r="I3404">
            <v>5.7</v>
          </cell>
        </row>
        <row r="3405">
          <cell r="B3405">
            <v>113</v>
          </cell>
        </row>
        <row r="3405">
          <cell r="I3405">
            <v>7.1</v>
          </cell>
        </row>
        <row r="3406">
          <cell r="B3406">
            <v>93</v>
          </cell>
        </row>
        <row r="3406">
          <cell r="I3406">
            <v>7.8</v>
          </cell>
        </row>
        <row r="3407">
          <cell r="B3407">
            <v>97</v>
          </cell>
        </row>
        <row r="3407">
          <cell r="I3407">
            <v>5.9</v>
          </cell>
        </row>
        <row r="3408">
          <cell r="B3408">
            <v>140</v>
          </cell>
        </row>
        <row r="3408">
          <cell r="I3408">
            <v>7.8</v>
          </cell>
        </row>
        <row r="3409">
          <cell r="B3409">
            <v>86</v>
          </cell>
        </row>
        <row r="3409">
          <cell r="I3409">
            <v>6</v>
          </cell>
        </row>
        <row r="3410">
          <cell r="B3410">
            <v>66</v>
          </cell>
        </row>
        <row r="3410">
          <cell r="I3410">
            <v>7.2</v>
          </cell>
        </row>
        <row r="3411">
          <cell r="B3411">
            <v>86</v>
          </cell>
        </row>
        <row r="3411">
          <cell r="I3411">
            <v>5.1</v>
          </cell>
        </row>
        <row r="3412">
          <cell r="B3412">
            <v>87</v>
          </cell>
        </row>
        <row r="3412">
          <cell r="I3412">
            <v>5.1</v>
          </cell>
        </row>
        <row r="3413">
          <cell r="B3413">
            <v>149</v>
          </cell>
        </row>
        <row r="3413">
          <cell r="I3413">
            <v>6.9</v>
          </cell>
        </row>
        <row r="3414">
          <cell r="B3414">
            <v>98</v>
          </cell>
        </row>
        <row r="3414">
          <cell r="I3414">
            <v>4.6</v>
          </cell>
        </row>
        <row r="3415">
          <cell r="B3415">
            <v>75</v>
          </cell>
        </row>
        <row r="3415">
          <cell r="I3415">
            <v>6.7</v>
          </cell>
        </row>
        <row r="3416">
          <cell r="B3416">
            <v>104</v>
          </cell>
        </row>
        <row r="3416">
          <cell r="I3416">
            <v>7.1</v>
          </cell>
        </row>
        <row r="3417">
          <cell r="B3417">
            <v>102</v>
          </cell>
        </row>
        <row r="3417">
          <cell r="I3417">
            <v>7.6</v>
          </cell>
        </row>
        <row r="3418">
          <cell r="B3418">
            <v>105</v>
          </cell>
        </row>
        <row r="3418">
          <cell r="I3418">
            <v>8.1</v>
          </cell>
        </row>
        <row r="3419">
          <cell r="B3419">
            <v>107</v>
          </cell>
        </row>
        <row r="3419">
          <cell r="I3419">
            <v>7</v>
          </cell>
        </row>
        <row r="3420">
          <cell r="B3420">
            <v>89</v>
          </cell>
        </row>
        <row r="3420">
          <cell r="I3420">
            <v>7.1</v>
          </cell>
        </row>
        <row r="3421">
          <cell r="B3421">
            <v>106</v>
          </cell>
        </row>
        <row r="3421">
          <cell r="I3421">
            <v>7.6</v>
          </cell>
        </row>
        <row r="3422">
          <cell r="B3422">
            <v>95</v>
          </cell>
        </row>
        <row r="3422">
          <cell r="I3422">
            <v>7.1</v>
          </cell>
        </row>
        <row r="3423">
          <cell r="B3423">
            <v>34</v>
          </cell>
        </row>
        <row r="3423">
          <cell r="I3423">
            <v>7.1</v>
          </cell>
        </row>
        <row r="3424">
          <cell r="B3424">
            <v>101</v>
          </cell>
        </row>
        <row r="3424">
          <cell r="I3424">
            <v>7.7</v>
          </cell>
        </row>
        <row r="3425">
          <cell r="B3425">
            <v>112</v>
          </cell>
        </row>
        <row r="3425">
          <cell r="I3425">
            <v>7.6</v>
          </cell>
        </row>
        <row r="3426">
          <cell r="B3426">
            <v>100</v>
          </cell>
        </row>
        <row r="3426">
          <cell r="I3426">
            <v>6.6</v>
          </cell>
        </row>
        <row r="3427">
          <cell r="B3427">
            <v>100</v>
          </cell>
        </row>
        <row r="3427">
          <cell r="I3427">
            <v>5.7</v>
          </cell>
        </row>
        <row r="3428">
          <cell r="B3428">
            <v>80</v>
          </cell>
        </row>
        <row r="3428">
          <cell r="I3428">
            <v>7.1</v>
          </cell>
        </row>
        <row r="3429">
          <cell r="B3429">
            <v>106</v>
          </cell>
        </row>
        <row r="3429">
          <cell r="I3429">
            <v>6.2</v>
          </cell>
        </row>
        <row r="3430">
          <cell r="B3430">
            <v>103</v>
          </cell>
        </row>
        <row r="3430">
          <cell r="I3430">
            <v>6.1</v>
          </cell>
        </row>
        <row r="3431">
          <cell r="B3431">
            <v>90</v>
          </cell>
        </row>
        <row r="3431">
          <cell r="I3431">
            <v>5.9</v>
          </cell>
        </row>
        <row r="3432">
          <cell r="B3432">
            <v>96</v>
          </cell>
        </row>
        <row r="3432">
          <cell r="I3432">
            <v>6.8</v>
          </cell>
        </row>
        <row r="3433">
          <cell r="B3433">
            <v>120</v>
          </cell>
        </row>
        <row r="3433">
          <cell r="I3433">
            <v>6.8</v>
          </cell>
        </row>
        <row r="3434">
          <cell r="B3434">
            <v>101</v>
          </cell>
        </row>
        <row r="3434">
          <cell r="I3434">
            <v>5.1</v>
          </cell>
        </row>
        <row r="3435">
          <cell r="B3435">
            <v>101</v>
          </cell>
        </row>
        <row r="3435">
          <cell r="I3435">
            <v>7.7</v>
          </cell>
        </row>
        <row r="3436">
          <cell r="B3436">
            <v>105</v>
          </cell>
        </row>
        <row r="3436">
          <cell r="I3436">
            <v>3.9</v>
          </cell>
        </row>
        <row r="3437">
          <cell r="B3437">
            <v>120</v>
          </cell>
        </row>
        <row r="3437">
          <cell r="I3437">
            <v>7.8</v>
          </cell>
        </row>
        <row r="3438">
          <cell r="B3438">
            <v>91</v>
          </cell>
        </row>
        <row r="3438">
          <cell r="I3438">
            <v>5.7</v>
          </cell>
        </row>
        <row r="3439">
          <cell r="B3439">
            <v>92</v>
          </cell>
        </row>
        <row r="3439">
          <cell r="I3439">
            <v>4.7</v>
          </cell>
        </row>
        <row r="3440">
          <cell r="B3440">
            <v>117</v>
          </cell>
        </row>
        <row r="3440">
          <cell r="I3440">
            <v>5.9</v>
          </cell>
        </row>
        <row r="3441">
          <cell r="B3441">
            <v>120</v>
          </cell>
        </row>
        <row r="3441">
          <cell r="I3441">
            <v>5.9</v>
          </cell>
        </row>
        <row r="3442">
          <cell r="B3442">
            <v>172</v>
          </cell>
        </row>
        <row r="3442">
          <cell r="I3442">
            <v>8.1</v>
          </cell>
        </row>
        <row r="3443">
          <cell r="B3443">
            <v>89</v>
          </cell>
        </row>
        <row r="3443">
          <cell r="I3443">
            <v>7.6</v>
          </cell>
        </row>
        <row r="3444">
          <cell r="B3444">
            <v>125</v>
          </cell>
        </row>
        <row r="3444">
          <cell r="I3444">
            <v>7.2</v>
          </cell>
        </row>
        <row r="3445">
          <cell r="B3445">
            <v>115</v>
          </cell>
        </row>
        <row r="3445">
          <cell r="I3445">
            <v>7.5</v>
          </cell>
        </row>
        <row r="3446">
          <cell r="B3446">
            <v>96</v>
          </cell>
        </row>
        <row r="3446">
          <cell r="I3446">
            <v>5.1</v>
          </cell>
        </row>
        <row r="3447">
          <cell r="B3447">
            <v>100</v>
          </cell>
        </row>
        <row r="3447">
          <cell r="I3447">
            <v>6.9</v>
          </cell>
        </row>
        <row r="3448">
          <cell r="B3448">
            <v>87</v>
          </cell>
        </row>
        <row r="3448">
          <cell r="I3448">
            <v>7.6</v>
          </cell>
        </row>
        <row r="3449">
          <cell r="B3449">
            <v>102</v>
          </cell>
        </row>
        <row r="3449">
          <cell r="I3449">
            <v>7.6</v>
          </cell>
        </row>
        <row r="3450">
          <cell r="B3450">
            <v>118</v>
          </cell>
        </row>
        <row r="3450">
          <cell r="I3450">
            <v>7.6</v>
          </cell>
        </row>
        <row r="3451">
          <cell r="B3451">
            <v>86</v>
          </cell>
        </row>
        <row r="3451">
          <cell r="I3451">
            <v>5.3</v>
          </cell>
        </row>
        <row r="3452">
          <cell r="B3452">
            <v>137</v>
          </cell>
        </row>
        <row r="3452">
          <cell r="I3452">
            <v>8.5</v>
          </cell>
        </row>
        <row r="3453">
          <cell r="B3453">
            <v>129</v>
          </cell>
        </row>
        <row r="3453">
          <cell r="I3453">
            <v>7</v>
          </cell>
        </row>
        <row r="3454">
          <cell r="B3454">
            <v>80</v>
          </cell>
        </row>
        <row r="3454">
          <cell r="I3454">
            <v>7.8</v>
          </cell>
        </row>
        <row r="3455">
          <cell r="B3455">
            <v>89</v>
          </cell>
        </row>
        <row r="3455">
          <cell r="I3455">
            <v>7.2</v>
          </cell>
        </row>
        <row r="3456">
          <cell r="B3456">
            <v>80</v>
          </cell>
        </row>
        <row r="3456">
          <cell r="I3456">
            <v>8</v>
          </cell>
        </row>
        <row r="3457">
          <cell r="B3457">
            <v>115</v>
          </cell>
        </row>
        <row r="3457">
          <cell r="I3457">
            <v>8.1</v>
          </cell>
        </row>
        <row r="3458">
          <cell r="B3458">
            <v>100</v>
          </cell>
        </row>
        <row r="3458">
          <cell r="I3458">
            <v>6.8</v>
          </cell>
        </row>
        <row r="3459">
          <cell r="B3459">
            <v>100</v>
          </cell>
        </row>
        <row r="3459">
          <cell r="I3459">
            <v>7.2</v>
          </cell>
        </row>
        <row r="3460">
          <cell r="B3460">
            <v>91</v>
          </cell>
        </row>
        <row r="3460">
          <cell r="I3460">
            <v>7.4</v>
          </cell>
        </row>
        <row r="3461">
          <cell r="B3461">
            <v>96</v>
          </cell>
        </row>
        <row r="3461">
          <cell r="I3461">
            <v>6.1</v>
          </cell>
        </row>
        <row r="3462">
          <cell r="B3462">
            <v>116</v>
          </cell>
        </row>
        <row r="3462">
          <cell r="I3462">
            <v>7</v>
          </cell>
        </row>
        <row r="3463">
          <cell r="B3463">
            <v>97</v>
          </cell>
        </row>
        <row r="3463">
          <cell r="I3463">
            <v>5.3</v>
          </cell>
        </row>
        <row r="3464">
          <cell r="B3464">
            <v>101</v>
          </cell>
        </row>
        <row r="3464">
          <cell r="I3464">
            <v>4.7</v>
          </cell>
        </row>
        <row r="3465">
          <cell r="B3465">
            <v>98</v>
          </cell>
        </row>
        <row r="3465">
          <cell r="I3465">
            <v>5.7</v>
          </cell>
        </row>
        <row r="3466">
          <cell r="B3466">
            <v>101</v>
          </cell>
        </row>
        <row r="3466">
          <cell r="I3466">
            <v>6.5</v>
          </cell>
        </row>
        <row r="3467">
          <cell r="B3467">
            <v>90</v>
          </cell>
        </row>
        <row r="3467">
          <cell r="I3467">
            <v>8</v>
          </cell>
        </row>
        <row r="3468">
          <cell r="B3468">
            <v>120</v>
          </cell>
        </row>
        <row r="3468">
          <cell r="I3468">
            <v>3.3</v>
          </cell>
        </row>
        <row r="3469">
          <cell r="B3469">
            <v>102</v>
          </cell>
        </row>
        <row r="3469">
          <cell r="I3469">
            <v>8.3</v>
          </cell>
        </row>
        <row r="3470">
          <cell r="B3470">
            <v>102</v>
          </cell>
        </row>
        <row r="3470">
          <cell r="I3470">
            <v>6.9</v>
          </cell>
        </row>
        <row r="3471">
          <cell r="B3471">
            <v>100</v>
          </cell>
        </row>
        <row r="3471">
          <cell r="I3471">
            <v>8.1</v>
          </cell>
        </row>
        <row r="3472">
          <cell r="B3472">
            <v>89</v>
          </cell>
        </row>
        <row r="3472">
          <cell r="I3472">
            <v>6.8</v>
          </cell>
        </row>
        <row r="3473">
          <cell r="B3473">
            <v>86</v>
          </cell>
        </row>
        <row r="3473">
          <cell r="I3473">
            <v>4.6</v>
          </cell>
        </row>
        <row r="3474">
          <cell r="B3474">
            <v>96</v>
          </cell>
        </row>
        <row r="3474">
          <cell r="I3474">
            <v>7</v>
          </cell>
        </row>
        <row r="3475">
          <cell r="B3475">
            <v>91</v>
          </cell>
        </row>
        <row r="3475">
          <cell r="I3475">
            <v>6.7</v>
          </cell>
        </row>
        <row r="3476">
          <cell r="B3476">
            <v>85</v>
          </cell>
        </row>
        <row r="3476">
          <cell r="I3476">
            <v>5.8</v>
          </cell>
        </row>
        <row r="3477">
          <cell r="B3477">
            <v>129</v>
          </cell>
        </row>
        <row r="3477">
          <cell r="I3477">
            <v>4.5</v>
          </cell>
        </row>
        <row r="3478">
          <cell r="B3478">
            <v>95</v>
          </cell>
        </row>
        <row r="3478">
          <cell r="I3478">
            <v>6.2</v>
          </cell>
        </row>
        <row r="3479">
          <cell r="B3479">
            <v>92</v>
          </cell>
        </row>
        <row r="3479">
          <cell r="I3479">
            <v>6.6</v>
          </cell>
        </row>
        <row r="3480">
          <cell r="B3480">
            <v>96</v>
          </cell>
        </row>
        <row r="3480">
          <cell r="I3480">
            <v>6.6</v>
          </cell>
        </row>
        <row r="3481">
          <cell r="B3481">
            <v>119</v>
          </cell>
        </row>
        <row r="3481">
          <cell r="I3481">
            <v>7.8</v>
          </cell>
        </row>
        <row r="3482">
          <cell r="B3482">
            <v>92</v>
          </cell>
        </row>
        <row r="3482">
          <cell r="I3482">
            <v>7.7</v>
          </cell>
        </row>
        <row r="3483">
          <cell r="B3483">
            <v>106</v>
          </cell>
        </row>
        <row r="3483">
          <cell r="I3483">
            <v>5.7</v>
          </cell>
        </row>
        <row r="3484">
          <cell r="B3484">
            <v>99</v>
          </cell>
        </row>
        <row r="3484">
          <cell r="I3484">
            <v>7.1</v>
          </cell>
        </row>
        <row r="3485">
          <cell r="B3485">
            <v>103</v>
          </cell>
        </row>
        <row r="3485">
          <cell r="I3485">
            <v>6.4</v>
          </cell>
        </row>
        <row r="3486">
          <cell r="B3486">
            <v>95</v>
          </cell>
        </row>
        <row r="3486">
          <cell r="I3486">
            <v>7</v>
          </cell>
        </row>
        <row r="3487">
          <cell r="B3487">
            <v>95</v>
          </cell>
        </row>
        <row r="3487">
          <cell r="I3487">
            <v>5.8</v>
          </cell>
        </row>
        <row r="3488">
          <cell r="B3488">
            <v>90</v>
          </cell>
        </row>
        <row r="3488">
          <cell r="I3488">
            <v>7.8</v>
          </cell>
        </row>
        <row r="3489">
          <cell r="B3489">
            <v>89</v>
          </cell>
        </row>
        <row r="3489">
          <cell r="I3489">
            <v>7.2</v>
          </cell>
        </row>
        <row r="3490">
          <cell r="B3490">
            <v>87</v>
          </cell>
        </row>
        <row r="3490">
          <cell r="I3490">
            <v>5.6</v>
          </cell>
        </row>
        <row r="3491">
          <cell r="B3491">
            <v>118</v>
          </cell>
        </row>
        <row r="3491">
          <cell r="I3491">
            <v>6.8</v>
          </cell>
        </row>
        <row r="3492">
          <cell r="B3492">
            <v>93</v>
          </cell>
        </row>
        <row r="3492">
          <cell r="I3492">
            <v>7.3</v>
          </cell>
        </row>
        <row r="3493">
          <cell r="B3493">
            <v>109</v>
          </cell>
        </row>
        <row r="3493">
          <cell r="I3493">
            <v>7.3</v>
          </cell>
        </row>
        <row r="3494">
          <cell r="B3494">
            <v>90</v>
          </cell>
        </row>
        <row r="3494">
          <cell r="I3494">
            <v>6.6</v>
          </cell>
        </row>
        <row r="3495">
          <cell r="B3495">
            <v>108</v>
          </cell>
        </row>
        <row r="3495">
          <cell r="I3495">
            <v>7.5</v>
          </cell>
        </row>
        <row r="3496">
          <cell r="B3496">
            <v>81</v>
          </cell>
        </row>
        <row r="3496">
          <cell r="I3496">
            <v>7.8</v>
          </cell>
        </row>
        <row r="3497">
          <cell r="B3497">
            <v>93</v>
          </cell>
        </row>
        <row r="3497">
          <cell r="I3497">
            <v>6.7</v>
          </cell>
        </row>
        <row r="3498">
          <cell r="B3498">
            <v>138</v>
          </cell>
        </row>
        <row r="3498">
          <cell r="I3498">
            <v>7.5</v>
          </cell>
        </row>
        <row r="3499">
          <cell r="B3499">
            <v>105</v>
          </cell>
        </row>
        <row r="3499">
          <cell r="I3499">
            <v>6.3</v>
          </cell>
        </row>
        <row r="3500">
          <cell r="B3500">
            <v>98</v>
          </cell>
        </row>
        <row r="3500">
          <cell r="I3500">
            <v>6.3</v>
          </cell>
        </row>
        <row r="3501">
          <cell r="B3501">
            <v>86</v>
          </cell>
        </row>
        <row r="3501">
          <cell r="I3501">
            <v>6.8</v>
          </cell>
        </row>
        <row r="3502">
          <cell r="B3502">
            <v>104</v>
          </cell>
        </row>
        <row r="3502">
          <cell r="I3502">
            <v>7.8</v>
          </cell>
        </row>
        <row r="3503">
          <cell r="B3503">
            <v>100</v>
          </cell>
        </row>
        <row r="3503">
          <cell r="I3503">
            <v>6.9</v>
          </cell>
        </row>
        <row r="3504">
          <cell r="B3504">
            <v>84</v>
          </cell>
        </row>
        <row r="3504">
          <cell r="I3504">
            <v>4.3</v>
          </cell>
        </row>
        <row r="3505">
          <cell r="B3505">
            <v>95</v>
          </cell>
        </row>
        <row r="3505">
          <cell r="I3505">
            <v>7.2</v>
          </cell>
        </row>
        <row r="3506">
          <cell r="B3506">
            <v>90</v>
          </cell>
        </row>
        <row r="3506">
          <cell r="I3506">
            <v>7.3</v>
          </cell>
        </row>
        <row r="3507">
          <cell r="B3507">
            <v>123</v>
          </cell>
        </row>
        <row r="3507">
          <cell r="I3507">
            <v>7.2</v>
          </cell>
        </row>
        <row r="3508">
          <cell r="B3508">
            <v>111</v>
          </cell>
        </row>
        <row r="3508">
          <cell r="I3508">
            <v>5.4</v>
          </cell>
        </row>
        <row r="3509">
          <cell r="B3509">
            <v>108</v>
          </cell>
        </row>
        <row r="3509">
          <cell r="I3509">
            <v>7.1</v>
          </cell>
        </row>
        <row r="3510">
          <cell r="B3510">
            <v>92</v>
          </cell>
        </row>
        <row r="3510">
          <cell r="I3510">
            <v>6.8</v>
          </cell>
        </row>
        <row r="3511">
          <cell r="B3511">
            <v>91</v>
          </cell>
        </row>
        <row r="3511">
          <cell r="I3511">
            <v>7</v>
          </cell>
        </row>
        <row r="3512">
          <cell r="B3512">
            <v>88</v>
          </cell>
        </row>
        <row r="3512">
          <cell r="I3512">
            <v>7.4</v>
          </cell>
        </row>
        <row r="3513">
          <cell r="B3513">
            <v>97</v>
          </cell>
        </row>
        <row r="3513">
          <cell r="I3513">
            <v>6.7</v>
          </cell>
        </row>
        <row r="3514">
          <cell r="B3514">
            <v>103</v>
          </cell>
        </row>
        <row r="3514">
          <cell r="I3514">
            <v>7.2</v>
          </cell>
        </row>
        <row r="3515">
          <cell r="B3515">
            <v>110</v>
          </cell>
        </row>
        <row r="3515">
          <cell r="I3515">
            <v>7.5</v>
          </cell>
        </row>
        <row r="3516">
          <cell r="B3516">
            <v>103</v>
          </cell>
        </row>
        <row r="3516">
          <cell r="I3516">
            <v>6.8</v>
          </cell>
        </row>
        <row r="3517">
          <cell r="B3517">
            <v>114</v>
          </cell>
        </row>
        <row r="3517">
          <cell r="I3517">
            <v>7.9</v>
          </cell>
        </row>
        <row r="3518">
          <cell r="B3518">
            <v>112</v>
          </cell>
        </row>
        <row r="3518">
          <cell r="I3518">
            <v>6.7</v>
          </cell>
        </row>
        <row r="3519">
          <cell r="B3519">
            <v>104</v>
          </cell>
        </row>
        <row r="3519">
          <cell r="I3519">
            <v>5.8</v>
          </cell>
        </row>
        <row r="3520">
          <cell r="B3520">
            <v>99</v>
          </cell>
        </row>
        <row r="3520">
          <cell r="I3520">
            <v>6.5</v>
          </cell>
        </row>
        <row r="3521">
          <cell r="B3521">
            <v>98</v>
          </cell>
        </row>
        <row r="3521">
          <cell r="I3521">
            <v>7.2</v>
          </cell>
        </row>
        <row r="3522">
          <cell r="B3522">
            <v>100</v>
          </cell>
        </row>
        <row r="3522">
          <cell r="I3522">
            <v>6.5</v>
          </cell>
        </row>
        <row r="3523">
          <cell r="B3523">
            <v>80</v>
          </cell>
        </row>
        <row r="3523">
          <cell r="I3523">
            <v>6.2</v>
          </cell>
        </row>
        <row r="3524">
          <cell r="B3524">
            <v>87</v>
          </cell>
        </row>
        <row r="3524">
          <cell r="I3524">
            <v>8.6</v>
          </cell>
        </row>
        <row r="3525">
          <cell r="B3525">
            <v>91</v>
          </cell>
        </row>
        <row r="3525">
          <cell r="I3525">
            <v>6.5</v>
          </cell>
        </row>
        <row r="3526">
          <cell r="B3526">
            <v>84</v>
          </cell>
        </row>
        <row r="3526">
          <cell r="I3526">
            <v>6.3</v>
          </cell>
        </row>
        <row r="3527">
          <cell r="B3527">
            <v>90</v>
          </cell>
        </row>
        <row r="3527">
          <cell r="I3527">
            <v>4.3</v>
          </cell>
        </row>
        <row r="3528">
          <cell r="B3528">
            <v>98</v>
          </cell>
        </row>
        <row r="3528">
          <cell r="I3528">
            <v>6.1</v>
          </cell>
        </row>
        <row r="3529">
          <cell r="B3529">
            <v>124</v>
          </cell>
        </row>
        <row r="3529">
          <cell r="I3529">
            <v>5.8</v>
          </cell>
        </row>
        <row r="3530">
          <cell r="B3530">
            <v>95</v>
          </cell>
        </row>
        <row r="3530">
          <cell r="I3530">
            <v>6.7</v>
          </cell>
        </row>
        <row r="3531">
          <cell r="B3531">
            <v>90</v>
          </cell>
        </row>
        <row r="3531">
          <cell r="I3531">
            <v>6.7</v>
          </cell>
        </row>
        <row r="3532">
          <cell r="B3532">
            <v>101</v>
          </cell>
        </row>
        <row r="3532">
          <cell r="I3532">
            <v>5.1</v>
          </cell>
        </row>
        <row r="3533">
          <cell r="B3533">
            <v>83</v>
          </cell>
        </row>
        <row r="3533">
          <cell r="I3533">
            <v>7.7</v>
          </cell>
        </row>
        <row r="3534">
          <cell r="B3534">
            <v>106</v>
          </cell>
        </row>
        <row r="3534">
          <cell r="I3534">
            <v>6.7</v>
          </cell>
        </row>
        <row r="3535">
          <cell r="B3535">
            <v>94</v>
          </cell>
        </row>
        <row r="3535">
          <cell r="I3535">
            <v>6.6</v>
          </cell>
        </row>
        <row r="3536">
          <cell r="B3536">
            <v>120</v>
          </cell>
        </row>
        <row r="3536">
          <cell r="I3536">
            <v>8.2</v>
          </cell>
        </row>
        <row r="3537">
          <cell r="B3537">
            <v>105</v>
          </cell>
        </row>
        <row r="3537">
          <cell r="I3537">
            <v>8.1</v>
          </cell>
        </row>
        <row r="3538">
          <cell r="B3538">
            <v>95</v>
          </cell>
        </row>
        <row r="3538">
          <cell r="I3538">
            <v>7.2</v>
          </cell>
        </row>
        <row r="3539">
          <cell r="B3539">
            <v>135</v>
          </cell>
        </row>
        <row r="3539">
          <cell r="I3539">
            <v>7.4</v>
          </cell>
        </row>
        <row r="3540">
          <cell r="B3540">
            <v>105</v>
          </cell>
        </row>
        <row r="3540">
          <cell r="I3540">
            <v>6.5</v>
          </cell>
        </row>
        <row r="3541">
          <cell r="B3541">
            <v>83</v>
          </cell>
        </row>
        <row r="3541">
          <cell r="I3541">
            <v>5.7</v>
          </cell>
        </row>
        <row r="3542">
          <cell r="B3542">
            <v>87</v>
          </cell>
        </row>
        <row r="3542">
          <cell r="I3542">
            <v>6.2</v>
          </cell>
        </row>
        <row r="3543">
          <cell r="B3543">
            <v>97</v>
          </cell>
        </row>
        <row r="3543">
          <cell r="I3543">
            <v>3.3</v>
          </cell>
        </row>
        <row r="3544">
          <cell r="B3544">
            <v>87</v>
          </cell>
        </row>
        <row r="3544">
          <cell r="I3544">
            <v>6.1</v>
          </cell>
        </row>
        <row r="3545">
          <cell r="B3545">
            <v>80</v>
          </cell>
        </row>
        <row r="3545">
          <cell r="I3545">
            <v>5.7</v>
          </cell>
        </row>
        <row r="3546">
          <cell r="B3546">
            <v>100</v>
          </cell>
        </row>
        <row r="3546">
          <cell r="I3546">
            <v>7.2</v>
          </cell>
        </row>
        <row r="3547">
          <cell r="B3547">
            <v>103</v>
          </cell>
        </row>
        <row r="3547">
          <cell r="I3547">
            <v>7.7</v>
          </cell>
        </row>
        <row r="3548">
          <cell r="B3548">
            <v>100</v>
          </cell>
        </row>
        <row r="3548">
          <cell r="I3548">
            <v>7.1</v>
          </cell>
        </row>
        <row r="3549">
          <cell r="B3549">
            <v>89</v>
          </cell>
        </row>
        <row r="3549">
          <cell r="I3549">
            <v>7</v>
          </cell>
        </row>
        <row r="3550">
          <cell r="B3550">
            <v>114</v>
          </cell>
        </row>
        <row r="3550">
          <cell r="I3550">
            <v>7.4</v>
          </cell>
        </row>
        <row r="3551">
          <cell r="B3551">
            <v>111</v>
          </cell>
        </row>
        <row r="3551">
          <cell r="I3551">
            <v>7.7</v>
          </cell>
        </row>
        <row r="3552">
          <cell r="B3552">
            <v>85</v>
          </cell>
        </row>
        <row r="3552">
          <cell r="I3552">
            <v>6.6</v>
          </cell>
        </row>
        <row r="3553">
          <cell r="B3553">
            <v>113</v>
          </cell>
        </row>
        <row r="3553">
          <cell r="I3553">
            <v>6</v>
          </cell>
        </row>
        <row r="3554">
          <cell r="B3554">
            <v>99</v>
          </cell>
        </row>
        <row r="3554">
          <cell r="I3554">
            <v>8.4</v>
          </cell>
        </row>
        <row r="3555">
          <cell r="B3555">
            <v>142</v>
          </cell>
        </row>
        <row r="3555">
          <cell r="I3555">
            <v>8.9</v>
          </cell>
        </row>
        <row r="3556">
          <cell r="B3556">
            <v>112</v>
          </cell>
        </row>
        <row r="3556">
          <cell r="I3556">
            <v>7.9</v>
          </cell>
        </row>
        <row r="3557">
          <cell r="B3557">
            <v>108</v>
          </cell>
        </row>
        <row r="3557">
          <cell r="I3557">
            <v>6</v>
          </cell>
        </row>
        <row r="3558">
          <cell r="B3558">
            <v>88</v>
          </cell>
        </row>
        <row r="3558">
          <cell r="I3558">
            <v>6.1</v>
          </cell>
        </row>
        <row r="3559">
          <cell r="B3559">
            <v>97</v>
          </cell>
        </row>
        <row r="3559">
          <cell r="I3559">
            <v>7.4</v>
          </cell>
        </row>
        <row r="3560">
          <cell r="B3560">
            <v>85</v>
          </cell>
        </row>
        <row r="3560">
          <cell r="I3560">
            <v>6.2</v>
          </cell>
        </row>
        <row r="3561">
          <cell r="B3561">
            <v>110</v>
          </cell>
        </row>
        <row r="3561">
          <cell r="I3561">
            <v>7.2</v>
          </cell>
        </row>
        <row r="3562">
          <cell r="B3562">
            <v>91</v>
          </cell>
        </row>
        <row r="3562">
          <cell r="I3562">
            <v>6.2</v>
          </cell>
        </row>
        <row r="3563">
          <cell r="B3563">
            <v>94</v>
          </cell>
        </row>
        <row r="3563">
          <cell r="I3563">
            <v>6.8</v>
          </cell>
        </row>
        <row r="3564">
          <cell r="B3564">
            <v>90</v>
          </cell>
        </row>
        <row r="3564">
          <cell r="I3564">
            <v>7.7</v>
          </cell>
        </row>
        <row r="3565">
          <cell r="B3565">
            <v>92</v>
          </cell>
        </row>
        <row r="3565">
          <cell r="I3565">
            <v>5.9</v>
          </cell>
        </row>
        <row r="3566">
          <cell r="B3566">
            <v>73</v>
          </cell>
        </row>
        <row r="3566">
          <cell r="I3566">
            <v>7</v>
          </cell>
        </row>
        <row r="3567">
          <cell r="B3567">
            <v>110</v>
          </cell>
        </row>
        <row r="3567">
          <cell r="I3567">
            <v>6.1</v>
          </cell>
        </row>
        <row r="3568">
          <cell r="B3568">
            <v>102</v>
          </cell>
        </row>
        <row r="3568">
          <cell r="I3568">
            <v>7.6</v>
          </cell>
        </row>
        <row r="3569">
          <cell r="B3569">
            <v>145</v>
          </cell>
        </row>
        <row r="3569">
          <cell r="I3569">
            <v>8.1</v>
          </cell>
        </row>
        <row r="3570">
          <cell r="B3570">
            <v>83</v>
          </cell>
        </row>
        <row r="3570">
          <cell r="I3570">
            <v>5.7</v>
          </cell>
        </row>
        <row r="3571">
          <cell r="B3571">
            <v>91</v>
          </cell>
        </row>
        <row r="3571">
          <cell r="I3571">
            <v>6.6</v>
          </cell>
        </row>
        <row r="3572">
          <cell r="B3572">
            <v>110</v>
          </cell>
        </row>
        <row r="3572">
          <cell r="I3572">
            <v>7.3</v>
          </cell>
        </row>
        <row r="3573">
          <cell r="B3573">
            <v>86</v>
          </cell>
        </row>
        <row r="3573">
          <cell r="I3573">
            <v>5</v>
          </cell>
        </row>
        <row r="3574">
          <cell r="B3574">
            <v>86</v>
          </cell>
        </row>
        <row r="3574">
          <cell r="I3574">
            <v>7</v>
          </cell>
        </row>
        <row r="3575">
          <cell r="B3575">
            <v>120</v>
          </cell>
        </row>
        <row r="3575">
          <cell r="I3575">
            <v>3.4</v>
          </cell>
        </row>
        <row r="3576">
          <cell r="B3576">
            <v>90</v>
          </cell>
        </row>
        <row r="3576">
          <cell r="I3576">
            <v>5.9</v>
          </cell>
        </row>
        <row r="3577">
          <cell r="B3577">
            <v>99</v>
          </cell>
        </row>
        <row r="3577">
          <cell r="I3577">
            <v>6</v>
          </cell>
        </row>
        <row r="3578">
          <cell r="B3578">
            <v>112</v>
          </cell>
        </row>
        <row r="3578">
          <cell r="I3578">
            <v>7.4</v>
          </cell>
        </row>
        <row r="3579">
          <cell r="B3579">
            <v>103</v>
          </cell>
        </row>
        <row r="3579">
          <cell r="I3579">
            <v>7.4</v>
          </cell>
        </row>
        <row r="3580">
          <cell r="B3580">
            <v>83</v>
          </cell>
        </row>
        <row r="3580">
          <cell r="I3580">
            <v>4.2</v>
          </cell>
        </row>
        <row r="3581">
          <cell r="B3581">
            <v>109</v>
          </cell>
        </row>
        <row r="3581">
          <cell r="I3581">
            <v>6.2</v>
          </cell>
        </row>
        <row r="3582">
          <cell r="B3582">
            <v>100</v>
          </cell>
        </row>
        <row r="3582">
          <cell r="I3582">
            <v>5.4</v>
          </cell>
        </row>
        <row r="3583">
          <cell r="B3583">
            <v>95</v>
          </cell>
        </row>
        <row r="3583">
          <cell r="I3583">
            <v>7.2</v>
          </cell>
        </row>
        <row r="3584">
          <cell r="B3584">
            <v>104</v>
          </cell>
        </row>
        <row r="3584">
          <cell r="I3584">
            <v>6.7</v>
          </cell>
        </row>
        <row r="3585">
          <cell r="B3585">
            <v>97</v>
          </cell>
        </row>
        <row r="3585">
          <cell r="I3585">
            <v>7.2</v>
          </cell>
        </row>
        <row r="3586">
          <cell r="B3586">
            <v>91</v>
          </cell>
        </row>
        <row r="3586">
          <cell r="I3586">
            <v>7.4</v>
          </cell>
        </row>
        <row r="3587">
          <cell r="B3587">
            <v>84</v>
          </cell>
        </row>
        <row r="3587">
          <cell r="I3587">
            <v>5.6</v>
          </cell>
        </row>
        <row r="3588">
          <cell r="B3588">
            <v>86</v>
          </cell>
        </row>
        <row r="3588">
          <cell r="I3588">
            <v>6.8</v>
          </cell>
        </row>
        <row r="3589">
          <cell r="B3589">
            <v>92</v>
          </cell>
        </row>
        <row r="3589">
          <cell r="I3589">
            <v>7.7</v>
          </cell>
        </row>
        <row r="3590">
          <cell r="B3590">
            <v>94</v>
          </cell>
        </row>
        <row r="3590">
          <cell r="I3590">
            <v>7</v>
          </cell>
        </row>
        <row r="3591">
          <cell r="B3591">
            <v>100</v>
          </cell>
        </row>
        <row r="3591">
          <cell r="I3591">
            <v>7.2</v>
          </cell>
        </row>
        <row r="3592">
          <cell r="B3592">
            <v>119</v>
          </cell>
        </row>
        <row r="3592">
          <cell r="I3592">
            <v>7.2</v>
          </cell>
        </row>
        <row r="3593">
          <cell r="B3593">
            <v>167</v>
          </cell>
        </row>
        <row r="3593">
          <cell r="I3593">
            <v>6.2</v>
          </cell>
        </row>
        <row r="3594">
          <cell r="B3594">
            <v>92</v>
          </cell>
        </row>
        <row r="3594">
          <cell r="I3594">
            <v>6.2</v>
          </cell>
        </row>
        <row r="3595">
          <cell r="B3595">
            <v>108</v>
          </cell>
        </row>
        <row r="3595">
          <cell r="I3595">
            <v>6.9</v>
          </cell>
        </row>
        <row r="3596">
          <cell r="B3596">
            <v>97</v>
          </cell>
        </row>
        <row r="3596">
          <cell r="I3596">
            <v>7</v>
          </cell>
        </row>
        <row r="3597">
          <cell r="B3597">
            <v>88</v>
          </cell>
        </row>
        <row r="3597">
          <cell r="I3597">
            <v>6.7</v>
          </cell>
        </row>
        <row r="3598">
          <cell r="B3598">
            <v>100</v>
          </cell>
        </row>
        <row r="3598">
          <cell r="I3598">
            <v>3.6</v>
          </cell>
        </row>
        <row r="3599">
          <cell r="B3599">
            <v>88</v>
          </cell>
        </row>
        <row r="3599">
          <cell r="I3599">
            <v>7.4</v>
          </cell>
        </row>
        <row r="3600">
          <cell r="B3600">
            <v>79</v>
          </cell>
        </row>
        <row r="3600">
          <cell r="I3600">
            <v>6.1</v>
          </cell>
        </row>
        <row r="3601">
          <cell r="B3601">
            <v>96</v>
          </cell>
        </row>
        <row r="3601">
          <cell r="I3601">
            <v>8.2</v>
          </cell>
        </row>
        <row r="3602">
          <cell r="B3602">
            <v>53</v>
          </cell>
        </row>
        <row r="3602">
          <cell r="I3602">
            <v>7.7</v>
          </cell>
        </row>
        <row r="3603">
          <cell r="B3603">
            <v>97</v>
          </cell>
        </row>
        <row r="3603">
          <cell r="I3603">
            <v>7.3</v>
          </cell>
        </row>
        <row r="3604">
          <cell r="B3604">
            <v>91</v>
          </cell>
        </row>
        <row r="3604">
          <cell r="I3604">
            <v>7.6</v>
          </cell>
        </row>
        <row r="3605">
          <cell r="B3605">
            <v>93</v>
          </cell>
        </row>
        <row r="3605">
          <cell r="I3605">
            <v>6.8</v>
          </cell>
        </row>
        <row r="3606">
          <cell r="B3606">
            <v>112</v>
          </cell>
        </row>
        <row r="3606">
          <cell r="I3606">
            <v>5.6</v>
          </cell>
        </row>
        <row r="3607">
          <cell r="B3607">
            <v>160</v>
          </cell>
        </row>
        <row r="3607">
          <cell r="I3607">
            <v>4.8</v>
          </cell>
        </row>
        <row r="3608">
          <cell r="B3608">
            <v>95</v>
          </cell>
        </row>
        <row r="3608">
          <cell r="I3608">
            <v>6.4</v>
          </cell>
        </row>
        <row r="3609">
          <cell r="B3609">
            <v>93</v>
          </cell>
        </row>
        <row r="3609">
          <cell r="I3609">
            <v>6.8</v>
          </cell>
        </row>
        <row r="3610">
          <cell r="B3610">
            <v>88</v>
          </cell>
        </row>
        <row r="3610">
          <cell r="I3610">
            <v>6.1</v>
          </cell>
        </row>
        <row r="3611">
          <cell r="B3611">
            <v>82</v>
          </cell>
        </row>
        <row r="3611">
          <cell r="I3611">
            <v>6</v>
          </cell>
        </row>
        <row r="3612">
          <cell r="B3612">
            <v>78</v>
          </cell>
        </row>
        <row r="3612">
          <cell r="I3612">
            <v>6.1</v>
          </cell>
        </row>
        <row r="3613">
          <cell r="B3613">
            <v>97</v>
          </cell>
        </row>
        <row r="3613">
          <cell r="I3613">
            <v>5.5</v>
          </cell>
        </row>
        <row r="3614">
          <cell r="B3614">
            <v>81</v>
          </cell>
        </row>
        <row r="3614">
          <cell r="I3614">
            <v>6.9</v>
          </cell>
        </row>
        <row r="3615">
          <cell r="B3615">
            <v>88</v>
          </cell>
        </row>
        <row r="3615">
          <cell r="I3615">
            <v>4.1</v>
          </cell>
        </row>
        <row r="3616">
          <cell r="B3616">
            <v>96</v>
          </cell>
        </row>
        <row r="3616">
          <cell r="I3616">
            <v>5.4</v>
          </cell>
        </row>
        <row r="3617">
          <cell r="B3617">
            <v>108</v>
          </cell>
        </row>
        <row r="3617">
          <cell r="I3617">
            <v>8.2</v>
          </cell>
        </row>
        <row r="3618">
          <cell r="B3618">
            <v>100</v>
          </cell>
        </row>
        <row r="3618">
          <cell r="I3618">
            <v>5.7</v>
          </cell>
        </row>
        <row r="3619">
          <cell r="B3619">
            <v>113</v>
          </cell>
        </row>
        <row r="3619">
          <cell r="I3619">
            <v>7.9</v>
          </cell>
        </row>
        <row r="3620">
          <cell r="B3620">
            <v>104</v>
          </cell>
        </row>
        <row r="3620">
          <cell r="I3620">
            <v>7.1</v>
          </cell>
        </row>
        <row r="3621">
          <cell r="B3621">
            <v>91</v>
          </cell>
        </row>
        <row r="3621">
          <cell r="I3621">
            <v>6.4</v>
          </cell>
        </row>
        <row r="3622">
          <cell r="B3622">
            <v>85</v>
          </cell>
        </row>
        <row r="3622">
          <cell r="I3622">
            <v>7.5</v>
          </cell>
        </row>
        <row r="3623">
          <cell r="B3623">
            <v>101</v>
          </cell>
        </row>
        <row r="3623">
          <cell r="I3623">
            <v>6.4</v>
          </cell>
        </row>
        <row r="3624">
          <cell r="B3624">
            <v>88</v>
          </cell>
        </row>
        <row r="3624">
          <cell r="I3624">
            <v>7.3</v>
          </cell>
        </row>
        <row r="3625">
          <cell r="B3625">
            <v>107</v>
          </cell>
        </row>
        <row r="3625">
          <cell r="I3625">
            <v>7.2</v>
          </cell>
        </row>
        <row r="3626">
          <cell r="B3626">
            <v>88</v>
          </cell>
        </row>
        <row r="3626">
          <cell r="I3626">
            <v>6</v>
          </cell>
        </row>
        <row r="3627">
          <cell r="B3627">
            <v>95</v>
          </cell>
        </row>
        <row r="3627">
          <cell r="I3627">
            <v>5.6</v>
          </cell>
        </row>
        <row r="3628">
          <cell r="B3628">
            <v>123</v>
          </cell>
        </row>
        <row r="3628">
          <cell r="I3628">
            <v>8.4</v>
          </cell>
        </row>
        <row r="3629">
          <cell r="B3629">
            <v>88</v>
          </cell>
        </row>
        <row r="3629">
          <cell r="I3629">
            <v>7.5</v>
          </cell>
        </row>
        <row r="3630">
          <cell r="B3630">
            <v>114</v>
          </cell>
        </row>
        <row r="3630">
          <cell r="I3630">
            <v>7.2</v>
          </cell>
        </row>
        <row r="3631">
          <cell r="B3631">
            <v>88</v>
          </cell>
        </row>
        <row r="3631">
          <cell r="I3631">
            <v>7.2</v>
          </cell>
        </row>
        <row r="3632">
          <cell r="B3632">
            <v>104</v>
          </cell>
        </row>
        <row r="3632">
          <cell r="I3632">
            <v>6.5</v>
          </cell>
        </row>
        <row r="3633">
          <cell r="B3633">
            <v>93</v>
          </cell>
        </row>
        <row r="3633">
          <cell r="I3633">
            <v>5.1</v>
          </cell>
        </row>
        <row r="3634">
          <cell r="B3634">
            <v>91</v>
          </cell>
        </row>
        <row r="3634">
          <cell r="I3634">
            <v>6.4</v>
          </cell>
        </row>
        <row r="3635">
          <cell r="B3635">
            <v>90</v>
          </cell>
        </row>
        <row r="3635">
          <cell r="I3635">
            <v>6.8</v>
          </cell>
        </row>
        <row r="3636">
          <cell r="B3636">
            <v>112</v>
          </cell>
        </row>
        <row r="3636">
          <cell r="I3636">
            <v>7.5</v>
          </cell>
        </row>
        <row r="3637">
          <cell r="B3637">
            <v>86</v>
          </cell>
        </row>
        <row r="3637">
          <cell r="I3637">
            <v>6.9</v>
          </cell>
        </row>
        <row r="3638">
          <cell r="B3638">
            <v>86</v>
          </cell>
        </row>
        <row r="3638">
          <cell r="I3638">
            <v>7</v>
          </cell>
        </row>
        <row r="3639">
          <cell r="B3639">
            <v>95</v>
          </cell>
        </row>
        <row r="3639">
          <cell r="I3639">
            <v>6.3</v>
          </cell>
        </row>
        <row r="3640">
          <cell r="B3640">
            <v>101</v>
          </cell>
        </row>
        <row r="3640">
          <cell r="I3640">
            <v>5.5</v>
          </cell>
        </row>
        <row r="3641">
          <cell r="B3641">
            <v>88</v>
          </cell>
        </row>
        <row r="3641">
          <cell r="I3641">
            <v>6.6</v>
          </cell>
        </row>
        <row r="3642">
          <cell r="B3642">
            <v>99</v>
          </cell>
        </row>
        <row r="3642">
          <cell r="I3642">
            <v>5.2</v>
          </cell>
        </row>
        <row r="3643">
          <cell r="B3643">
            <v>170</v>
          </cell>
        </row>
        <row r="3643">
          <cell r="I3643">
            <v>8.3</v>
          </cell>
        </row>
        <row r="3644">
          <cell r="B3644">
            <v>97</v>
          </cell>
        </row>
        <row r="3644">
          <cell r="I3644">
            <v>7.2</v>
          </cell>
        </row>
        <row r="3645">
          <cell r="B3645">
            <v>106</v>
          </cell>
        </row>
        <row r="3645">
          <cell r="I3645">
            <v>7.2</v>
          </cell>
        </row>
        <row r="3646">
          <cell r="B3646">
            <v>107</v>
          </cell>
        </row>
        <row r="3646">
          <cell r="I3646">
            <v>6.5</v>
          </cell>
        </row>
        <row r="3647">
          <cell r="B3647">
            <v>84</v>
          </cell>
        </row>
        <row r="3647">
          <cell r="I3647">
            <v>6.5</v>
          </cell>
        </row>
        <row r="3648">
          <cell r="B3648">
            <v>81</v>
          </cell>
        </row>
        <row r="3648">
          <cell r="I3648">
            <v>7.8</v>
          </cell>
        </row>
        <row r="3649">
          <cell r="B3649">
            <v>81</v>
          </cell>
        </row>
        <row r="3649">
          <cell r="I3649">
            <v>6.4</v>
          </cell>
        </row>
        <row r="3650">
          <cell r="B3650">
            <v>215</v>
          </cell>
        </row>
        <row r="3650">
          <cell r="I3650">
            <v>8.1</v>
          </cell>
        </row>
        <row r="3651">
          <cell r="B3651">
            <v>106</v>
          </cell>
        </row>
        <row r="3651">
          <cell r="I3651">
            <v>5.6</v>
          </cell>
        </row>
        <row r="3652">
          <cell r="B3652">
            <v>103</v>
          </cell>
        </row>
        <row r="3652">
          <cell r="I3652">
            <v>5.6</v>
          </cell>
        </row>
        <row r="3653">
          <cell r="B3653">
            <v>90</v>
          </cell>
        </row>
        <row r="3653">
          <cell r="I3653">
            <v>6.6</v>
          </cell>
        </row>
        <row r="3654">
          <cell r="B3654">
            <v>87</v>
          </cell>
        </row>
        <row r="3654">
          <cell r="I3654">
            <v>7.7</v>
          </cell>
        </row>
        <row r="3655">
          <cell r="B3655">
            <v>80</v>
          </cell>
        </row>
        <row r="3655">
          <cell r="I3655">
            <v>7.2</v>
          </cell>
        </row>
        <row r="3656">
          <cell r="B3656">
            <v>122</v>
          </cell>
        </row>
        <row r="3656">
          <cell r="I3656">
            <v>6.5</v>
          </cell>
        </row>
        <row r="3657">
          <cell r="B3657">
            <v>86</v>
          </cell>
        </row>
        <row r="3657">
          <cell r="I3657">
            <v>6.1</v>
          </cell>
        </row>
        <row r="3658">
          <cell r="B3658">
            <v>79</v>
          </cell>
        </row>
        <row r="3658">
          <cell r="I3658">
            <v>5.7</v>
          </cell>
        </row>
        <row r="3659">
          <cell r="B3659">
            <v>97</v>
          </cell>
        </row>
        <row r="3659">
          <cell r="I3659">
            <v>5.9</v>
          </cell>
        </row>
        <row r="3660">
          <cell r="B3660">
            <v>89</v>
          </cell>
        </row>
        <row r="3660">
          <cell r="I3660">
            <v>7.7</v>
          </cell>
        </row>
        <row r="3661">
          <cell r="B3661">
            <v>120</v>
          </cell>
        </row>
        <row r="3661">
          <cell r="I3661">
            <v>7.1</v>
          </cell>
        </row>
        <row r="3662">
          <cell r="B3662">
            <v>108</v>
          </cell>
        </row>
        <row r="3662">
          <cell r="I3662">
            <v>7.6</v>
          </cell>
        </row>
        <row r="3663">
          <cell r="B3663">
            <v>102</v>
          </cell>
        </row>
        <row r="3663">
          <cell r="I3663">
            <v>6.4</v>
          </cell>
        </row>
        <row r="3664">
          <cell r="B3664">
            <v>83</v>
          </cell>
        </row>
        <row r="3664">
          <cell r="I3664">
            <v>7.4</v>
          </cell>
        </row>
        <row r="3665">
          <cell r="B3665">
            <v>93</v>
          </cell>
        </row>
        <row r="3665">
          <cell r="I3665">
            <v>6.8</v>
          </cell>
        </row>
        <row r="3666">
          <cell r="B3666">
            <v>86</v>
          </cell>
        </row>
        <row r="3666">
          <cell r="I3666">
            <v>6.5</v>
          </cell>
        </row>
        <row r="3667">
          <cell r="B3667">
            <v>101</v>
          </cell>
        </row>
        <row r="3667">
          <cell r="I3667">
            <v>6</v>
          </cell>
        </row>
        <row r="3668">
          <cell r="B3668">
            <v>111</v>
          </cell>
        </row>
        <row r="3668">
          <cell r="I3668">
            <v>7.3</v>
          </cell>
        </row>
        <row r="3669">
          <cell r="B3669">
            <v>90</v>
          </cell>
        </row>
        <row r="3669">
          <cell r="I3669">
            <v>7.3</v>
          </cell>
        </row>
        <row r="3670">
          <cell r="B3670">
            <v>86</v>
          </cell>
        </row>
        <row r="3670">
          <cell r="I3670">
            <v>6.5</v>
          </cell>
        </row>
        <row r="3671">
          <cell r="B3671">
            <v>98</v>
          </cell>
        </row>
        <row r="3671">
          <cell r="I3671">
            <v>6</v>
          </cell>
        </row>
        <row r="3672">
          <cell r="B3672">
            <v>91</v>
          </cell>
        </row>
        <row r="3672">
          <cell r="I3672">
            <v>5.3</v>
          </cell>
        </row>
        <row r="3673">
          <cell r="B3673">
            <v>91</v>
          </cell>
        </row>
        <row r="3673">
          <cell r="I3673">
            <v>6.6</v>
          </cell>
        </row>
        <row r="3674">
          <cell r="B3674">
            <v>88</v>
          </cell>
        </row>
        <row r="3674">
          <cell r="I3674">
            <v>7.1</v>
          </cell>
        </row>
        <row r="3675">
          <cell r="B3675">
            <v>202</v>
          </cell>
        </row>
        <row r="3675">
          <cell r="I3675">
            <v>8.7</v>
          </cell>
        </row>
        <row r="3676">
          <cell r="B3676">
            <v>89</v>
          </cell>
        </row>
        <row r="3676">
          <cell r="I3676">
            <v>8.4</v>
          </cell>
        </row>
        <row r="3677">
          <cell r="B3677">
            <v>84</v>
          </cell>
        </row>
        <row r="3677">
          <cell r="I3677">
            <v>6.2</v>
          </cell>
        </row>
        <row r="3678">
          <cell r="B3678">
            <v>82</v>
          </cell>
        </row>
        <row r="3678">
          <cell r="I3678">
            <v>5.8</v>
          </cell>
        </row>
        <row r="3679">
          <cell r="B3679">
            <v>100</v>
          </cell>
        </row>
        <row r="3679">
          <cell r="I3679">
            <v>5.7</v>
          </cell>
        </row>
        <row r="3680">
          <cell r="B3680">
            <v>112</v>
          </cell>
        </row>
        <row r="3680">
          <cell r="I3680">
            <v>6.1</v>
          </cell>
        </row>
        <row r="3681">
          <cell r="B3681">
            <v>94</v>
          </cell>
        </row>
        <row r="3681">
          <cell r="I3681">
            <v>6.4</v>
          </cell>
        </row>
        <row r="3682">
          <cell r="B3682">
            <v>91</v>
          </cell>
        </row>
        <row r="3682">
          <cell r="I3682">
            <v>6.5</v>
          </cell>
        </row>
        <row r="3683">
          <cell r="B3683">
            <v>87</v>
          </cell>
        </row>
        <row r="3683">
          <cell r="I3683">
            <v>4.6</v>
          </cell>
        </row>
        <row r="3684">
          <cell r="B3684">
            <v>82</v>
          </cell>
        </row>
        <row r="3684">
          <cell r="I3684">
            <v>6.8</v>
          </cell>
        </row>
        <row r="3685">
          <cell r="B3685">
            <v>91</v>
          </cell>
        </row>
        <row r="3685">
          <cell r="I3685">
            <v>5.9</v>
          </cell>
        </row>
        <row r="3686">
          <cell r="B3686">
            <v>107</v>
          </cell>
        </row>
        <row r="3686">
          <cell r="I3686">
            <v>7.7</v>
          </cell>
        </row>
        <row r="3687">
          <cell r="B3687">
            <v>84</v>
          </cell>
        </row>
        <row r="3687">
          <cell r="I3687">
            <v>7.1</v>
          </cell>
        </row>
        <row r="3688">
          <cell r="B3688">
            <v>103</v>
          </cell>
        </row>
        <row r="3688">
          <cell r="I3688">
            <v>6.2</v>
          </cell>
        </row>
        <row r="3689">
          <cell r="B3689">
            <v>89</v>
          </cell>
        </row>
        <row r="3689">
          <cell r="I3689">
            <v>7.7</v>
          </cell>
        </row>
        <row r="3690">
          <cell r="B3690">
            <v>98</v>
          </cell>
        </row>
        <row r="3690">
          <cell r="I3690">
            <v>7.5</v>
          </cell>
        </row>
        <row r="3691">
          <cell r="B3691">
            <v>133</v>
          </cell>
        </row>
        <row r="3691">
          <cell r="I3691">
            <v>7.6</v>
          </cell>
        </row>
        <row r="3692">
          <cell r="B3692">
            <v>92</v>
          </cell>
        </row>
        <row r="3692">
          <cell r="I3692">
            <v>6.9</v>
          </cell>
        </row>
        <row r="3693">
          <cell r="B3693">
            <v>90</v>
          </cell>
        </row>
        <row r="3693">
          <cell r="I3693">
            <v>7.1</v>
          </cell>
        </row>
        <row r="3694">
          <cell r="B3694">
            <v>84</v>
          </cell>
        </row>
        <row r="3694">
          <cell r="I3694">
            <v>6.3</v>
          </cell>
        </row>
        <row r="3695">
          <cell r="B3695">
            <v>91</v>
          </cell>
        </row>
        <row r="3695">
          <cell r="I3695">
            <v>8.3</v>
          </cell>
        </row>
        <row r="3696">
          <cell r="B3696">
            <v>90</v>
          </cell>
        </row>
        <row r="3696">
          <cell r="I3696">
            <v>7.1</v>
          </cell>
        </row>
        <row r="3697">
          <cell r="B3697">
            <v>96</v>
          </cell>
        </row>
        <row r="3697">
          <cell r="I3697">
            <v>4.7</v>
          </cell>
        </row>
        <row r="3698">
          <cell r="B3698">
            <v>88</v>
          </cell>
        </row>
        <row r="3698">
          <cell r="I3698">
            <v>7.2</v>
          </cell>
        </row>
        <row r="3699">
          <cell r="B3699">
            <v>92</v>
          </cell>
        </row>
        <row r="3699">
          <cell r="I3699">
            <v>5.1</v>
          </cell>
        </row>
        <row r="3700">
          <cell r="B3700">
            <v>82</v>
          </cell>
        </row>
        <row r="3700">
          <cell r="I3700">
            <v>6.9</v>
          </cell>
        </row>
        <row r="3701">
          <cell r="B3701">
            <v>101</v>
          </cell>
        </row>
        <row r="3701">
          <cell r="I3701">
            <v>6.1</v>
          </cell>
        </row>
        <row r="3702">
          <cell r="B3702">
            <v>86</v>
          </cell>
        </row>
        <row r="3702">
          <cell r="I3702">
            <v>7</v>
          </cell>
        </row>
        <row r="3703">
          <cell r="B3703">
            <v>100</v>
          </cell>
        </row>
        <row r="3703">
          <cell r="I3703">
            <v>6.3</v>
          </cell>
        </row>
        <row r="3704">
          <cell r="B3704">
            <v>89</v>
          </cell>
        </row>
        <row r="3704">
          <cell r="I3704">
            <v>6.1</v>
          </cell>
        </row>
        <row r="3705">
          <cell r="B3705">
            <v>84</v>
          </cell>
        </row>
        <row r="3705">
          <cell r="I3705">
            <v>7.2</v>
          </cell>
        </row>
        <row r="3706">
          <cell r="B3706">
            <v>88</v>
          </cell>
        </row>
        <row r="3706">
          <cell r="I3706">
            <v>7.8</v>
          </cell>
        </row>
        <row r="3707">
          <cell r="B3707">
            <v>90</v>
          </cell>
        </row>
        <row r="3707">
          <cell r="I3707">
            <v>4.7</v>
          </cell>
        </row>
        <row r="3708">
          <cell r="B3708">
            <v>102</v>
          </cell>
        </row>
        <row r="3708">
          <cell r="I3708">
            <v>6.7</v>
          </cell>
        </row>
        <row r="3709">
          <cell r="B3709">
            <v>98</v>
          </cell>
        </row>
        <row r="3709">
          <cell r="I3709">
            <v>6.6</v>
          </cell>
        </row>
        <row r="3710">
          <cell r="B3710">
            <v>91</v>
          </cell>
        </row>
        <row r="3710">
          <cell r="I3710">
            <v>6.9</v>
          </cell>
        </row>
        <row r="3711">
          <cell r="B3711">
            <v>80</v>
          </cell>
        </row>
        <row r="3711">
          <cell r="I3711">
            <v>7.1</v>
          </cell>
        </row>
        <row r="3712">
          <cell r="B3712">
            <v>76</v>
          </cell>
        </row>
        <row r="3712">
          <cell r="I3712">
            <v>6.7</v>
          </cell>
        </row>
        <row r="3713">
          <cell r="B3713">
            <v>80</v>
          </cell>
        </row>
        <row r="3713">
          <cell r="I3713">
            <v>7.1</v>
          </cell>
        </row>
        <row r="3714">
          <cell r="B3714">
            <v>102</v>
          </cell>
        </row>
        <row r="3714">
          <cell r="I3714">
            <v>7.6</v>
          </cell>
        </row>
        <row r="3715">
          <cell r="B3715">
            <v>95</v>
          </cell>
        </row>
        <row r="3715">
          <cell r="I3715">
            <v>8.1</v>
          </cell>
        </row>
        <row r="3716">
          <cell r="B3716">
            <v>94</v>
          </cell>
        </row>
        <row r="3716">
          <cell r="I3716">
            <v>5.5</v>
          </cell>
        </row>
        <row r="3717">
          <cell r="B3717">
            <v>109</v>
          </cell>
        </row>
        <row r="3717">
          <cell r="I3717">
            <v>6.6</v>
          </cell>
        </row>
        <row r="3718">
          <cell r="B3718">
            <v>95</v>
          </cell>
        </row>
        <row r="3718">
          <cell r="I3718">
            <v>4.8</v>
          </cell>
        </row>
        <row r="3719">
          <cell r="B3719">
            <v>90</v>
          </cell>
        </row>
        <row r="3719">
          <cell r="I3719">
            <v>6.4</v>
          </cell>
        </row>
        <row r="3720">
          <cell r="B3720">
            <v>113</v>
          </cell>
        </row>
        <row r="3720">
          <cell r="I3720">
            <v>7.3</v>
          </cell>
        </row>
        <row r="3721">
          <cell r="B3721">
            <v>91</v>
          </cell>
        </row>
        <row r="3721">
          <cell r="I3721">
            <v>6.9</v>
          </cell>
        </row>
        <row r="3722">
          <cell r="B3722">
            <v>98</v>
          </cell>
        </row>
        <row r="3722">
          <cell r="I3722">
            <v>7.2</v>
          </cell>
        </row>
        <row r="3723">
          <cell r="B3723">
            <v>94</v>
          </cell>
        </row>
        <row r="3723">
          <cell r="I3723">
            <v>6.5</v>
          </cell>
        </row>
        <row r="3724">
          <cell r="B3724">
            <v>96</v>
          </cell>
        </row>
        <row r="3724">
          <cell r="I3724">
            <v>6.6</v>
          </cell>
        </row>
        <row r="3725">
          <cell r="B3725">
            <v>100</v>
          </cell>
        </row>
        <row r="3725">
          <cell r="I3725">
            <v>6.7</v>
          </cell>
        </row>
        <row r="3726">
          <cell r="B3726">
            <v>90</v>
          </cell>
        </row>
        <row r="3726">
          <cell r="I3726">
            <v>7.3</v>
          </cell>
        </row>
        <row r="3727">
          <cell r="B3727">
            <v>76</v>
          </cell>
        </row>
        <row r="3727">
          <cell r="I3727">
            <v>6.4</v>
          </cell>
        </row>
        <row r="3728">
          <cell r="B3728">
            <v>75</v>
          </cell>
        </row>
        <row r="3728">
          <cell r="I3728">
            <v>7</v>
          </cell>
        </row>
        <row r="3729">
          <cell r="B3729">
            <v>78</v>
          </cell>
        </row>
        <row r="3729">
          <cell r="I3729">
            <v>5.5</v>
          </cell>
        </row>
        <row r="3730">
          <cell r="B3730">
            <v>90</v>
          </cell>
        </row>
        <row r="3730">
          <cell r="I3730">
            <v>6.7</v>
          </cell>
        </row>
        <row r="3731">
          <cell r="B3731">
            <v>92</v>
          </cell>
        </row>
        <row r="3731">
          <cell r="I3731">
            <v>6.1</v>
          </cell>
        </row>
        <row r="3732">
          <cell r="B3732">
            <v>99</v>
          </cell>
        </row>
        <row r="3732">
          <cell r="I3732">
            <v>3.9</v>
          </cell>
        </row>
        <row r="3733">
          <cell r="B3733">
            <v>81</v>
          </cell>
        </row>
        <row r="3733">
          <cell r="I3733">
            <v>6.3</v>
          </cell>
        </row>
        <row r="3734">
          <cell r="B3734">
            <v>86</v>
          </cell>
        </row>
        <row r="3734">
          <cell r="I3734">
            <v>7.5</v>
          </cell>
        </row>
        <row r="3735">
          <cell r="B3735">
            <v>106</v>
          </cell>
        </row>
        <row r="3735">
          <cell r="I3735">
            <v>7</v>
          </cell>
        </row>
        <row r="3736">
          <cell r="B3736">
            <v>80</v>
          </cell>
        </row>
        <row r="3736">
          <cell r="I3736">
            <v>6.7</v>
          </cell>
        </row>
        <row r="3737">
          <cell r="B3737">
            <v>96</v>
          </cell>
        </row>
        <row r="3737">
          <cell r="I3737">
            <v>7.4</v>
          </cell>
        </row>
        <row r="3738">
          <cell r="B3738">
            <v>99</v>
          </cell>
        </row>
        <row r="3738">
          <cell r="I3738">
            <v>8</v>
          </cell>
        </row>
        <row r="3739">
          <cell r="B3739">
            <v>85</v>
          </cell>
        </row>
        <row r="3739">
          <cell r="I3739">
            <v>7.2</v>
          </cell>
        </row>
        <row r="3740">
          <cell r="B3740">
            <v>101</v>
          </cell>
        </row>
        <row r="3740">
          <cell r="I3740">
            <v>6.4</v>
          </cell>
        </row>
        <row r="3741">
          <cell r="B3741">
            <v>97</v>
          </cell>
        </row>
        <row r="3741">
          <cell r="I3741">
            <v>6.5</v>
          </cell>
        </row>
        <row r="3742">
          <cell r="B3742">
            <v>103</v>
          </cell>
        </row>
        <row r="3742">
          <cell r="I3742">
            <v>6.9</v>
          </cell>
        </row>
        <row r="3743">
          <cell r="B3743">
            <v>86</v>
          </cell>
        </row>
        <row r="3743">
          <cell r="I3743">
            <v>7.5</v>
          </cell>
        </row>
        <row r="3744">
          <cell r="B3744">
            <v>106</v>
          </cell>
        </row>
        <row r="3744">
          <cell r="I3744">
            <v>7.7</v>
          </cell>
        </row>
        <row r="3745">
          <cell r="B3745">
            <v>89</v>
          </cell>
        </row>
        <row r="3745">
          <cell r="I3745">
            <v>8.5</v>
          </cell>
        </row>
        <row r="3746">
          <cell r="B3746">
            <v>97</v>
          </cell>
        </row>
        <row r="3746">
          <cell r="I3746">
            <v>7.7</v>
          </cell>
        </row>
        <row r="3747">
          <cell r="B3747">
            <v>88</v>
          </cell>
        </row>
        <row r="3747">
          <cell r="I3747">
            <v>6.5</v>
          </cell>
        </row>
        <row r="3748">
          <cell r="B3748">
            <v>92</v>
          </cell>
        </row>
        <row r="3748">
          <cell r="I3748">
            <v>7</v>
          </cell>
        </row>
        <row r="3749">
          <cell r="B3749">
            <v>97</v>
          </cell>
        </row>
        <row r="3749">
          <cell r="I3749">
            <v>5.5</v>
          </cell>
        </row>
        <row r="3750">
          <cell r="B3750">
            <v>78</v>
          </cell>
        </row>
        <row r="3750">
          <cell r="I3750">
            <v>6.3</v>
          </cell>
        </row>
        <row r="3751">
          <cell r="B3751">
            <v>85</v>
          </cell>
        </row>
        <row r="3751">
          <cell r="I3751">
            <v>7.9</v>
          </cell>
        </row>
        <row r="3752">
          <cell r="B3752">
            <v>88</v>
          </cell>
        </row>
        <row r="3752">
          <cell r="I3752">
            <v>7.3</v>
          </cell>
        </row>
        <row r="3753">
          <cell r="B3753">
            <v>93</v>
          </cell>
        </row>
        <row r="3753">
          <cell r="I3753">
            <v>7.4</v>
          </cell>
        </row>
        <row r="3754">
          <cell r="B3754">
            <v>72</v>
          </cell>
        </row>
        <row r="3754">
          <cell r="I3754">
            <v>7</v>
          </cell>
        </row>
        <row r="3755">
          <cell r="B3755">
            <v>80</v>
          </cell>
        </row>
        <row r="3755">
          <cell r="I3755">
            <v>7.1</v>
          </cell>
        </row>
        <row r="3756">
          <cell r="B3756">
            <v>91</v>
          </cell>
        </row>
        <row r="3756">
          <cell r="I3756">
            <v>7.5</v>
          </cell>
        </row>
        <row r="3757">
          <cell r="B3757">
            <v>90</v>
          </cell>
        </row>
        <row r="3757">
          <cell r="I3757">
            <v>6.7</v>
          </cell>
        </row>
        <row r="3758">
          <cell r="B3758">
            <v>111</v>
          </cell>
        </row>
        <row r="3758">
          <cell r="I3758">
            <v>6.7</v>
          </cell>
        </row>
        <row r="3759">
          <cell r="B3759">
            <v>81</v>
          </cell>
        </row>
        <row r="3759">
          <cell r="I3759">
            <v>4.2</v>
          </cell>
        </row>
        <row r="3760">
          <cell r="B3760">
            <v>81</v>
          </cell>
        </row>
        <row r="3760">
          <cell r="I3760">
            <v>7</v>
          </cell>
        </row>
        <row r="3761">
          <cell r="B3761">
            <v>90</v>
          </cell>
        </row>
        <row r="3761">
          <cell r="I3761">
            <v>7</v>
          </cell>
        </row>
        <row r="3762">
          <cell r="B3762">
            <v>88</v>
          </cell>
        </row>
        <row r="3762">
          <cell r="I3762">
            <v>6.8</v>
          </cell>
        </row>
        <row r="3763">
          <cell r="B3763">
            <v>84</v>
          </cell>
        </row>
        <row r="3763">
          <cell r="I3763">
            <v>7.5</v>
          </cell>
        </row>
        <row r="3764">
          <cell r="B3764">
            <v>87</v>
          </cell>
        </row>
        <row r="3764">
          <cell r="I3764">
            <v>5.3</v>
          </cell>
        </row>
        <row r="3765">
          <cell r="B3765">
            <v>100</v>
          </cell>
        </row>
        <row r="3765">
          <cell r="I3765">
            <v>7.3</v>
          </cell>
        </row>
        <row r="3766">
          <cell r="B3766">
            <v>82</v>
          </cell>
        </row>
        <row r="3766">
          <cell r="I3766">
            <v>5.6</v>
          </cell>
        </row>
        <row r="3767">
          <cell r="B3767">
            <v>82</v>
          </cell>
        </row>
        <row r="3767">
          <cell r="I3767">
            <v>5.6</v>
          </cell>
        </row>
        <row r="3768">
          <cell r="B3768">
            <v>98</v>
          </cell>
        </row>
        <row r="3768">
          <cell r="I3768">
            <v>6.6</v>
          </cell>
        </row>
        <row r="3769">
          <cell r="B3769">
            <v>98</v>
          </cell>
        </row>
        <row r="3769">
          <cell r="I3769">
            <v>6.3</v>
          </cell>
        </row>
        <row r="3770">
          <cell r="B3770">
            <v>90</v>
          </cell>
        </row>
        <row r="3770">
          <cell r="I3770">
            <v>7.5</v>
          </cell>
        </row>
        <row r="3771">
          <cell r="B3771">
            <v>90</v>
          </cell>
        </row>
        <row r="3771">
          <cell r="I3771">
            <v>7.6</v>
          </cell>
        </row>
        <row r="3772">
          <cell r="B3772">
            <v>78</v>
          </cell>
        </row>
        <row r="3772">
          <cell r="I3772">
            <v>4.1</v>
          </cell>
        </row>
        <row r="3773">
          <cell r="B3773">
            <v>102</v>
          </cell>
        </row>
        <row r="3773">
          <cell r="I3773">
            <v>7.8</v>
          </cell>
        </row>
        <row r="3774">
          <cell r="B3774">
            <v>65</v>
          </cell>
        </row>
        <row r="3774">
          <cell r="I3774">
            <v>6.7</v>
          </cell>
        </row>
        <row r="3775">
          <cell r="B3775">
            <v>97</v>
          </cell>
        </row>
        <row r="3775">
          <cell r="I3775">
            <v>7.3</v>
          </cell>
        </row>
        <row r="3776">
          <cell r="B3776">
            <v>100</v>
          </cell>
        </row>
        <row r="3776">
          <cell r="I3776">
            <v>7.1</v>
          </cell>
        </row>
        <row r="3777">
          <cell r="B3777">
            <v>85</v>
          </cell>
        </row>
        <row r="3777">
          <cell r="I3777">
            <v>6.6</v>
          </cell>
        </row>
        <row r="3778">
          <cell r="B3778">
            <v>88</v>
          </cell>
        </row>
        <row r="3778">
          <cell r="I3778">
            <v>6.2</v>
          </cell>
        </row>
        <row r="3779">
          <cell r="B3779">
            <v>108</v>
          </cell>
        </row>
        <row r="3779">
          <cell r="I3779">
            <v>6.1</v>
          </cell>
        </row>
        <row r="3780">
          <cell r="B3780">
            <v>110</v>
          </cell>
        </row>
        <row r="3780">
          <cell r="I3780">
            <v>6.9</v>
          </cell>
        </row>
        <row r="3781">
          <cell r="B3781">
            <v>90</v>
          </cell>
        </row>
        <row r="3781">
          <cell r="I3781">
            <v>7.5</v>
          </cell>
        </row>
        <row r="3782">
          <cell r="B3782">
            <v>111</v>
          </cell>
        </row>
        <row r="3782">
          <cell r="I3782">
            <v>7.4</v>
          </cell>
        </row>
        <row r="3783">
          <cell r="B3783">
            <v>77</v>
          </cell>
        </row>
        <row r="3783">
          <cell r="I3783">
            <v>7</v>
          </cell>
        </row>
        <row r="3784">
          <cell r="B3784">
            <v>80</v>
          </cell>
        </row>
        <row r="3784">
          <cell r="I3784">
            <v>6.3</v>
          </cell>
        </row>
        <row r="3785">
          <cell r="B3785">
            <v>81</v>
          </cell>
        </row>
        <row r="3785">
          <cell r="I3785">
            <v>6.9</v>
          </cell>
        </row>
        <row r="3786">
          <cell r="B3786">
            <v>95</v>
          </cell>
        </row>
        <row r="3786">
          <cell r="I3786">
            <v>6.4</v>
          </cell>
        </row>
        <row r="3787">
          <cell r="B3787">
            <v>90</v>
          </cell>
        </row>
        <row r="3787">
          <cell r="I3787">
            <v>6.6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3" displayName="Table3" ref="U6:AC23" totalsRowShown="0">
  <autoFilter ref="U6:AC23"/>
  <tableColumns count="9">
    <tableColumn id="1" name="genres_unique" dataDxfId="0"/>
    <tableColumn id="2" name="genre_count" dataDxfId="1"/>
    <tableColumn id="3" name="mean" dataDxfId="2">
      <calculatedColumnFormula>AVERAGEIF($E$2:$L$3787,U7,$Q$2:$Q$3787)</calculatedColumnFormula>
    </tableColumn>
    <tableColumn id="4" name="median" dataDxfId="3">
      <calculatedColumnFormula array="1">MEDIAN(IF($E$2:$L$3787=U7,$Q$2:$Q$3787))</calculatedColumnFormula>
    </tableColumn>
    <tableColumn id="5" name="mode" dataDxfId="4">
      <calculatedColumnFormula array="1">MODE(IF($E$2:$L$3787=U7,$Q$2:$Q$3787))</calculatedColumnFormula>
    </tableColumn>
    <tableColumn id="6" name="max_imdb" dataDxfId="5"/>
    <tableColumn id="7" name="min_imdb" dataDxfId="6"/>
    <tableColumn id="8" name="stdDev_imdb" dataDxfId="7"/>
    <tableColumn id="9" name="Var_imdb" dataDxfId="8"/>
  </tableColumns>
  <tableStyleInfo name="TableStylePreset4_Accent1" showFirstColumn="0" showLastColumn="0" showRowStripes="1" showColumnStripes="0"/>
</table>
</file>

<file path=xl/tables/table2.xml><?xml version="1.0" encoding="utf-8"?>
<table xmlns="http://schemas.openxmlformats.org/spreadsheetml/2006/main" id="4" name="Table_45" displayName="Table_45" ref="U37:V42" totalsRowShown="0">
  <autoFilter ref="U37:V42"/>
  <tableColumns count="2">
    <tableColumn id="1" name="Operation" dataDxfId="9"/>
    <tableColumn id="2" name="Value" dataDxfId="10"/>
  </tableColumns>
  <tableStyleInfo name="TableStylePreset4_Accen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70:Z108" totalsRowShown="0">
  <autoFilter ref="U70:Z108"/>
  <tableColumns count="6">
    <tableColumn id="1" name="Language" dataDxfId="11"/>
    <tableColumn id="2" name="movie_count" dataDxfId="12">
      <calculatedColumnFormula>COUNTIF(N$2:N$3787,U71)</calculatedColumnFormula>
    </tableColumn>
    <tableColumn id="3" name="avg_imdb" dataDxfId="13">
      <calculatedColumnFormula>AVERAGEIF(N2:N3787,U71,Q2:Q3787)</calculatedColumnFormula>
    </tableColumn>
    <tableColumn id="4" name="median_imdb" dataDxfId="14">
      <calculatedColumnFormula array="1">MEDIAN(IF(ISNUMBER(SEARCH("*"&amp;U71&amp;"*",N$2:N$3787)),Q$2:Q$3787))</calculatedColumnFormula>
    </tableColumn>
    <tableColumn id="5" name="var_imdb" dataDxfId="15">
      <calculatedColumnFormula array="1">VAR(IF(ISNUMBER(SEARCH("*"&amp;U71&amp;"*",N$2:N$3787)),Q$2:Q$3787))</calculatedColumnFormula>
    </tableColumn>
    <tableColumn id="6" name="StdDev_imdb" dataDxfId="16">
      <calculatedColumnFormula array="1">STDEV(IF(ISNUMBER(SEARCH("*"&amp;U71&amp;"*",N$2:N$3787)),Q$2:Q$3787))</calculatedColumnFormula>
    </tableColumn>
  </tableColumns>
  <tableStyleInfo name="TableStylePreset4_Accent1" showFirstColumn="0" showLastColumn="0" showRowStripes="1" showColumnStripes="0"/>
</table>
</file>

<file path=xl/tables/table4.xml><?xml version="1.0" encoding="utf-8"?>
<table xmlns="http://schemas.openxmlformats.org/spreadsheetml/2006/main" id="3" name="Table_4" displayName="Table_4" ref="U117:X1868" totalsRowShown="0">
  <autoFilter ref="U117:X1868"/>
  <tableColumns count="4">
    <tableColumn id="1" name="director_name" dataDxfId="17"/>
    <tableColumn id="2" name="avg_imdb" dataDxfId="18">
      <calculatedColumnFormula>AVERAGEIF(A2:A3787,U118,Q3:Q3787)</calculatedColumnFormula>
    </tableColumn>
    <tableColumn id="3" name="90th percentile" dataDxfId="19"/>
    <tableColumn id="4" name="number of movies of the director &gt; 7.5 imdb score" dataDxfId="20"/>
  </tableColumns>
  <tableStyleInfo name="TableStylePreset4_Accen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D117:AG3902" totalsRowShown="0">
  <autoFilter ref="AD117:AG3902"/>
  <tableColumns count="4">
    <tableColumn id="1" name="Movie_Title" dataDxfId="21"/>
    <tableColumn id="2" name="profit_margin" dataDxfId="22">
      <calculatedColumnFormula>C2-B2</calculatedColumnFormula>
    </tableColumn>
    <tableColumn id="3" name="highest profit margin" dataDxfId="23"/>
    <tableColumn id="4" name="correl" dataDxfId="24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903"/>
  <sheetViews>
    <sheetView tabSelected="1" zoomScale="40" zoomScaleNormal="40" topLeftCell="R116" workbookViewId="0">
      <selection activeCell="P1" sqref="P$1:P$1048576"/>
    </sheetView>
  </sheetViews>
  <sheetFormatPr defaultColWidth="12.6272727272727" defaultRowHeight="15.75" customHeight="1"/>
  <cols>
    <col min="1" max="1" width="27" customWidth="1"/>
    <col min="2" max="2" width="8.72727272727273" customWidth="1"/>
    <col min="3" max="3" width="9.38181818181818" customWidth="1"/>
    <col min="4" max="5" width="53.5" customWidth="1"/>
    <col min="13" max="13" width="14.8181818181818" customWidth="1"/>
    <col min="14" max="14" width="9.75454545454545" customWidth="1"/>
    <col min="15" max="15" width="12.6272727272727" customWidth="1"/>
    <col min="16" max="16" width="12.8181818181818" customWidth="1"/>
    <col min="17" max="17" width="11.8181818181818" customWidth="1"/>
    <col min="18" max="18" width="76.8181818181818" customWidth="1"/>
    <col min="19" max="19" width="53.5" customWidth="1"/>
    <col min="21" max="21" width="17.5454545454545" customWidth="1"/>
    <col min="22" max="22" width="12.8181818181818"/>
    <col min="23" max="23" width="14.8181818181818" customWidth="1"/>
    <col min="24" max="24" width="45.4545454545455" customWidth="1"/>
    <col min="25" max="25" width="12.8181818181818" customWidth="1"/>
    <col min="26" max="26" width="12.8181818181818"/>
    <col min="28" max="28" width="13.0909090909091" customWidth="1"/>
    <col min="29" max="29" width="12.8181818181818" customWidth="1"/>
    <col min="30" max="30" width="76.8181818181818" customWidth="1"/>
    <col min="32" max="32" width="20.8181818181818" customWidth="1"/>
    <col min="33" max="33" width="12.8181818181818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M1" s="3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/>
    </row>
    <row r="2" customHeight="1" spans="1:19">
      <c r="A2" s="2" t="s">
        <v>10</v>
      </c>
      <c r="B2" s="2">
        <v>178</v>
      </c>
      <c r="C2" s="2">
        <v>760505847</v>
      </c>
      <c r="D2" s="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  <c r="K2" t="s">
        <v>17</v>
      </c>
      <c r="L2" t="s">
        <v>17</v>
      </c>
      <c r="M2" t="s">
        <v>12</v>
      </c>
      <c r="N2" s="2" t="s">
        <v>18</v>
      </c>
      <c r="O2" s="2" t="s">
        <v>19</v>
      </c>
      <c r="P2" s="2">
        <v>237000000</v>
      </c>
      <c r="Q2" s="2">
        <v>7.9</v>
      </c>
      <c r="R2" s="2" t="s">
        <v>20</v>
      </c>
      <c r="S2" s="2"/>
    </row>
    <row r="3" customHeight="1" spans="1:19">
      <c r="A3" s="2" t="s">
        <v>21</v>
      </c>
      <c r="B3" s="2">
        <v>169</v>
      </c>
      <c r="C3" s="2">
        <v>309404152</v>
      </c>
      <c r="D3" s="2" t="s">
        <v>22</v>
      </c>
      <c r="E3" s="2" t="s">
        <v>12</v>
      </c>
      <c r="F3" t="s">
        <v>13</v>
      </c>
      <c r="G3" t="s">
        <v>14</v>
      </c>
      <c r="H3" t="s">
        <v>23</v>
      </c>
      <c r="I3" t="s">
        <v>14</v>
      </c>
      <c r="J3" t="s">
        <v>15</v>
      </c>
      <c r="K3" t="s">
        <v>15</v>
      </c>
      <c r="L3" t="s">
        <v>24</v>
      </c>
      <c r="M3" t="s">
        <v>13</v>
      </c>
      <c r="N3" s="2" t="s">
        <v>18</v>
      </c>
      <c r="O3" s="2" t="s">
        <v>19</v>
      </c>
      <c r="P3" s="2">
        <v>300000000</v>
      </c>
      <c r="Q3" s="2">
        <v>7.1</v>
      </c>
      <c r="R3" s="2" t="s">
        <v>25</v>
      </c>
      <c r="S3" s="2"/>
    </row>
    <row r="4" customHeight="1" spans="1:19">
      <c r="A4" s="2" t="s">
        <v>26</v>
      </c>
      <c r="B4" s="2">
        <v>148</v>
      </c>
      <c r="C4" s="2">
        <v>200074175</v>
      </c>
      <c r="D4" s="2" t="s">
        <v>27</v>
      </c>
      <c r="E4" s="2" t="s">
        <v>12</v>
      </c>
      <c r="F4" t="s">
        <v>13</v>
      </c>
      <c r="G4" t="s">
        <v>24</v>
      </c>
      <c r="H4" t="s">
        <v>28</v>
      </c>
      <c r="I4" t="s">
        <v>24</v>
      </c>
      <c r="J4" t="s">
        <v>15</v>
      </c>
      <c r="K4" t="s">
        <v>29</v>
      </c>
      <c r="L4" t="s">
        <v>24</v>
      </c>
      <c r="M4" t="s">
        <v>30</v>
      </c>
      <c r="N4" s="2" t="s">
        <v>18</v>
      </c>
      <c r="O4" s="2" t="s">
        <v>31</v>
      </c>
      <c r="P4" s="2">
        <v>245000000</v>
      </c>
      <c r="Q4" s="2">
        <v>6.8</v>
      </c>
      <c r="R4" s="2" t="s">
        <v>32</v>
      </c>
      <c r="S4" s="2"/>
    </row>
    <row r="5" customHeight="1" spans="1:19">
      <c r="A5" s="2" t="s">
        <v>33</v>
      </c>
      <c r="B5" s="2">
        <v>164</v>
      </c>
      <c r="C5" s="2">
        <v>448130642</v>
      </c>
      <c r="D5" s="2" t="s">
        <v>34</v>
      </c>
      <c r="E5" s="2" t="s">
        <v>12</v>
      </c>
      <c r="F5" t="s">
        <v>24</v>
      </c>
      <c r="G5" t="s">
        <v>15</v>
      </c>
      <c r="H5" t="s">
        <v>15</v>
      </c>
      <c r="I5" t="s">
        <v>14</v>
      </c>
      <c r="J5" t="s">
        <v>14</v>
      </c>
      <c r="K5" t="s">
        <v>15</v>
      </c>
      <c r="M5" t="s">
        <v>35</v>
      </c>
      <c r="N5" s="2" t="s">
        <v>18</v>
      </c>
      <c r="O5" s="2" t="s">
        <v>19</v>
      </c>
      <c r="P5" s="2">
        <v>250000000</v>
      </c>
      <c r="Q5" s="2">
        <v>8.5</v>
      </c>
      <c r="R5" s="2" t="s">
        <v>36</v>
      </c>
      <c r="S5" s="2"/>
    </row>
    <row r="6" customHeight="1" spans="1:29">
      <c r="A6" s="2" t="s">
        <v>37</v>
      </c>
      <c r="B6" s="2">
        <v>132</v>
      </c>
      <c r="C6" s="2">
        <v>73058679</v>
      </c>
      <c r="D6" s="2" t="s">
        <v>38</v>
      </c>
      <c r="E6" s="2" t="s">
        <v>12</v>
      </c>
      <c r="F6" t="s">
        <v>13</v>
      </c>
      <c r="G6" t="s">
        <v>17</v>
      </c>
      <c r="H6" t="s">
        <v>14</v>
      </c>
      <c r="I6" t="s">
        <v>39</v>
      </c>
      <c r="J6" t="s">
        <v>23</v>
      </c>
      <c r="K6" t="s">
        <v>15</v>
      </c>
      <c r="M6" t="s">
        <v>40</v>
      </c>
      <c r="N6" s="2" t="s">
        <v>18</v>
      </c>
      <c r="O6" s="2" t="s">
        <v>19</v>
      </c>
      <c r="P6" s="2">
        <v>263700000</v>
      </c>
      <c r="Q6" s="2">
        <v>6.6</v>
      </c>
      <c r="R6" s="2" t="s">
        <v>41</v>
      </c>
      <c r="S6" s="2"/>
      <c r="U6" s="3" t="s">
        <v>4</v>
      </c>
      <c r="V6" s="1" t="s">
        <v>42</v>
      </c>
      <c r="W6" s="1" t="s">
        <v>43</v>
      </c>
      <c r="X6" s="1" t="s">
        <v>44</v>
      </c>
      <c r="Y6" s="1" t="s">
        <v>45</v>
      </c>
      <c r="Z6" s="3" t="s">
        <v>46</v>
      </c>
      <c r="AA6" s="3" t="s">
        <v>47</v>
      </c>
      <c r="AB6" s="3" t="s">
        <v>48</v>
      </c>
      <c r="AC6" s="3" t="s">
        <v>49</v>
      </c>
    </row>
    <row r="7" customHeight="1" spans="1:29">
      <c r="A7" s="2" t="s">
        <v>50</v>
      </c>
      <c r="B7" s="2">
        <v>156</v>
      </c>
      <c r="C7" s="2">
        <v>336530303</v>
      </c>
      <c r="D7" s="2" t="s">
        <v>51</v>
      </c>
      <c r="E7" s="2" t="s">
        <v>12</v>
      </c>
      <c r="F7" t="s">
        <v>13</v>
      </c>
      <c r="G7" t="s">
        <v>40</v>
      </c>
      <c r="H7" t="s">
        <v>23</v>
      </c>
      <c r="I7" t="s">
        <v>14</v>
      </c>
      <c r="J7" t="s">
        <v>17</v>
      </c>
      <c r="K7" t="s">
        <v>15</v>
      </c>
      <c r="M7" t="s">
        <v>28</v>
      </c>
      <c r="N7" s="2" t="s">
        <v>18</v>
      </c>
      <c r="O7" s="2" t="s">
        <v>19</v>
      </c>
      <c r="P7" s="2">
        <v>258000000</v>
      </c>
      <c r="Q7" s="2">
        <v>6.2</v>
      </c>
      <c r="R7" s="2" t="s">
        <v>52</v>
      </c>
      <c r="S7" s="2"/>
      <c r="U7" t="s">
        <v>12</v>
      </c>
      <c r="V7" s="2">
        <f>COUNTIF($E$2:$L$3787,"Action")</f>
        <v>935</v>
      </c>
      <c r="W7" s="2">
        <f ca="1">AVERAGEIF($E$2:$L$3787,U7,$Q$2:$Q$3787)</f>
        <v>6.28598930481284</v>
      </c>
      <c r="X7" s="2" cm="1">
        <f t="array" ref="X7">MEDIAN(IF($E$2:$L$3787=U7,$Q$2:$Q$3787))</f>
        <v>6.3</v>
      </c>
      <c r="Y7" s="2" cm="1">
        <f t="array" ref="Y7">MODE(IF($E$2:$L$3787=U7,$Q$2:$Q$3787))</f>
        <v>6.6</v>
      </c>
      <c r="Z7">
        <v>9</v>
      </c>
      <c r="AA7">
        <v>2.1</v>
      </c>
      <c r="AB7">
        <v>1.038357736</v>
      </c>
      <c r="AC7">
        <v>1.078186788</v>
      </c>
    </row>
    <row r="8" customHeight="1" spans="1:29">
      <c r="A8" s="2" t="s">
        <v>53</v>
      </c>
      <c r="B8" s="2">
        <v>100</v>
      </c>
      <c r="C8" s="2">
        <v>200807262</v>
      </c>
      <c r="D8" s="2" t="s">
        <v>54</v>
      </c>
      <c r="E8" s="2" t="s">
        <v>13</v>
      </c>
      <c r="F8" t="s">
        <v>35</v>
      </c>
      <c r="G8" t="s">
        <v>15</v>
      </c>
      <c r="H8" t="s">
        <v>55</v>
      </c>
      <c r="I8" t="s">
        <v>24</v>
      </c>
      <c r="J8" t="s">
        <v>16</v>
      </c>
      <c r="K8" t="s">
        <v>39</v>
      </c>
      <c r="M8" t="s">
        <v>56</v>
      </c>
      <c r="N8" s="2" t="s">
        <v>18</v>
      </c>
      <c r="O8" s="2" t="s">
        <v>19</v>
      </c>
      <c r="P8" s="2">
        <v>260000000</v>
      </c>
      <c r="Q8" s="2">
        <v>7.8</v>
      </c>
      <c r="R8" s="2" t="s">
        <v>57</v>
      </c>
      <c r="S8" s="2"/>
      <c r="U8" t="s">
        <v>13</v>
      </c>
      <c r="V8" s="2">
        <f>COUNTIF($E$2:$L$3787,"Adventure")</f>
        <v>766</v>
      </c>
      <c r="W8" s="2">
        <f ca="1">AVERAGEIF($E$2:$L$3787,U8,$Q$2:$Q$3787)</f>
        <v>6.56130790190736</v>
      </c>
      <c r="X8" s="2" cm="1">
        <f t="array" ref="X8">MEDIAN(IF($E$2:$L$3787=U8,$Q$2:$Q$3787))</f>
        <v>6.6</v>
      </c>
      <c r="Y8" s="2" cm="1">
        <f t="array" ref="Y8">MODE(IF($E$2:$L$3787=U8,$Q$2:$Q$3787))</f>
        <v>6.6</v>
      </c>
      <c r="Z8">
        <v>8.9</v>
      </c>
      <c r="AA8">
        <v>2.3</v>
      </c>
      <c r="AB8">
        <v>1.116926308</v>
      </c>
      <c r="AC8">
        <v>1.247524378</v>
      </c>
    </row>
    <row r="9" customHeight="1" spans="1:29">
      <c r="A9" s="2" t="s">
        <v>58</v>
      </c>
      <c r="B9" s="2">
        <v>141</v>
      </c>
      <c r="C9" s="2">
        <v>458991599</v>
      </c>
      <c r="D9" s="2" t="s">
        <v>38</v>
      </c>
      <c r="E9" s="2" t="s">
        <v>12</v>
      </c>
      <c r="F9" t="s">
        <v>13</v>
      </c>
      <c r="G9" t="s">
        <v>14</v>
      </c>
      <c r="H9" t="s">
        <v>17</v>
      </c>
      <c r="I9" t="s">
        <v>24</v>
      </c>
      <c r="J9" t="s">
        <v>14</v>
      </c>
      <c r="K9" t="s">
        <v>14</v>
      </c>
      <c r="M9" t="s">
        <v>59</v>
      </c>
      <c r="N9" s="2" t="s">
        <v>18</v>
      </c>
      <c r="O9" s="2" t="s">
        <v>19</v>
      </c>
      <c r="P9" s="2">
        <v>250000000</v>
      </c>
      <c r="Q9" s="2">
        <v>7.5</v>
      </c>
      <c r="R9" s="2" t="s">
        <v>60</v>
      </c>
      <c r="S9" s="2"/>
      <c r="U9" t="s">
        <v>30</v>
      </c>
      <c r="V9" s="2">
        <f>COUNTIF($E$2:$L$3787,"Drama")</f>
        <v>1911</v>
      </c>
      <c r="W9" s="2">
        <f ca="1">AVERAGEIF($E$2:$L$3787,U9,$Q$2:$Q$3787)</f>
        <v>6.82174556213017</v>
      </c>
      <c r="X9" s="2" cm="1">
        <f t="array" ref="X9">MEDIAN(IF($E$2:$L$3787=U9,$Q$2:$Q$3787))</f>
        <v>6.7</v>
      </c>
      <c r="Y9" s="2" cm="1">
        <f t="array" ref="Y9">MODE(IF($E$2:$L$3787=U9,$Q$2:$Q$3787))</f>
        <v>6.7</v>
      </c>
      <c r="Z9">
        <v>9.3</v>
      </c>
      <c r="AA9">
        <v>2.1</v>
      </c>
      <c r="AB9">
        <v>0.8910648978</v>
      </c>
      <c r="AC9">
        <v>0.7939966521</v>
      </c>
    </row>
    <row r="10" customHeight="1" spans="1:29">
      <c r="A10" s="2" t="s">
        <v>61</v>
      </c>
      <c r="B10" s="2">
        <v>153</v>
      </c>
      <c r="C10" s="2">
        <v>301956980</v>
      </c>
      <c r="D10" s="2" t="s">
        <v>62</v>
      </c>
      <c r="E10" s="2" t="s">
        <v>13</v>
      </c>
      <c r="F10" t="s">
        <v>23</v>
      </c>
      <c r="G10" t="s">
        <v>15</v>
      </c>
      <c r="H10" t="s">
        <v>24</v>
      </c>
      <c r="I10" t="s">
        <v>14</v>
      </c>
      <c r="J10" t="s">
        <v>15</v>
      </c>
      <c r="K10" t="s">
        <v>16</v>
      </c>
      <c r="M10" t="s">
        <v>14</v>
      </c>
      <c r="N10" s="2" t="s">
        <v>18</v>
      </c>
      <c r="O10" s="2" t="s">
        <v>31</v>
      </c>
      <c r="P10" s="2">
        <v>250000000</v>
      </c>
      <c r="Q10" s="2">
        <v>7.5</v>
      </c>
      <c r="R10" s="2" t="s">
        <v>63</v>
      </c>
      <c r="S10" s="2"/>
      <c r="U10" t="s">
        <v>35</v>
      </c>
      <c r="V10" s="2">
        <f>COUNTIF($E$2:$L$3787,"Animation")</f>
        <v>197</v>
      </c>
      <c r="W10" s="2">
        <f ca="1">AVERAGEIF($E$2:$L$3787,U10,$Q$2:$Q$3787)</f>
        <v>6.76304347826087</v>
      </c>
      <c r="X10" s="2" cm="1">
        <f t="array" ref="X10">MEDIAN(IF($E$2:$L$3787=U10,$Q$2:$Q$3787))</f>
        <v>6.6</v>
      </c>
      <c r="Y10" s="2" cm="1">
        <f t="array" ref="Y10">MODE(IF($E$2:$L$3787=U10,$Q$2:$Q$3787))</f>
        <v>7.1</v>
      </c>
      <c r="Z10">
        <v>8.6</v>
      </c>
      <c r="AA10">
        <v>2.8</v>
      </c>
      <c r="AB10">
        <v>0.9936275255</v>
      </c>
      <c r="AC10">
        <v>0.9872956594</v>
      </c>
    </row>
    <row r="11" customHeight="1" spans="1:29">
      <c r="A11" s="2" t="s">
        <v>64</v>
      </c>
      <c r="B11" s="2">
        <v>183</v>
      </c>
      <c r="C11" s="2">
        <v>330249062</v>
      </c>
      <c r="D11" s="2" t="s">
        <v>38</v>
      </c>
      <c r="E11" s="2" t="s">
        <v>12</v>
      </c>
      <c r="F11" t="s">
        <v>13</v>
      </c>
      <c r="G11" t="s">
        <v>15</v>
      </c>
      <c r="H11" t="s">
        <v>24</v>
      </c>
      <c r="I11" t="s">
        <v>23</v>
      </c>
      <c r="J11" t="s">
        <v>28</v>
      </c>
      <c r="K11" t="s">
        <v>17</v>
      </c>
      <c r="M11" t="s">
        <v>65</v>
      </c>
      <c r="N11" s="2" t="s">
        <v>18</v>
      </c>
      <c r="O11" s="2" t="s">
        <v>19</v>
      </c>
      <c r="P11" s="2">
        <v>250000000</v>
      </c>
      <c r="Q11" s="2">
        <v>6.9</v>
      </c>
      <c r="R11" s="2" t="s">
        <v>66</v>
      </c>
      <c r="S11" s="2"/>
      <c r="U11" t="s">
        <v>40</v>
      </c>
      <c r="V11" s="2">
        <f>COUNTIF($E$2:$L$3787,"Comedy")</f>
        <v>1492</v>
      </c>
      <c r="W11" s="2">
        <f ca="1">AVERAGEIF($E$2:$L$3787,U11,$Q$2:$Q$3787)</f>
        <v>6.16442495126707</v>
      </c>
      <c r="X11" s="2" cm="1">
        <f t="array" ref="X11">MEDIAN(IF($E$2:$L$3787=U11,$Q$2:$Q$3787))</f>
        <v>6.4</v>
      </c>
      <c r="Y11" s="2" cm="1">
        <f t="array" ref="Y11">MODE(IF($E$2:$L$3787=U11,$Q$2:$Q$3787))</f>
        <v>6.4</v>
      </c>
      <c r="Z11">
        <v>8.8</v>
      </c>
      <c r="AA11">
        <v>1.9</v>
      </c>
      <c r="AB11">
        <v>1.039919012</v>
      </c>
      <c r="AC11">
        <v>1.081431552</v>
      </c>
    </row>
    <row r="12" customHeight="1" spans="1:29">
      <c r="A12" s="2" t="s">
        <v>67</v>
      </c>
      <c r="B12" s="2">
        <v>169</v>
      </c>
      <c r="C12" s="2">
        <v>200069408</v>
      </c>
      <c r="D12" s="2" t="s">
        <v>38</v>
      </c>
      <c r="E12" s="2" t="s">
        <v>12</v>
      </c>
      <c r="F12" t="s">
        <v>13</v>
      </c>
      <c r="G12" t="s">
        <v>14</v>
      </c>
      <c r="H12" t="s">
        <v>17</v>
      </c>
      <c r="I12" t="s">
        <v>24</v>
      </c>
      <c r="J12" t="s">
        <v>14</v>
      </c>
      <c r="K12" t="s">
        <v>17</v>
      </c>
      <c r="M12" t="s">
        <v>15</v>
      </c>
      <c r="N12" s="2" t="s">
        <v>18</v>
      </c>
      <c r="O12" s="2" t="s">
        <v>19</v>
      </c>
      <c r="P12" s="2">
        <v>209000000</v>
      </c>
      <c r="Q12" s="2">
        <v>6.1</v>
      </c>
      <c r="R12" s="2" t="s">
        <v>68</v>
      </c>
      <c r="S12" s="2"/>
      <c r="U12" t="s">
        <v>28</v>
      </c>
      <c r="V12" s="2">
        <f>COUNTIF($E$2:$L$3787,"Mystery")</f>
        <v>377</v>
      </c>
      <c r="W12" s="2">
        <f ca="1">AVERAGEIF($E$2:$L$3787,U12,$Q$2:$Q$3787)</f>
        <v>64.0171245421245</v>
      </c>
      <c r="X12" s="2" cm="1">
        <f t="array" ref="X12">MEDIAN(IF($E$2:$L$3787=U12,$Q$2:$Q$3787))</f>
        <v>6.5</v>
      </c>
      <c r="Y12" s="2" cm="1">
        <f t="array" ref="Y12">MODE(IF($E$2:$L$3787=U12,$Q$2:$Q$3787))</f>
        <v>6.5</v>
      </c>
      <c r="Z12">
        <v>8.6</v>
      </c>
      <c r="AA12">
        <v>3.1</v>
      </c>
      <c r="AB12">
        <v>1.007391835</v>
      </c>
      <c r="AC12">
        <v>1.014838309</v>
      </c>
    </row>
    <row r="13" customHeight="1" spans="1:29">
      <c r="A13" s="2" t="s">
        <v>69</v>
      </c>
      <c r="B13" s="2">
        <v>106</v>
      </c>
      <c r="C13" s="2">
        <v>168368427</v>
      </c>
      <c r="D13" s="2" t="s">
        <v>70</v>
      </c>
      <c r="E13" s="2" t="s">
        <v>12</v>
      </c>
      <c r="F13" t="s">
        <v>13</v>
      </c>
      <c r="G13" t="s">
        <v>71</v>
      </c>
      <c r="H13" t="s">
        <v>15</v>
      </c>
      <c r="I13" t="s">
        <v>23</v>
      </c>
      <c r="J13" t="s">
        <v>15</v>
      </c>
      <c r="K13" t="s">
        <v>28</v>
      </c>
      <c r="M13" t="s">
        <v>72</v>
      </c>
      <c r="N13" s="2" t="s">
        <v>18</v>
      </c>
      <c r="O13" s="2" t="s">
        <v>31</v>
      </c>
      <c r="P13" s="2">
        <v>200000000</v>
      </c>
      <c r="Q13" s="2">
        <v>6.7</v>
      </c>
      <c r="R13" s="2" t="s">
        <v>73</v>
      </c>
      <c r="S13" s="2"/>
      <c r="U13" t="s">
        <v>56</v>
      </c>
      <c r="V13" s="2">
        <f>COUNTIF($E$2:$L$3787,"Crime")</f>
        <v>702</v>
      </c>
      <c r="W13" s="2">
        <f ca="1">AVERAGEIF($E$2:$L$3787,U13,$Q$2:$Q$3787)</f>
        <v>6.9452380952381</v>
      </c>
      <c r="X13" s="2" cm="1">
        <f t="array" ref="X13">MEDIAN(IF($E$2:$L$3787=U13,$Q$2:$Q$3787))</f>
        <v>6.6</v>
      </c>
      <c r="Y13" s="2" cm="1">
        <f t="array" ref="Y13">MODE(IF($E$2:$L$3787=U13,$Q$2:$Q$3787))</f>
        <v>6.7</v>
      </c>
      <c r="Z13">
        <v>9.3</v>
      </c>
      <c r="AA13">
        <v>2.4</v>
      </c>
      <c r="AB13">
        <v>0.9841051988</v>
      </c>
      <c r="AC13">
        <v>0.9684630422</v>
      </c>
    </row>
    <row r="14" customHeight="1" spans="1:29">
      <c r="A14" s="2" t="s">
        <v>21</v>
      </c>
      <c r="B14" s="2">
        <v>151</v>
      </c>
      <c r="C14" s="2">
        <v>423032628</v>
      </c>
      <c r="D14" s="2" t="s">
        <v>22</v>
      </c>
      <c r="E14" s="2" t="s">
        <v>12</v>
      </c>
      <c r="F14" t="s">
        <v>13</v>
      </c>
      <c r="G14" t="s">
        <v>14</v>
      </c>
      <c r="H14" t="s">
        <v>23</v>
      </c>
      <c r="I14" t="s">
        <v>17</v>
      </c>
      <c r="J14" t="s">
        <v>15</v>
      </c>
      <c r="K14" t="s">
        <v>15</v>
      </c>
      <c r="M14" t="s">
        <v>17</v>
      </c>
      <c r="N14" s="2" t="s">
        <v>18</v>
      </c>
      <c r="O14" s="2" t="s">
        <v>19</v>
      </c>
      <c r="P14" s="2">
        <v>225000000</v>
      </c>
      <c r="Q14" s="2">
        <v>7.3</v>
      </c>
      <c r="R14" s="2" t="s">
        <v>74</v>
      </c>
      <c r="S14" s="2"/>
      <c r="U14" t="s">
        <v>59</v>
      </c>
      <c r="V14" s="2">
        <f>COUNTIF($E$2:$L$3787,"Biography")</f>
        <v>242</v>
      </c>
      <c r="W14" s="2">
        <f ca="1">AVERAGEIF($E$2:$L$3787,U14,$Q$2:$Q$3787)</f>
        <v>7.15194174757282</v>
      </c>
      <c r="X14" s="2" cm="1">
        <f t="array" ref="X14">MEDIAN(IF($E$2:$L$3787=U14,$Q$2:$Q$3787))</f>
        <v>7.1</v>
      </c>
      <c r="Y14" s="2" cm="1">
        <f t="array" ref="Y14">MODE(IF($E$2:$L$3787=U14,$Q$2:$Q$3787))</f>
        <v>7</v>
      </c>
      <c r="Z14">
        <v>8.9</v>
      </c>
      <c r="AA14">
        <v>4.5</v>
      </c>
      <c r="AB14">
        <v>0.71009671</v>
      </c>
      <c r="AC14">
        <v>0.5042373375</v>
      </c>
    </row>
    <row r="15" customHeight="1" spans="1:29">
      <c r="A15" s="2" t="s">
        <v>21</v>
      </c>
      <c r="B15" s="2">
        <v>150</v>
      </c>
      <c r="C15" s="2">
        <v>89289910</v>
      </c>
      <c r="D15" s="2" t="s">
        <v>75</v>
      </c>
      <c r="E15" s="2" t="s">
        <v>12</v>
      </c>
      <c r="F15" t="s">
        <v>13</v>
      </c>
      <c r="G15" t="s">
        <v>23</v>
      </c>
      <c r="H15" t="s">
        <v>15</v>
      </c>
      <c r="I15" t="s">
        <v>14</v>
      </c>
      <c r="J15" t="s">
        <v>14</v>
      </c>
      <c r="K15" t="s">
        <v>16</v>
      </c>
      <c r="M15" t="s">
        <v>23</v>
      </c>
      <c r="N15" s="2" t="s">
        <v>18</v>
      </c>
      <c r="O15" s="2" t="s">
        <v>19</v>
      </c>
      <c r="P15" s="2">
        <v>215000000</v>
      </c>
      <c r="Q15" s="2">
        <v>6.5</v>
      </c>
      <c r="R15" s="2" t="s">
        <v>76</v>
      </c>
      <c r="S15" s="2"/>
      <c r="U15" t="s">
        <v>14</v>
      </c>
      <c r="V15" s="2">
        <f>COUNTIF($E$2:$L$3787,"Fantasy")</f>
        <v>496</v>
      </c>
      <c r="W15" s="2">
        <f ca="1">AVERAGEIF($E$2:$L$3787,U15,$Q$2:$Q$3787)</f>
        <v>75.9029694039544</v>
      </c>
      <c r="X15" s="2" cm="1">
        <f t="array" ref="X15">MEDIAN(IF($E$2:$L$3787=U15,$Q$2:$Q$3787))</f>
        <v>6.5</v>
      </c>
      <c r="Y15" s="2" cm="1">
        <f t="array" ref="Y15">MODE(IF($E$2:$L$3787=U15,$Q$2:$Q$3787))</f>
        <v>6.1</v>
      </c>
      <c r="Z15">
        <v>8.9</v>
      </c>
      <c r="AA15">
        <v>2.2</v>
      </c>
      <c r="AB15">
        <v>1.140414241</v>
      </c>
      <c r="AC15">
        <v>1.30054464</v>
      </c>
    </row>
    <row r="16" customHeight="1" spans="1:29">
      <c r="A16" s="2" t="s">
        <v>64</v>
      </c>
      <c r="B16" s="2">
        <v>143</v>
      </c>
      <c r="C16" s="2">
        <v>291021565</v>
      </c>
      <c r="D16" s="2" t="s">
        <v>11</v>
      </c>
      <c r="E16" s="2" t="s">
        <v>12</v>
      </c>
      <c r="F16" t="s">
        <v>13</v>
      </c>
      <c r="G16" t="s">
        <v>15</v>
      </c>
      <c r="H16" t="s">
        <v>23</v>
      </c>
      <c r="I16" t="s">
        <v>15</v>
      </c>
      <c r="J16" t="s">
        <v>24</v>
      </c>
      <c r="K16" t="s">
        <v>17</v>
      </c>
      <c r="M16" t="s">
        <v>71</v>
      </c>
      <c r="N16" s="2" t="s">
        <v>18</v>
      </c>
      <c r="O16" s="2" t="s">
        <v>19</v>
      </c>
      <c r="P16" s="2">
        <v>225000000</v>
      </c>
      <c r="Q16" s="2">
        <v>7.2</v>
      </c>
      <c r="R16" s="2" t="s">
        <v>77</v>
      </c>
      <c r="S16" s="2"/>
      <c r="U16" t="s">
        <v>65</v>
      </c>
      <c r="V16" s="2">
        <f>COUNTIF($E$2:$L$3787,"Documentary")</f>
        <v>67</v>
      </c>
      <c r="W16" s="2">
        <f ca="1">AVERAGEIF($E$2:$L$3787,U16,$Q$2:$Q$3787)</f>
        <v>6.95116279069768</v>
      </c>
      <c r="X16" s="2" cm="1">
        <f t="array" ref="X16">MEDIAN(IF($E$2:$L$3787=U16,$Q$2:$Q$3787))</f>
        <v>7.3</v>
      </c>
      <c r="Y16" s="2" cm="1">
        <f t="array" ref="Y16">MODE(IF($E$2:$L$3787=U16,$Q$2:$Q$3787))</f>
        <v>7.2</v>
      </c>
      <c r="Z16">
        <v>8.5</v>
      </c>
      <c r="AA16">
        <v>1.6</v>
      </c>
      <c r="AB16">
        <v>1.199939694</v>
      </c>
      <c r="AC16">
        <v>1.439855269</v>
      </c>
    </row>
    <row r="17" customHeight="1" spans="1:29">
      <c r="A17" s="2" t="s">
        <v>78</v>
      </c>
      <c r="B17" s="2">
        <v>150</v>
      </c>
      <c r="C17" s="2">
        <v>141614023</v>
      </c>
      <c r="D17" s="2" t="s">
        <v>79</v>
      </c>
      <c r="E17" s="2" t="s">
        <v>12</v>
      </c>
      <c r="F17" t="s">
        <v>13</v>
      </c>
      <c r="G17" t="s">
        <v>14</v>
      </c>
      <c r="H17" t="s">
        <v>23</v>
      </c>
      <c r="I17" t="s">
        <v>30</v>
      </c>
      <c r="J17" t="s">
        <v>29</v>
      </c>
      <c r="K17" t="s">
        <v>15</v>
      </c>
      <c r="M17" t="s">
        <v>16</v>
      </c>
      <c r="N17" s="2" t="s">
        <v>18</v>
      </c>
      <c r="O17" s="2" t="s">
        <v>19</v>
      </c>
      <c r="P17" s="2">
        <v>225000000</v>
      </c>
      <c r="Q17" s="2">
        <v>6.6</v>
      </c>
      <c r="R17" s="2" t="s">
        <v>80</v>
      </c>
      <c r="S17" s="2"/>
      <c r="U17" t="s">
        <v>15</v>
      </c>
      <c r="V17" s="2">
        <f>COUNTIF($E$2:$L$3787,"Sci-FI")</f>
        <v>484</v>
      </c>
      <c r="W17" s="2" t="e">
        <f ca="1">AVERAGEIF($E$2:$L$3787,U17,$Q$2:$Q$3787)</f>
        <v>#DIV/0!</v>
      </c>
      <c r="X17" s="2" cm="1">
        <f t="array" ref="X17">MEDIAN(IF($E$2:$L$3787=U17,$Q$2:$Q$3787))</f>
        <v>6.6</v>
      </c>
      <c r="Y17" s="2" cm="1">
        <f t="array" ref="Y17">MODE(IF($E$2:$L$3787=U17,$Q$2:$Q$3787))</f>
        <v>6.7</v>
      </c>
      <c r="Z17">
        <v>8.8</v>
      </c>
      <c r="AA17">
        <v>1.9</v>
      </c>
      <c r="AB17">
        <v>1.16718415</v>
      </c>
      <c r="AC17">
        <v>1.362318841</v>
      </c>
    </row>
    <row r="18" customHeight="1" spans="1:29">
      <c r="A18" s="2" t="s">
        <v>58</v>
      </c>
      <c r="B18" s="2">
        <v>173</v>
      </c>
      <c r="C18" s="2">
        <v>623279547</v>
      </c>
      <c r="D18" s="2" t="s">
        <v>38</v>
      </c>
      <c r="E18" s="2" t="s">
        <v>12</v>
      </c>
      <c r="F18" t="s">
        <v>13</v>
      </c>
      <c r="G18" t="s">
        <v>40</v>
      </c>
      <c r="H18" t="s">
        <v>15</v>
      </c>
      <c r="I18" t="s">
        <v>15</v>
      </c>
      <c r="J18" t="s">
        <v>15</v>
      </c>
      <c r="K18" t="s">
        <v>24</v>
      </c>
      <c r="M18" t="s">
        <v>24</v>
      </c>
      <c r="N18" s="2" t="s">
        <v>18</v>
      </c>
      <c r="O18" s="2" t="s">
        <v>19</v>
      </c>
      <c r="P18" s="2">
        <v>220000000</v>
      </c>
      <c r="Q18" s="2">
        <v>8.1</v>
      </c>
      <c r="R18" s="2" t="s">
        <v>81</v>
      </c>
      <c r="S18" s="2"/>
      <c r="U18" t="s">
        <v>72</v>
      </c>
      <c r="V18" s="2">
        <f>COUNTIF($E$2:$L$3787,"Horror")</f>
        <v>379</v>
      </c>
      <c r="W18" s="2">
        <f ca="1">AVERAGEIF($E$2:$L$3787,U18,$Q$2:$Q$3787)</f>
        <v>5.81346153846154</v>
      </c>
      <c r="X18" s="2" cm="1">
        <f t="array" ref="X18">MEDIAN(IF($E$2:$L$3787=U18,$Q$2:$Q$3787))</f>
        <v>6.2</v>
      </c>
      <c r="Y18" s="2" cm="1">
        <f t="array" ref="Y18">MODE(IF($E$2:$L$3787=U18,$Q$2:$Q$3787))</f>
        <v>5.9</v>
      </c>
      <c r="Z18">
        <v>8.6</v>
      </c>
      <c r="AA18">
        <v>2.3</v>
      </c>
      <c r="AB18">
        <v>0.9910232851</v>
      </c>
      <c r="AC18">
        <v>0.9821271517</v>
      </c>
    </row>
    <row r="19" customHeight="1" spans="1:29">
      <c r="A19" s="2" t="s">
        <v>82</v>
      </c>
      <c r="B19" s="2">
        <v>136</v>
      </c>
      <c r="C19" s="2">
        <v>241063875</v>
      </c>
      <c r="D19" s="2" t="s">
        <v>22</v>
      </c>
      <c r="E19" s="2" t="s">
        <v>12</v>
      </c>
      <c r="F19" t="s">
        <v>13</v>
      </c>
      <c r="G19" t="s">
        <v>14</v>
      </c>
      <c r="H19" t="s">
        <v>15</v>
      </c>
      <c r="I19" t="s">
        <v>14</v>
      </c>
      <c r="J19" t="s">
        <v>83</v>
      </c>
      <c r="K19" t="s">
        <v>17</v>
      </c>
      <c r="N19" s="2" t="s">
        <v>18</v>
      </c>
      <c r="O19" s="2" t="s">
        <v>19</v>
      </c>
      <c r="P19" s="2">
        <v>250000000</v>
      </c>
      <c r="Q19" s="2">
        <v>6.7</v>
      </c>
      <c r="R19" s="2" t="s">
        <v>84</v>
      </c>
      <c r="S19" s="2"/>
      <c r="U19" t="s">
        <v>17</v>
      </c>
      <c r="V19" s="2">
        <f>COUNTIF($E$2:$L$3787,"Romance")</f>
        <v>866</v>
      </c>
      <c r="W19" s="2" t="e">
        <f ca="1">AVERAGEIF($E$2:$L$3787,U19,$Q$2:$Q$3787)</f>
        <v>#DIV/0!</v>
      </c>
      <c r="X19" s="2" cm="1">
        <f t="array" ref="X19">MEDIAN(IF($E$2:$L$3787=U19,$Q$2:$Q$3787))</f>
        <v>6.6</v>
      </c>
      <c r="Y19" s="2" cm="1">
        <f t="array" ref="Y19">MODE(IF($E$2:$L$3787=U19,$Q$2:$Q$3787))</f>
        <v>6.2</v>
      </c>
      <c r="Z19">
        <v>8.5</v>
      </c>
      <c r="AA19">
        <v>2.1</v>
      </c>
      <c r="AB19">
        <v>0.968996249</v>
      </c>
      <c r="AC19">
        <v>0.9389537305</v>
      </c>
    </row>
    <row r="20" customHeight="1" spans="1:29">
      <c r="A20" s="2" t="s">
        <v>85</v>
      </c>
      <c r="B20" s="2">
        <v>106</v>
      </c>
      <c r="C20" s="2">
        <v>179020854</v>
      </c>
      <c r="D20" s="2" t="s">
        <v>86</v>
      </c>
      <c r="E20" s="2" t="s">
        <v>12</v>
      </c>
      <c r="F20" t="s">
        <v>13</v>
      </c>
      <c r="G20" t="s">
        <v>30</v>
      </c>
      <c r="H20" t="s">
        <v>17</v>
      </c>
      <c r="I20" t="s">
        <v>29</v>
      </c>
      <c r="J20" t="s">
        <v>24</v>
      </c>
      <c r="K20" t="s">
        <v>24</v>
      </c>
      <c r="N20" s="2" t="s">
        <v>18</v>
      </c>
      <c r="O20" s="2" t="s">
        <v>19</v>
      </c>
      <c r="P20" s="2">
        <v>225000000</v>
      </c>
      <c r="Q20" s="2">
        <v>6.8</v>
      </c>
      <c r="R20" s="2" t="s">
        <v>87</v>
      </c>
      <c r="S20" s="2"/>
      <c r="U20" t="s">
        <v>23</v>
      </c>
      <c r="V20" s="2">
        <f>COUNTIF($E$2:$L$3787,"Family")</f>
        <v>441</v>
      </c>
      <c r="W20" s="2">
        <f ca="1">AVERAGEIF($E$2:$L$3787,U20,$Q$2:$Q$3787)</f>
        <v>6.5</v>
      </c>
      <c r="X20" s="2" cm="1">
        <f t="array" ref="X20">MEDIAN(IF($E$2:$L$3787=U20,$Q$2:$Q$3787))</f>
        <v>6.5</v>
      </c>
      <c r="Y20" s="2" cm="1">
        <f t="array" ref="Y20">MODE(IF($E$2:$L$3787=U20,$Q$2:$Q$3787))</f>
        <v>5.9</v>
      </c>
      <c r="Z20">
        <v>8.6</v>
      </c>
      <c r="AA20">
        <v>1.9</v>
      </c>
      <c r="AB20">
        <v>1.169576458</v>
      </c>
      <c r="AC20">
        <v>1.367909091</v>
      </c>
    </row>
    <row r="21" customHeight="1" spans="1:29">
      <c r="A21" s="2" t="s">
        <v>88</v>
      </c>
      <c r="B21" s="2">
        <v>164</v>
      </c>
      <c r="C21" s="2">
        <v>255108370</v>
      </c>
      <c r="D21" s="2" t="s">
        <v>89</v>
      </c>
      <c r="E21" s="2" t="s">
        <v>13</v>
      </c>
      <c r="F21" t="s">
        <v>14</v>
      </c>
      <c r="G21" t="s">
        <v>14</v>
      </c>
      <c r="H21" t="s">
        <v>23</v>
      </c>
      <c r="I21" t="s">
        <v>55</v>
      </c>
      <c r="J21" t="s">
        <v>17</v>
      </c>
      <c r="K21" t="s">
        <v>15</v>
      </c>
      <c r="N21" s="2" t="s">
        <v>18</v>
      </c>
      <c r="O21" s="2" t="s">
        <v>90</v>
      </c>
      <c r="P21" s="2">
        <v>250000000</v>
      </c>
      <c r="Q21" s="2">
        <v>7.5</v>
      </c>
      <c r="R21" s="2" t="s">
        <v>91</v>
      </c>
      <c r="S21" s="2"/>
      <c r="U21" t="s">
        <v>71</v>
      </c>
      <c r="V21" s="2">
        <f>COUNTIF($E$2:$L$3787,"Western")</f>
        <v>58</v>
      </c>
      <c r="W21" s="2">
        <f ca="1">AVERAGEIF($E$2:$L$3787,U21,$Q$2:$Q$3787)</f>
        <v>5.575</v>
      </c>
      <c r="X21" s="2" cm="1">
        <f t="array" ref="X21">MEDIAN(IF($E$2:$L$3787=U21,$Q$2:$Q$3787))</f>
        <v>6.6</v>
      </c>
      <c r="Y21" s="2" cm="1">
        <f t="array" ref="Y21">MODE(IF($E$2:$L$3787=U21,$Q$2:$Q$3787))</f>
        <v>6.7</v>
      </c>
      <c r="Z21">
        <v>8.9</v>
      </c>
      <c r="AA21">
        <v>4.1</v>
      </c>
      <c r="AB21">
        <v>0.9985167463</v>
      </c>
      <c r="AC21">
        <v>0.9970356927</v>
      </c>
    </row>
    <row r="22" customHeight="1" spans="1:29">
      <c r="A22" s="2" t="s">
        <v>92</v>
      </c>
      <c r="B22" s="2">
        <v>153</v>
      </c>
      <c r="C22" s="2">
        <v>262030663</v>
      </c>
      <c r="D22" s="2" t="s">
        <v>22</v>
      </c>
      <c r="E22" s="2" t="s">
        <v>12</v>
      </c>
      <c r="F22" t="s">
        <v>13</v>
      </c>
      <c r="G22" t="s">
        <v>30</v>
      </c>
      <c r="H22" t="s">
        <v>24</v>
      </c>
      <c r="I22" t="s">
        <v>23</v>
      </c>
      <c r="J22" t="s">
        <v>14</v>
      </c>
      <c r="N22" s="2" t="s">
        <v>18</v>
      </c>
      <c r="O22" s="2" t="s">
        <v>19</v>
      </c>
      <c r="P22" s="2">
        <v>230000000</v>
      </c>
      <c r="Q22" s="2">
        <v>7</v>
      </c>
      <c r="R22" s="2" t="s">
        <v>93</v>
      </c>
      <c r="S22" s="2"/>
      <c r="U22" t="s">
        <v>16</v>
      </c>
      <c r="V22" s="2">
        <f>COUNTIF($E$2:$L$3787,"Musical")</f>
        <v>102</v>
      </c>
      <c r="W22" s="2">
        <f ca="1">AVERAGEIF($E$2:$L$3787,U22,$Q$2:$Q$3787)</f>
        <v>187.969952708416</v>
      </c>
      <c r="X22" s="2" cm="1">
        <f t="array" ref="X22">MEDIAN(IF($E$2:$L$3787=U22,$Q$2:$Q$3787))</f>
        <v>6.6</v>
      </c>
      <c r="Y22" s="2" cm="1">
        <f t="array" ref="Y22">MODE(IF($E$2:$L$3787=U22,$Q$2:$Q$3787))</f>
        <v>6.3</v>
      </c>
      <c r="Z22">
        <v>8.5</v>
      </c>
      <c r="AA22">
        <v>2.1</v>
      </c>
      <c r="AB22">
        <v>1.143535</v>
      </c>
      <c r="AC22">
        <v>1.307672297</v>
      </c>
    </row>
    <row r="23" customHeight="1" spans="1:29">
      <c r="A23" s="2" t="s">
        <v>94</v>
      </c>
      <c r="B23" s="2">
        <v>156</v>
      </c>
      <c r="C23" s="2">
        <v>105219735</v>
      </c>
      <c r="D23" s="2" t="s">
        <v>95</v>
      </c>
      <c r="E23" s="2" t="s">
        <v>12</v>
      </c>
      <c r="F23" t="s">
        <v>13</v>
      </c>
      <c r="G23" t="s">
        <v>15</v>
      </c>
      <c r="H23" t="s">
        <v>15</v>
      </c>
      <c r="I23" t="s">
        <v>24</v>
      </c>
      <c r="J23" t="s">
        <v>83</v>
      </c>
      <c r="N23" s="2" t="s">
        <v>18</v>
      </c>
      <c r="O23" s="2" t="s">
        <v>19</v>
      </c>
      <c r="P23" s="2">
        <v>200000000</v>
      </c>
      <c r="Q23" s="2">
        <v>6.7</v>
      </c>
      <c r="R23" s="2" t="s">
        <v>96</v>
      </c>
      <c r="S23" s="2"/>
      <c r="U23" t="s">
        <v>24</v>
      </c>
      <c r="V23" s="2">
        <f>COUNTIF($E$2:$L$3787,"Thriller")</f>
        <v>1087</v>
      </c>
      <c r="W23" s="2">
        <f ca="1">AVERAGEIF($E$2:$L$3787,U23,$Q$2:$Q$3787)</f>
        <v>462.766457482102</v>
      </c>
      <c r="X23" s="2" cm="1">
        <f t="array" ref="X23">MEDIAN(IF($E$2:$L$3787=U23,$Q$2:$Q$3787))</f>
        <v>6.5</v>
      </c>
      <c r="Y23" s="2" cm="1">
        <f t="array" ref="Y23">MODE(IF($E$2:$L$3787=U23,$Q$2:$Q$3787))</f>
        <v>6.6</v>
      </c>
      <c r="Z23">
        <v>9</v>
      </c>
      <c r="AA23">
        <v>2.7</v>
      </c>
      <c r="AB23">
        <v>0.9690783266</v>
      </c>
      <c r="AC23">
        <v>0.9391128031</v>
      </c>
    </row>
    <row r="24" customHeight="1" spans="1:19">
      <c r="A24" s="2" t="s">
        <v>88</v>
      </c>
      <c r="B24" s="2">
        <v>186</v>
      </c>
      <c r="C24" s="2">
        <v>258355354</v>
      </c>
      <c r="D24" s="2" t="s">
        <v>89</v>
      </c>
      <c r="E24" s="2" t="s">
        <v>13</v>
      </c>
      <c r="F24" t="s">
        <v>14</v>
      </c>
      <c r="G24" t="s">
        <v>15</v>
      </c>
      <c r="H24" t="s">
        <v>24</v>
      </c>
      <c r="I24" t="s">
        <v>14</v>
      </c>
      <c r="J24" t="s">
        <v>15</v>
      </c>
      <c r="N24" s="2" t="s">
        <v>18</v>
      </c>
      <c r="O24" s="2" t="s">
        <v>19</v>
      </c>
      <c r="P24" s="2">
        <v>225000000</v>
      </c>
      <c r="Q24" s="2">
        <v>7.9</v>
      </c>
      <c r="R24" s="2" t="s">
        <v>97</v>
      </c>
      <c r="S24" s="2"/>
    </row>
    <row r="25" customHeight="1" spans="1:19">
      <c r="A25" s="2" t="s">
        <v>98</v>
      </c>
      <c r="B25" s="2">
        <v>113</v>
      </c>
      <c r="C25" s="2">
        <v>70083519</v>
      </c>
      <c r="D25" s="2" t="s">
        <v>99</v>
      </c>
      <c r="E25" s="2" t="s">
        <v>13</v>
      </c>
      <c r="F25" t="s">
        <v>23</v>
      </c>
      <c r="G25" t="s">
        <v>15</v>
      </c>
      <c r="H25" t="s">
        <v>14</v>
      </c>
      <c r="I25" t="s">
        <v>23</v>
      </c>
      <c r="J25" t="s">
        <v>15</v>
      </c>
      <c r="N25" s="2" t="s">
        <v>18</v>
      </c>
      <c r="O25" s="2" t="s">
        <v>19</v>
      </c>
      <c r="P25" s="2">
        <v>180000000</v>
      </c>
      <c r="Q25" s="2">
        <v>6.1</v>
      </c>
      <c r="R25" s="2" t="s">
        <v>100</v>
      </c>
      <c r="S25" s="2"/>
    </row>
    <row r="26" customHeight="1" spans="1:19">
      <c r="A26" s="2" t="s">
        <v>88</v>
      </c>
      <c r="B26" s="2">
        <v>201</v>
      </c>
      <c r="C26" s="2">
        <v>218051260</v>
      </c>
      <c r="D26" s="2" t="s">
        <v>101</v>
      </c>
      <c r="E26" s="2" t="s">
        <v>12</v>
      </c>
      <c r="F26" t="s">
        <v>13</v>
      </c>
      <c r="G26" t="s">
        <v>24</v>
      </c>
      <c r="H26" t="s">
        <v>17</v>
      </c>
      <c r="I26" t="s">
        <v>23</v>
      </c>
      <c r="J26" t="s">
        <v>15</v>
      </c>
      <c r="N26" s="2" t="s">
        <v>18</v>
      </c>
      <c r="O26" s="2" t="s">
        <v>90</v>
      </c>
      <c r="P26" s="2">
        <v>207000000</v>
      </c>
      <c r="Q26" s="2">
        <v>7.2</v>
      </c>
      <c r="R26" s="2" t="s">
        <v>102</v>
      </c>
      <c r="S26" s="2"/>
    </row>
    <row r="27" customHeight="1" spans="1:19">
      <c r="A27" s="2" t="s">
        <v>10</v>
      </c>
      <c r="B27" s="2">
        <v>194</v>
      </c>
      <c r="C27" s="2">
        <v>658672302</v>
      </c>
      <c r="D27" s="2" t="s">
        <v>103</v>
      </c>
      <c r="E27" s="2" t="s">
        <v>30</v>
      </c>
      <c r="F27" t="s">
        <v>17</v>
      </c>
      <c r="G27" t="s">
        <v>14</v>
      </c>
      <c r="H27" t="s">
        <v>24</v>
      </c>
      <c r="I27" t="s">
        <v>23</v>
      </c>
      <c r="J27" t="s">
        <v>14</v>
      </c>
      <c r="N27" s="2" t="s">
        <v>18</v>
      </c>
      <c r="O27" s="2" t="s">
        <v>19</v>
      </c>
      <c r="P27" s="2">
        <v>200000000</v>
      </c>
      <c r="Q27" s="2">
        <v>7.7</v>
      </c>
      <c r="R27" s="2" t="s">
        <v>104</v>
      </c>
      <c r="S27" s="2"/>
    </row>
    <row r="28" customHeight="1" spans="1:25">
      <c r="A28" s="2" t="s">
        <v>105</v>
      </c>
      <c r="B28" s="2">
        <v>147</v>
      </c>
      <c r="C28" s="2">
        <v>407197282</v>
      </c>
      <c r="D28" s="2" t="s">
        <v>38</v>
      </c>
      <c r="E28" s="2" t="s">
        <v>12</v>
      </c>
      <c r="F28" t="s">
        <v>13</v>
      </c>
      <c r="G28" t="s">
        <v>15</v>
      </c>
      <c r="H28" t="s">
        <v>23</v>
      </c>
      <c r="I28" t="s">
        <v>23</v>
      </c>
      <c r="J28" t="s">
        <v>17</v>
      </c>
      <c r="N28" s="2" t="s">
        <v>18</v>
      </c>
      <c r="O28" s="2" t="s">
        <v>19</v>
      </c>
      <c r="P28" s="2">
        <v>250000000</v>
      </c>
      <c r="Q28" s="2">
        <v>8.2</v>
      </c>
      <c r="R28" s="2" t="s">
        <v>106</v>
      </c>
      <c r="S28" s="2"/>
      <c r="U28" s="1"/>
      <c r="V28" s="1"/>
      <c r="W28" s="1"/>
      <c r="X28" s="1"/>
      <c r="Y28" s="1"/>
    </row>
    <row r="29" customHeight="1" spans="1:25">
      <c r="A29" s="2" t="s">
        <v>107</v>
      </c>
      <c r="B29" s="2">
        <v>131</v>
      </c>
      <c r="C29" s="2">
        <v>65173160</v>
      </c>
      <c r="D29" s="2" t="s">
        <v>108</v>
      </c>
      <c r="E29" s="2" t="s">
        <v>12</v>
      </c>
      <c r="F29" t="s">
        <v>13</v>
      </c>
      <c r="G29" t="s">
        <v>14</v>
      </c>
      <c r="H29" t="s">
        <v>40</v>
      </c>
      <c r="I29" t="s">
        <v>15</v>
      </c>
      <c r="J29" t="s">
        <v>17</v>
      </c>
      <c r="N29" s="2" t="s">
        <v>18</v>
      </c>
      <c r="O29" s="2" t="s">
        <v>19</v>
      </c>
      <c r="P29" s="2">
        <v>209000000</v>
      </c>
      <c r="Q29" s="2">
        <v>5.9</v>
      </c>
      <c r="R29" s="2" t="s">
        <v>109</v>
      </c>
      <c r="S29" s="2"/>
      <c r="U29" s="2"/>
      <c r="V29" s="2"/>
      <c r="W29" s="2"/>
      <c r="X29" s="2"/>
      <c r="Y29" s="2"/>
    </row>
    <row r="30" customHeight="1" spans="1:19">
      <c r="A30" s="2" t="s">
        <v>110</v>
      </c>
      <c r="B30" s="2">
        <v>124</v>
      </c>
      <c r="C30" s="2">
        <v>652177271</v>
      </c>
      <c r="D30" s="2" t="s">
        <v>108</v>
      </c>
      <c r="E30" s="2" t="s">
        <v>12</v>
      </c>
      <c r="F30" t="s">
        <v>13</v>
      </c>
      <c r="G30" t="s">
        <v>14</v>
      </c>
      <c r="H30" t="s">
        <v>28</v>
      </c>
      <c r="I30" t="s">
        <v>14</v>
      </c>
      <c r="J30" t="s">
        <v>23</v>
      </c>
      <c r="N30" s="2" t="s">
        <v>18</v>
      </c>
      <c r="O30" s="2" t="s">
        <v>19</v>
      </c>
      <c r="P30" s="2">
        <v>150000000</v>
      </c>
      <c r="Q30" s="2">
        <v>7</v>
      </c>
      <c r="R30" s="2" t="s">
        <v>111</v>
      </c>
      <c r="S30" s="2"/>
    </row>
    <row r="31" customHeight="1" spans="1:19">
      <c r="A31" s="2" t="s">
        <v>26</v>
      </c>
      <c r="B31" s="2">
        <v>143</v>
      </c>
      <c r="C31" s="2">
        <v>304360277</v>
      </c>
      <c r="D31" s="2" t="s">
        <v>27</v>
      </c>
      <c r="E31" s="2" t="s">
        <v>12</v>
      </c>
      <c r="F31" t="s">
        <v>13</v>
      </c>
      <c r="G31" t="s">
        <v>40</v>
      </c>
      <c r="H31" t="s">
        <v>71</v>
      </c>
      <c r="I31" t="s">
        <v>23</v>
      </c>
      <c r="J31" t="s">
        <v>71</v>
      </c>
      <c r="N31" s="2" t="s">
        <v>18</v>
      </c>
      <c r="O31" s="2" t="s">
        <v>31</v>
      </c>
      <c r="P31" s="2">
        <v>200000000</v>
      </c>
      <c r="Q31" s="2">
        <v>7.8</v>
      </c>
      <c r="R31" s="2" t="s">
        <v>112</v>
      </c>
      <c r="S31" s="2"/>
    </row>
    <row r="32" customHeight="1" spans="1:19">
      <c r="A32" s="2" t="s">
        <v>50</v>
      </c>
      <c r="B32" s="2">
        <v>135</v>
      </c>
      <c r="C32" s="2">
        <v>373377893</v>
      </c>
      <c r="D32" s="2" t="s">
        <v>113</v>
      </c>
      <c r="E32" s="2" t="s">
        <v>12</v>
      </c>
      <c r="F32" t="s">
        <v>13</v>
      </c>
      <c r="G32" t="s">
        <v>15</v>
      </c>
      <c r="H32" t="s">
        <v>72</v>
      </c>
      <c r="I32" t="s">
        <v>23</v>
      </c>
      <c r="J32" t="s">
        <v>24</v>
      </c>
      <c r="N32" s="2" t="s">
        <v>18</v>
      </c>
      <c r="O32" s="2" t="s">
        <v>19</v>
      </c>
      <c r="P32" s="2">
        <v>200000000</v>
      </c>
      <c r="Q32" s="2">
        <v>7.3</v>
      </c>
      <c r="R32" s="2" t="s">
        <v>114</v>
      </c>
      <c r="S32" s="2"/>
    </row>
    <row r="33" customHeight="1" spans="1:19">
      <c r="A33" s="2" t="s">
        <v>115</v>
      </c>
      <c r="B33" s="2">
        <v>195</v>
      </c>
      <c r="C33" s="2">
        <v>408992272</v>
      </c>
      <c r="D33" s="2" t="s">
        <v>38</v>
      </c>
      <c r="E33" s="2" t="s">
        <v>12</v>
      </c>
      <c r="F33" t="s">
        <v>13</v>
      </c>
      <c r="G33" t="s">
        <v>15</v>
      </c>
      <c r="H33" t="s">
        <v>15</v>
      </c>
      <c r="I33" t="s">
        <v>17</v>
      </c>
      <c r="J33" t="s">
        <v>15</v>
      </c>
      <c r="N33" s="2" t="s">
        <v>18</v>
      </c>
      <c r="O33" s="2" t="s">
        <v>19</v>
      </c>
      <c r="P33" s="2">
        <v>200000000</v>
      </c>
      <c r="Q33" s="2">
        <v>7.2</v>
      </c>
      <c r="R33" s="2" t="s">
        <v>116</v>
      </c>
      <c r="S33" s="2"/>
    </row>
    <row r="34" customHeight="1" spans="1:19">
      <c r="A34" s="2" t="s">
        <v>117</v>
      </c>
      <c r="B34" s="2">
        <v>108</v>
      </c>
      <c r="C34" s="2">
        <v>334185206</v>
      </c>
      <c r="D34" s="2" t="s">
        <v>99</v>
      </c>
      <c r="E34" s="2" t="s">
        <v>13</v>
      </c>
      <c r="F34" t="s">
        <v>23</v>
      </c>
      <c r="G34" t="s">
        <v>14</v>
      </c>
      <c r="H34" t="s">
        <v>24</v>
      </c>
      <c r="I34" t="s">
        <v>29</v>
      </c>
      <c r="J34" t="s">
        <v>24</v>
      </c>
      <c r="N34" s="2" t="s">
        <v>18</v>
      </c>
      <c r="O34" s="2" t="s">
        <v>19</v>
      </c>
      <c r="P34" s="2">
        <v>200000000</v>
      </c>
      <c r="Q34" s="2">
        <v>6.5</v>
      </c>
      <c r="R34" s="2" t="s">
        <v>118</v>
      </c>
      <c r="S34" s="2"/>
    </row>
    <row r="35" customHeight="1" spans="1:19">
      <c r="A35" s="2" t="s">
        <v>119</v>
      </c>
      <c r="B35" s="2">
        <v>104</v>
      </c>
      <c r="C35" s="2">
        <v>234360014</v>
      </c>
      <c r="D35" s="2" t="s">
        <v>120</v>
      </c>
      <c r="E35" s="2" t="s">
        <v>12</v>
      </c>
      <c r="F35" t="s">
        <v>13</v>
      </c>
      <c r="G35" t="s">
        <v>14</v>
      </c>
      <c r="H35" t="s">
        <v>24</v>
      </c>
      <c r="I35" t="s">
        <v>39</v>
      </c>
      <c r="J35" t="s">
        <v>14</v>
      </c>
      <c r="N35" s="2" t="s">
        <v>18</v>
      </c>
      <c r="O35" s="2" t="s">
        <v>121</v>
      </c>
      <c r="P35" s="2">
        <v>210000000</v>
      </c>
      <c r="Q35" s="2">
        <v>6.8</v>
      </c>
      <c r="R35" s="2" t="s">
        <v>122</v>
      </c>
      <c r="S35" s="2"/>
    </row>
    <row r="36" customHeight="1" spans="1:19">
      <c r="A36" s="2" t="s">
        <v>123</v>
      </c>
      <c r="B36" s="2">
        <v>104</v>
      </c>
      <c r="C36" s="2">
        <v>268488329</v>
      </c>
      <c r="D36" s="2" t="s">
        <v>124</v>
      </c>
      <c r="E36" s="2" t="s">
        <v>13</v>
      </c>
      <c r="F36" t="s">
        <v>35</v>
      </c>
      <c r="G36" t="s">
        <v>15</v>
      </c>
      <c r="H36" t="s">
        <v>30</v>
      </c>
      <c r="I36" t="s">
        <v>71</v>
      </c>
      <c r="J36" t="s">
        <v>14</v>
      </c>
      <c r="N36" s="2" t="s">
        <v>18</v>
      </c>
      <c r="O36" s="2" t="s">
        <v>19</v>
      </c>
      <c r="P36" s="2">
        <v>200000000</v>
      </c>
      <c r="Q36" s="2">
        <v>7.3</v>
      </c>
      <c r="R36" s="2" t="s">
        <v>125</v>
      </c>
      <c r="S36" s="2"/>
    </row>
    <row r="37" customHeight="1" spans="1:22">
      <c r="A37" s="2" t="s">
        <v>126</v>
      </c>
      <c r="B37" s="2">
        <v>150</v>
      </c>
      <c r="C37" s="2">
        <v>402076689</v>
      </c>
      <c r="D37" s="2" t="s">
        <v>38</v>
      </c>
      <c r="E37" s="2" t="s">
        <v>12</v>
      </c>
      <c r="F37" t="s">
        <v>13</v>
      </c>
      <c r="G37" t="s">
        <v>40</v>
      </c>
      <c r="H37" t="s">
        <v>14</v>
      </c>
      <c r="I37" t="s">
        <v>23</v>
      </c>
      <c r="J37" t="s">
        <v>14</v>
      </c>
      <c r="N37" s="2" t="s">
        <v>18</v>
      </c>
      <c r="O37" s="2" t="s">
        <v>19</v>
      </c>
      <c r="P37" s="2">
        <v>200000000</v>
      </c>
      <c r="Q37" s="2">
        <v>6</v>
      </c>
      <c r="R37" s="2" t="s">
        <v>127</v>
      </c>
      <c r="S37" s="2"/>
      <c r="U37" s="1" t="s">
        <v>128</v>
      </c>
      <c r="V37" s="1" t="s">
        <v>129</v>
      </c>
    </row>
    <row r="38" customHeight="1" spans="1:22">
      <c r="A38" s="2" t="s">
        <v>126</v>
      </c>
      <c r="B38" s="2">
        <v>165</v>
      </c>
      <c r="C38" s="2">
        <v>245428137</v>
      </c>
      <c r="D38" s="2" t="s">
        <v>38</v>
      </c>
      <c r="E38" s="2" t="s">
        <v>12</v>
      </c>
      <c r="F38" t="s">
        <v>13</v>
      </c>
      <c r="G38" t="s">
        <v>15</v>
      </c>
      <c r="H38" t="s">
        <v>14</v>
      </c>
      <c r="I38" t="s">
        <v>14</v>
      </c>
      <c r="J38" t="s">
        <v>29</v>
      </c>
      <c r="N38" s="2" t="s">
        <v>18</v>
      </c>
      <c r="O38" s="2" t="s">
        <v>19</v>
      </c>
      <c r="P38" s="2">
        <v>210000000</v>
      </c>
      <c r="Q38" s="2">
        <v>5.7</v>
      </c>
      <c r="R38" s="2" t="s">
        <v>130</v>
      </c>
      <c r="S38" s="2"/>
      <c r="U38" s="2" t="s">
        <v>131</v>
      </c>
      <c r="V38" s="2">
        <f>AVERAGE(B11:B3796)</f>
        <v>109.715117818374</v>
      </c>
    </row>
    <row r="39" customHeight="1" spans="1:22">
      <c r="A39" s="2" t="s">
        <v>50</v>
      </c>
      <c r="B39" s="2">
        <v>130</v>
      </c>
      <c r="C39" s="2">
        <v>234903076</v>
      </c>
      <c r="D39" s="2" t="s">
        <v>99</v>
      </c>
      <c r="E39" s="2" t="s">
        <v>13</v>
      </c>
      <c r="F39" t="s">
        <v>23</v>
      </c>
      <c r="G39" t="s">
        <v>40</v>
      </c>
      <c r="H39" t="s">
        <v>14</v>
      </c>
      <c r="I39" t="s">
        <v>23</v>
      </c>
      <c r="J39" t="s">
        <v>29</v>
      </c>
      <c r="N39" s="2" t="s">
        <v>18</v>
      </c>
      <c r="O39" s="2" t="s">
        <v>19</v>
      </c>
      <c r="P39" s="2">
        <v>215000000</v>
      </c>
      <c r="Q39" s="2">
        <v>6.4</v>
      </c>
      <c r="R39" s="2" t="s">
        <v>132</v>
      </c>
      <c r="S39" s="2"/>
      <c r="U39" t="s">
        <v>133</v>
      </c>
      <c r="V39">
        <f>MEDIAN(B11:B3796)</f>
        <v>105</v>
      </c>
    </row>
    <row r="40" customHeight="1" spans="1:22">
      <c r="A40" s="2" t="s">
        <v>92</v>
      </c>
      <c r="B40" s="2">
        <v>142</v>
      </c>
      <c r="C40" s="2">
        <v>202853933</v>
      </c>
      <c r="D40" s="2" t="s">
        <v>11</v>
      </c>
      <c r="E40" s="2" t="s">
        <v>12</v>
      </c>
      <c r="F40" t="s">
        <v>13</v>
      </c>
      <c r="G40" t="s">
        <v>15</v>
      </c>
      <c r="H40" t="s">
        <v>15</v>
      </c>
      <c r="I40" t="s">
        <v>15</v>
      </c>
      <c r="J40" t="s">
        <v>16</v>
      </c>
      <c r="N40" s="2" t="s">
        <v>18</v>
      </c>
      <c r="O40" s="2" t="s">
        <v>19</v>
      </c>
      <c r="P40" s="2">
        <v>200000000</v>
      </c>
      <c r="Q40" s="2">
        <v>6.7</v>
      </c>
      <c r="R40" s="2" t="s">
        <v>134</v>
      </c>
      <c r="S40" s="2"/>
      <c r="U40" t="s">
        <v>135</v>
      </c>
      <c r="V40" cm="1">
        <f t="array" ref="V40">MODE(B11:B3796)</f>
        <v>101</v>
      </c>
    </row>
    <row r="41" customHeight="1" spans="1:22">
      <c r="A41" s="2" t="s">
        <v>136</v>
      </c>
      <c r="B41" s="2">
        <v>125</v>
      </c>
      <c r="C41" s="2">
        <v>172051787</v>
      </c>
      <c r="D41" s="2" t="s">
        <v>38</v>
      </c>
      <c r="E41" s="2" t="s">
        <v>12</v>
      </c>
      <c r="F41" t="s">
        <v>13</v>
      </c>
      <c r="G41" t="s">
        <v>24</v>
      </c>
      <c r="H41" t="s">
        <v>14</v>
      </c>
      <c r="I41" t="s">
        <v>16</v>
      </c>
      <c r="J41" t="s">
        <v>16</v>
      </c>
      <c r="N41" s="2" t="s">
        <v>18</v>
      </c>
      <c r="O41" s="2" t="s">
        <v>19</v>
      </c>
      <c r="P41" s="2">
        <v>170000000</v>
      </c>
      <c r="Q41" s="2">
        <v>6.8</v>
      </c>
      <c r="R41" s="2" t="s">
        <v>137</v>
      </c>
      <c r="S41" s="2"/>
      <c r="U41" t="s">
        <v>138</v>
      </c>
      <c r="V41">
        <f>VAR(B11:B3796)</f>
        <v>514.593608785109</v>
      </c>
    </row>
    <row r="42" customHeight="1" spans="1:22">
      <c r="A42" s="2" t="s">
        <v>139</v>
      </c>
      <c r="B42" s="2">
        <v>106</v>
      </c>
      <c r="C42" s="2">
        <v>191450875</v>
      </c>
      <c r="D42" s="2" t="s">
        <v>140</v>
      </c>
      <c r="E42" s="2" t="s">
        <v>13</v>
      </c>
      <c r="F42" t="s">
        <v>35</v>
      </c>
      <c r="G42" t="s">
        <v>72</v>
      </c>
      <c r="H42" t="s">
        <v>23</v>
      </c>
      <c r="I42" t="s">
        <v>24</v>
      </c>
      <c r="J42" t="s">
        <v>24</v>
      </c>
      <c r="N42" s="2" t="s">
        <v>18</v>
      </c>
      <c r="O42" s="2" t="s">
        <v>19</v>
      </c>
      <c r="P42" s="2">
        <v>200000000</v>
      </c>
      <c r="Q42" s="2">
        <v>6.3</v>
      </c>
      <c r="R42" s="2" t="s">
        <v>141</v>
      </c>
      <c r="S42" s="2"/>
      <c r="U42" t="s">
        <v>142</v>
      </c>
      <c r="V42">
        <f>STDEV(B11:B3796)</f>
        <v>22.6846558004548</v>
      </c>
    </row>
    <row r="43" customHeight="1" spans="1:19">
      <c r="A43" s="2" t="s">
        <v>143</v>
      </c>
      <c r="B43" s="2">
        <v>123</v>
      </c>
      <c r="C43" s="2">
        <v>116593191</v>
      </c>
      <c r="D43" s="2" t="s">
        <v>38</v>
      </c>
      <c r="E43" s="2" t="s">
        <v>12</v>
      </c>
      <c r="F43" t="s">
        <v>13</v>
      </c>
      <c r="G43" t="s">
        <v>14</v>
      </c>
      <c r="H43" t="s">
        <v>28</v>
      </c>
      <c r="I43" t="s">
        <v>24</v>
      </c>
      <c r="J43" t="s">
        <v>39</v>
      </c>
      <c r="N43" s="2" t="s">
        <v>18</v>
      </c>
      <c r="O43" s="2" t="s">
        <v>19</v>
      </c>
      <c r="P43" s="2">
        <v>200000000</v>
      </c>
      <c r="Q43" s="2">
        <v>5.6</v>
      </c>
      <c r="R43" s="2" t="s">
        <v>144</v>
      </c>
      <c r="S43" s="2"/>
    </row>
    <row r="44" customHeight="1" spans="1:19">
      <c r="A44" s="2" t="s">
        <v>145</v>
      </c>
      <c r="B44" s="2">
        <v>103</v>
      </c>
      <c r="C44" s="2">
        <v>414984497</v>
      </c>
      <c r="D44" s="2" t="s">
        <v>124</v>
      </c>
      <c r="E44" s="2" t="s">
        <v>13</v>
      </c>
      <c r="F44" t="s">
        <v>35</v>
      </c>
      <c r="G44" t="s">
        <v>15</v>
      </c>
      <c r="H44" t="s">
        <v>40</v>
      </c>
      <c r="I44" t="s">
        <v>14</v>
      </c>
      <c r="J44" t="s">
        <v>17</v>
      </c>
      <c r="N44" s="2" t="s">
        <v>18</v>
      </c>
      <c r="O44" s="2" t="s">
        <v>19</v>
      </c>
      <c r="P44" s="2">
        <v>200000000</v>
      </c>
      <c r="Q44" s="2">
        <v>8.3</v>
      </c>
      <c r="R44" s="2" t="s">
        <v>146</v>
      </c>
      <c r="S44" s="2"/>
    </row>
    <row r="45" customHeight="1" spans="1:19">
      <c r="A45" s="2" t="s">
        <v>147</v>
      </c>
      <c r="B45" s="2">
        <v>118</v>
      </c>
      <c r="C45" s="2">
        <v>125320003</v>
      </c>
      <c r="D45" s="2" t="s">
        <v>38</v>
      </c>
      <c r="E45" s="2" t="s">
        <v>12</v>
      </c>
      <c r="F45" t="s">
        <v>13</v>
      </c>
      <c r="G45" t="s">
        <v>14</v>
      </c>
      <c r="H45" t="s">
        <v>23</v>
      </c>
      <c r="I45" t="s">
        <v>14</v>
      </c>
      <c r="J45" t="s">
        <v>23</v>
      </c>
      <c r="N45" s="2" t="s">
        <v>18</v>
      </c>
      <c r="O45" s="2" t="s">
        <v>19</v>
      </c>
      <c r="P45" s="2">
        <v>200000000</v>
      </c>
      <c r="Q45" s="2">
        <v>6.6</v>
      </c>
      <c r="R45" s="2" t="s">
        <v>148</v>
      </c>
      <c r="S45" s="2"/>
    </row>
    <row r="46" customHeight="1" spans="1:19">
      <c r="A46" s="2" t="s">
        <v>149</v>
      </c>
      <c r="B46" s="2">
        <v>140</v>
      </c>
      <c r="C46" s="2">
        <v>350034110</v>
      </c>
      <c r="D46" s="2" t="s">
        <v>150</v>
      </c>
      <c r="E46" s="2" t="s">
        <v>12</v>
      </c>
      <c r="F46" t="s">
        <v>56</v>
      </c>
      <c r="G46" t="s">
        <v>15</v>
      </c>
      <c r="H46" t="s">
        <v>14</v>
      </c>
      <c r="I46" t="s">
        <v>14</v>
      </c>
      <c r="J46" t="s">
        <v>28</v>
      </c>
      <c r="N46" s="2" t="s">
        <v>18</v>
      </c>
      <c r="O46" s="2" t="s">
        <v>19</v>
      </c>
      <c r="P46" s="2">
        <v>190000000</v>
      </c>
      <c r="Q46" s="2">
        <v>7.2</v>
      </c>
      <c r="R46" s="2" t="s">
        <v>151</v>
      </c>
      <c r="S46" s="2"/>
    </row>
    <row r="47" customHeight="1" spans="1:19">
      <c r="A47" s="2" t="s">
        <v>69</v>
      </c>
      <c r="B47" s="2">
        <v>123</v>
      </c>
      <c r="C47" s="2">
        <v>202351611</v>
      </c>
      <c r="D47" s="2" t="s">
        <v>152</v>
      </c>
      <c r="E47" s="2" t="s">
        <v>12</v>
      </c>
      <c r="F47" t="s">
        <v>13</v>
      </c>
      <c r="G47" t="s">
        <v>15</v>
      </c>
      <c r="H47" t="s">
        <v>14</v>
      </c>
      <c r="I47" t="s">
        <v>14</v>
      </c>
      <c r="J47" t="s">
        <v>24</v>
      </c>
      <c r="N47" s="2" t="s">
        <v>18</v>
      </c>
      <c r="O47" s="2" t="s">
        <v>19</v>
      </c>
      <c r="P47" s="2">
        <v>190000000</v>
      </c>
      <c r="Q47" s="2">
        <v>7</v>
      </c>
      <c r="R47" s="2" t="s">
        <v>153</v>
      </c>
      <c r="S47" s="2"/>
    </row>
    <row r="48" customHeight="1" spans="1:19">
      <c r="A48" s="2" t="s">
        <v>67</v>
      </c>
      <c r="B48" s="2">
        <v>149</v>
      </c>
      <c r="C48" s="2">
        <v>233914986</v>
      </c>
      <c r="D48" s="2" t="s">
        <v>120</v>
      </c>
      <c r="E48" s="2" t="s">
        <v>12</v>
      </c>
      <c r="F48" t="s">
        <v>13</v>
      </c>
      <c r="G48" t="s">
        <v>14</v>
      </c>
      <c r="H48" t="s">
        <v>24</v>
      </c>
      <c r="I48" t="s">
        <v>24</v>
      </c>
      <c r="J48" t="s">
        <v>24</v>
      </c>
      <c r="N48" s="2" t="s">
        <v>18</v>
      </c>
      <c r="O48" s="2" t="s">
        <v>19</v>
      </c>
      <c r="P48" s="2">
        <v>200000000</v>
      </c>
      <c r="Q48" s="2">
        <v>8</v>
      </c>
      <c r="R48" s="2" t="s">
        <v>154</v>
      </c>
      <c r="S48" s="2"/>
    </row>
    <row r="49" customHeight="1" spans="1:19">
      <c r="A49" s="2" t="s">
        <v>155</v>
      </c>
      <c r="B49" s="2">
        <v>132</v>
      </c>
      <c r="C49" s="2">
        <v>228756232</v>
      </c>
      <c r="D49" s="2" t="s">
        <v>38</v>
      </c>
      <c r="E49" s="2" t="s">
        <v>12</v>
      </c>
      <c r="F49" t="s">
        <v>13</v>
      </c>
      <c r="G49" t="s">
        <v>40</v>
      </c>
      <c r="H49" t="s">
        <v>14</v>
      </c>
      <c r="I49" t="s">
        <v>24</v>
      </c>
      <c r="J49" t="s">
        <v>24</v>
      </c>
      <c r="N49" s="2" t="s">
        <v>18</v>
      </c>
      <c r="O49" s="2" t="s">
        <v>19</v>
      </c>
      <c r="P49" s="2">
        <v>190000000</v>
      </c>
      <c r="Q49" s="2">
        <v>7.8</v>
      </c>
      <c r="R49" s="2" t="s">
        <v>156</v>
      </c>
      <c r="S49" s="2"/>
    </row>
    <row r="50" customHeight="1" spans="1:19">
      <c r="A50" s="2" t="s">
        <v>67</v>
      </c>
      <c r="B50" s="2">
        <v>114</v>
      </c>
      <c r="C50" s="2">
        <v>65171860</v>
      </c>
      <c r="D50" s="2" t="s">
        <v>89</v>
      </c>
      <c r="E50" s="2" t="s">
        <v>13</v>
      </c>
      <c r="F50" t="s">
        <v>14</v>
      </c>
      <c r="G50" t="s">
        <v>15</v>
      </c>
      <c r="H50" t="s">
        <v>24</v>
      </c>
      <c r="I50" t="s">
        <v>14</v>
      </c>
      <c r="J50" t="s">
        <v>14</v>
      </c>
      <c r="N50" s="2" t="s">
        <v>18</v>
      </c>
      <c r="O50" s="2" t="s">
        <v>19</v>
      </c>
      <c r="P50" s="2">
        <v>195000000</v>
      </c>
      <c r="Q50" s="2">
        <v>6.3</v>
      </c>
      <c r="R50" s="2" t="s">
        <v>157</v>
      </c>
      <c r="S50" s="2"/>
    </row>
    <row r="51" customHeight="1" spans="1:19">
      <c r="A51" s="2" t="s">
        <v>158</v>
      </c>
      <c r="B51" s="2">
        <v>143</v>
      </c>
      <c r="C51" s="2">
        <v>144812796</v>
      </c>
      <c r="D51" s="2" t="s">
        <v>103</v>
      </c>
      <c r="E51" s="2" t="s">
        <v>30</v>
      </c>
      <c r="F51" t="s">
        <v>17</v>
      </c>
      <c r="G51" t="s">
        <v>23</v>
      </c>
      <c r="H51" t="s">
        <v>23</v>
      </c>
      <c r="I51" t="s">
        <v>71</v>
      </c>
      <c r="J51" t="s">
        <v>29</v>
      </c>
      <c r="N51" s="2" t="s">
        <v>18</v>
      </c>
      <c r="O51" s="2" t="s">
        <v>159</v>
      </c>
      <c r="P51" s="2">
        <v>105000000</v>
      </c>
      <c r="Q51" s="2">
        <v>7.3</v>
      </c>
      <c r="R51" s="2" t="s">
        <v>160</v>
      </c>
      <c r="S51" s="2"/>
    </row>
    <row r="52" customHeight="1" spans="1:19">
      <c r="A52" s="2" t="s">
        <v>161</v>
      </c>
      <c r="B52" s="2">
        <v>116</v>
      </c>
      <c r="C52" s="2">
        <v>90755643</v>
      </c>
      <c r="D52" s="2" t="s">
        <v>113</v>
      </c>
      <c r="E52" s="2" t="s">
        <v>12</v>
      </c>
      <c r="F52" t="s">
        <v>13</v>
      </c>
      <c r="G52" t="s">
        <v>56</v>
      </c>
      <c r="H52" t="s">
        <v>17</v>
      </c>
      <c r="I52" t="s">
        <v>24</v>
      </c>
      <c r="J52" t="s">
        <v>14</v>
      </c>
      <c r="N52" s="2" t="s">
        <v>18</v>
      </c>
      <c r="O52" s="2" t="s">
        <v>19</v>
      </c>
      <c r="P52" s="2">
        <v>200000000</v>
      </c>
      <c r="Q52" s="2">
        <v>6.6</v>
      </c>
      <c r="R52" s="2" t="s">
        <v>162</v>
      </c>
      <c r="S52" s="2"/>
    </row>
    <row r="53" customHeight="1" spans="1:19">
      <c r="A53" s="2" t="s">
        <v>163</v>
      </c>
      <c r="B53" s="2">
        <v>131</v>
      </c>
      <c r="C53" s="2">
        <v>101785482</v>
      </c>
      <c r="D53" s="2" t="s">
        <v>38</v>
      </c>
      <c r="E53" s="2" t="s">
        <v>12</v>
      </c>
      <c r="F53" t="s">
        <v>13</v>
      </c>
      <c r="G53" t="s">
        <v>15</v>
      </c>
      <c r="H53" t="s">
        <v>30</v>
      </c>
      <c r="I53" t="s">
        <v>14</v>
      </c>
      <c r="J53" t="s">
        <v>14</v>
      </c>
      <c r="N53" s="2" t="s">
        <v>18</v>
      </c>
      <c r="O53" s="2" t="s">
        <v>19</v>
      </c>
      <c r="P53" s="2">
        <v>190000000</v>
      </c>
      <c r="Q53" s="2">
        <v>7</v>
      </c>
      <c r="R53" s="2" t="s">
        <v>164</v>
      </c>
      <c r="S53" s="2"/>
    </row>
    <row r="54" customHeight="1" spans="1:19">
      <c r="A54" s="2" t="s">
        <v>126</v>
      </c>
      <c r="B54" s="2">
        <v>154</v>
      </c>
      <c r="C54" s="2">
        <v>352358779</v>
      </c>
      <c r="D54" s="2" t="s">
        <v>38</v>
      </c>
      <c r="E54" s="2" t="s">
        <v>12</v>
      </c>
      <c r="F54" t="s">
        <v>13</v>
      </c>
      <c r="G54" t="s">
        <v>23</v>
      </c>
      <c r="H54" t="s">
        <v>28</v>
      </c>
      <c r="I54" t="s">
        <v>29</v>
      </c>
      <c r="J54" t="s">
        <v>24</v>
      </c>
      <c r="N54" s="2" t="s">
        <v>18</v>
      </c>
      <c r="O54" s="2" t="s">
        <v>19</v>
      </c>
      <c r="P54" s="2">
        <v>195000000</v>
      </c>
      <c r="Q54" s="2">
        <v>6.3</v>
      </c>
      <c r="R54" s="2" t="s">
        <v>165</v>
      </c>
      <c r="S54" s="2"/>
    </row>
    <row r="55" customHeight="1" spans="1:19">
      <c r="A55" s="2" t="s">
        <v>166</v>
      </c>
      <c r="B55" s="2">
        <v>122</v>
      </c>
      <c r="C55" s="2">
        <v>317011114</v>
      </c>
      <c r="D55" s="2" t="s">
        <v>22</v>
      </c>
      <c r="E55" s="2" t="s">
        <v>12</v>
      </c>
      <c r="F55" t="s">
        <v>13</v>
      </c>
      <c r="G55" t="s">
        <v>15</v>
      </c>
      <c r="H55" t="s">
        <v>28</v>
      </c>
      <c r="I55" t="s">
        <v>17</v>
      </c>
      <c r="J55" t="s">
        <v>17</v>
      </c>
      <c r="N55" s="2" t="s">
        <v>18</v>
      </c>
      <c r="O55" s="2" t="s">
        <v>19</v>
      </c>
      <c r="P55" s="2">
        <v>185000000</v>
      </c>
      <c r="Q55" s="2">
        <v>6.2</v>
      </c>
      <c r="R55" s="2" t="s">
        <v>167</v>
      </c>
      <c r="S55" s="2"/>
    </row>
    <row r="56" customHeight="1" spans="1:19">
      <c r="A56" s="2" t="s">
        <v>168</v>
      </c>
      <c r="B56" s="2">
        <v>93</v>
      </c>
      <c r="C56" s="2">
        <v>237282182</v>
      </c>
      <c r="D56" s="2" t="s">
        <v>124</v>
      </c>
      <c r="E56" s="2" t="s">
        <v>13</v>
      </c>
      <c r="F56" t="s">
        <v>35</v>
      </c>
      <c r="G56" t="s">
        <v>30</v>
      </c>
      <c r="H56" t="s">
        <v>14</v>
      </c>
      <c r="I56" t="s">
        <v>24</v>
      </c>
      <c r="J56" t="s">
        <v>15</v>
      </c>
      <c r="N56" s="2" t="s">
        <v>18</v>
      </c>
      <c r="O56" s="2" t="s">
        <v>19</v>
      </c>
      <c r="P56" s="2">
        <v>185000000</v>
      </c>
      <c r="Q56" s="2">
        <v>7.2</v>
      </c>
      <c r="R56" s="2" t="s">
        <v>169</v>
      </c>
      <c r="S56" s="2"/>
    </row>
    <row r="57" customHeight="1" spans="1:19">
      <c r="A57" s="2" t="s">
        <v>170</v>
      </c>
      <c r="B57" s="2">
        <v>122</v>
      </c>
      <c r="C57" s="2">
        <v>130468626</v>
      </c>
      <c r="D57" s="2" t="s">
        <v>108</v>
      </c>
      <c r="E57" s="2" t="s">
        <v>12</v>
      </c>
      <c r="F57" t="s">
        <v>13</v>
      </c>
      <c r="G57" t="s">
        <v>14</v>
      </c>
      <c r="H57" t="s">
        <v>14</v>
      </c>
      <c r="I57" t="s">
        <v>17</v>
      </c>
      <c r="J57" t="s">
        <v>16</v>
      </c>
      <c r="N57" s="2" t="s">
        <v>18</v>
      </c>
      <c r="O57" s="2" t="s">
        <v>19</v>
      </c>
      <c r="P57" s="2">
        <v>185000000</v>
      </c>
      <c r="Q57" s="2">
        <v>7.5</v>
      </c>
      <c r="R57" s="2" t="s">
        <v>171</v>
      </c>
      <c r="S57" s="2"/>
    </row>
    <row r="58" customHeight="1" spans="1:19">
      <c r="A58" s="2" t="s">
        <v>37</v>
      </c>
      <c r="B58" s="2">
        <v>98</v>
      </c>
      <c r="C58" s="2">
        <v>223806889</v>
      </c>
      <c r="D58" s="2" t="s">
        <v>172</v>
      </c>
      <c r="E58" s="2" t="s">
        <v>13</v>
      </c>
      <c r="F58" t="s">
        <v>35</v>
      </c>
      <c r="G58" t="s">
        <v>15</v>
      </c>
      <c r="H58" t="s">
        <v>40</v>
      </c>
      <c r="I58" t="s">
        <v>17</v>
      </c>
      <c r="J58" t="s">
        <v>16</v>
      </c>
      <c r="N58" s="2" t="s">
        <v>18</v>
      </c>
      <c r="O58" s="2" t="s">
        <v>19</v>
      </c>
      <c r="P58" s="2">
        <v>180000000</v>
      </c>
      <c r="Q58" s="2">
        <v>8.4</v>
      </c>
      <c r="R58" s="2" t="s">
        <v>173</v>
      </c>
      <c r="S58" s="2"/>
    </row>
    <row r="59" customHeight="1" spans="1:19">
      <c r="A59" s="2" t="s">
        <v>119</v>
      </c>
      <c r="B59" s="2">
        <v>91</v>
      </c>
      <c r="C59" s="2">
        <v>140080850</v>
      </c>
      <c r="D59" s="2" t="s">
        <v>174</v>
      </c>
      <c r="E59" s="2" t="s">
        <v>12</v>
      </c>
      <c r="F59" t="s">
        <v>40</v>
      </c>
      <c r="G59" t="s">
        <v>30</v>
      </c>
      <c r="H59" t="s">
        <v>14</v>
      </c>
      <c r="I59" t="s">
        <v>14</v>
      </c>
      <c r="J59" t="s">
        <v>24</v>
      </c>
      <c r="N59" s="2" t="s">
        <v>18</v>
      </c>
      <c r="O59" s="2" t="s">
        <v>19</v>
      </c>
      <c r="P59" s="2">
        <v>140000000</v>
      </c>
      <c r="Q59" s="2">
        <v>6.2</v>
      </c>
      <c r="R59" s="2" t="s">
        <v>175</v>
      </c>
      <c r="S59" s="2"/>
    </row>
    <row r="60" customHeight="1" spans="1:19">
      <c r="A60" s="2" t="s">
        <v>176</v>
      </c>
      <c r="B60" s="2">
        <v>158</v>
      </c>
      <c r="C60" s="2">
        <v>166112167</v>
      </c>
      <c r="D60" s="2" t="s">
        <v>38</v>
      </c>
      <c r="E60" s="2" t="s">
        <v>12</v>
      </c>
      <c r="F60" t="s">
        <v>13</v>
      </c>
      <c r="G60" t="s">
        <v>40</v>
      </c>
      <c r="H60" t="s">
        <v>15</v>
      </c>
      <c r="I60" t="s">
        <v>28</v>
      </c>
      <c r="J60" t="s">
        <v>15</v>
      </c>
      <c r="N60" s="2" t="s">
        <v>18</v>
      </c>
      <c r="O60" s="2" t="s">
        <v>19</v>
      </c>
      <c r="P60" s="2">
        <v>200000000</v>
      </c>
      <c r="Q60" s="2">
        <v>5.8</v>
      </c>
      <c r="R60" s="2" t="s">
        <v>177</v>
      </c>
      <c r="S60" s="2"/>
    </row>
    <row r="61" customHeight="1" spans="1:19">
      <c r="A61" s="2" t="s">
        <v>178</v>
      </c>
      <c r="B61" s="2">
        <v>96</v>
      </c>
      <c r="C61" s="2">
        <v>137850096</v>
      </c>
      <c r="D61" s="2" t="s">
        <v>179</v>
      </c>
      <c r="E61" s="2" t="s">
        <v>35</v>
      </c>
      <c r="F61" t="s">
        <v>30</v>
      </c>
      <c r="G61" t="s">
        <v>35</v>
      </c>
      <c r="H61" t="s">
        <v>23</v>
      </c>
      <c r="I61" t="s">
        <v>14</v>
      </c>
      <c r="J61" t="s">
        <v>28</v>
      </c>
      <c r="N61" s="2" t="s">
        <v>18</v>
      </c>
      <c r="O61" s="2" t="s">
        <v>19</v>
      </c>
      <c r="P61" s="2">
        <v>200000000</v>
      </c>
      <c r="Q61" s="2">
        <v>6.8</v>
      </c>
      <c r="R61" s="2" t="s">
        <v>180</v>
      </c>
      <c r="S61" s="2"/>
    </row>
    <row r="62" customHeight="1" spans="1:19">
      <c r="A62" s="2" t="s">
        <v>181</v>
      </c>
      <c r="B62" s="2">
        <v>127</v>
      </c>
      <c r="C62" s="2">
        <v>47375327</v>
      </c>
      <c r="D62" s="2" t="s">
        <v>38</v>
      </c>
      <c r="E62" s="2" t="s">
        <v>12</v>
      </c>
      <c r="F62" t="s">
        <v>13</v>
      </c>
      <c r="G62" t="s">
        <v>15</v>
      </c>
      <c r="H62" t="s">
        <v>24</v>
      </c>
      <c r="I62" t="s">
        <v>24</v>
      </c>
      <c r="J62" t="s">
        <v>15</v>
      </c>
      <c r="N62" s="2" t="s">
        <v>18</v>
      </c>
      <c r="O62" s="2" t="s">
        <v>19</v>
      </c>
      <c r="P62" s="2">
        <v>176000000</v>
      </c>
      <c r="Q62" s="2">
        <v>5.4</v>
      </c>
      <c r="R62" s="2" t="s">
        <v>182</v>
      </c>
      <c r="S62" s="2"/>
    </row>
    <row r="63" customHeight="1" spans="1:19">
      <c r="A63" s="2" t="s">
        <v>61</v>
      </c>
      <c r="B63" s="2">
        <v>110</v>
      </c>
      <c r="C63" s="2">
        <v>124051759</v>
      </c>
      <c r="D63" s="2" t="s">
        <v>101</v>
      </c>
      <c r="E63" s="2" t="s">
        <v>12</v>
      </c>
      <c r="F63" t="s">
        <v>13</v>
      </c>
      <c r="G63" t="s">
        <v>23</v>
      </c>
      <c r="H63" t="s">
        <v>30</v>
      </c>
      <c r="I63" t="s">
        <v>55</v>
      </c>
      <c r="J63" t="s">
        <v>71</v>
      </c>
      <c r="N63" s="2" t="s">
        <v>18</v>
      </c>
      <c r="O63" s="2" t="s">
        <v>19</v>
      </c>
      <c r="P63" s="2">
        <v>180000000</v>
      </c>
      <c r="Q63" s="2">
        <v>6.6</v>
      </c>
      <c r="R63" s="2" t="s">
        <v>183</v>
      </c>
      <c r="S63" s="2"/>
    </row>
    <row r="64" customHeight="1" spans="1:19">
      <c r="A64" s="2" t="s">
        <v>78</v>
      </c>
      <c r="B64" s="2">
        <v>150</v>
      </c>
      <c r="C64" s="2">
        <v>291709845</v>
      </c>
      <c r="D64" s="2" t="s">
        <v>99</v>
      </c>
      <c r="E64" s="2" t="s">
        <v>13</v>
      </c>
      <c r="F64" t="s">
        <v>23</v>
      </c>
      <c r="G64" t="s">
        <v>15</v>
      </c>
      <c r="H64" t="s">
        <v>40</v>
      </c>
      <c r="I64" t="s">
        <v>17</v>
      </c>
      <c r="J64" t="s">
        <v>17</v>
      </c>
      <c r="N64" s="2" t="s">
        <v>18</v>
      </c>
      <c r="O64" s="2" t="s">
        <v>19</v>
      </c>
      <c r="P64" s="2">
        <v>180000000</v>
      </c>
      <c r="Q64" s="2">
        <v>6.9</v>
      </c>
      <c r="R64" s="2" t="s">
        <v>184</v>
      </c>
      <c r="S64" s="2"/>
    </row>
    <row r="65" customHeight="1" spans="1:19">
      <c r="A65" s="2" t="s">
        <v>67</v>
      </c>
      <c r="B65" s="2">
        <v>144</v>
      </c>
      <c r="C65" s="2">
        <v>154985087</v>
      </c>
      <c r="D65" s="2" t="s">
        <v>38</v>
      </c>
      <c r="E65" s="2" t="s">
        <v>12</v>
      </c>
      <c r="F65" t="s">
        <v>13</v>
      </c>
      <c r="G65" t="s">
        <v>14</v>
      </c>
      <c r="H65" t="s">
        <v>24</v>
      </c>
      <c r="I65" t="s">
        <v>24</v>
      </c>
      <c r="J65" t="s">
        <v>16</v>
      </c>
      <c r="N65" s="2" t="s">
        <v>18</v>
      </c>
      <c r="O65" s="2" t="s">
        <v>19</v>
      </c>
      <c r="P65" s="2">
        <v>178000000</v>
      </c>
      <c r="Q65" s="2">
        <v>7.3</v>
      </c>
      <c r="R65" s="2" t="s">
        <v>185</v>
      </c>
      <c r="S65" s="2"/>
    </row>
    <row r="66" customHeight="1" spans="1:19">
      <c r="A66" s="2" t="s">
        <v>33</v>
      </c>
      <c r="B66" s="2">
        <v>152</v>
      </c>
      <c r="C66" s="2">
        <v>533316061</v>
      </c>
      <c r="D66" s="2" t="s">
        <v>186</v>
      </c>
      <c r="E66" s="2" t="s">
        <v>12</v>
      </c>
      <c r="F66" t="s">
        <v>56</v>
      </c>
      <c r="G66" t="s">
        <v>40</v>
      </c>
      <c r="H66" t="s">
        <v>23</v>
      </c>
      <c r="I66" t="s">
        <v>15</v>
      </c>
      <c r="J66" t="s">
        <v>15</v>
      </c>
      <c r="N66" s="2" t="s">
        <v>18</v>
      </c>
      <c r="O66" s="2" t="s">
        <v>19</v>
      </c>
      <c r="P66" s="2">
        <v>185000000</v>
      </c>
      <c r="Q66" s="2">
        <v>9</v>
      </c>
      <c r="R66" s="2" t="s">
        <v>187</v>
      </c>
      <c r="S66" s="2"/>
    </row>
    <row r="67" customHeight="1" spans="1:19">
      <c r="A67" s="2" t="s">
        <v>188</v>
      </c>
      <c r="B67" s="2">
        <v>96</v>
      </c>
      <c r="C67" s="2">
        <v>292979556</v>
      </c>
      <c r="D67" s="2" t="s">
        <v>189</v>
      </c>
      <c r="E67" s="2" t="s">
        <v>13</v>
      </c>
      <c r="F67" t="s">
        <v>35</v>
      </c>
      <c r="G67" t="s">
        <v>14</v>
      </c>
      <c r="H67" t="s">
        <v>40</v>
      </c>
      <c r="I67" t="s">
        <v>14</v>
      </c>
      <c r="J67" t="s">
        <v>15</v>
      </c>
      <c r="N67" s="2" t="s">
        <v>18</v>
      </c>
      <c r="O67" s="2" t="s">
        <v>19</v>
      </c>
      <c r="P67" s="2">
        <v>175000000</v>
      </c>
      <c r="Q67" s="2">
        <v>8.3</v>
      </c>
      <c r="R67" s="2" t="s">
        <v>190</v>
      </c>
      <c r="S67" s="2"/>
    </row>
    <row r="68" customHeight="1" spans="1:19">
      <c r="A68" s="2" t="s">
        <v>191</v>
      </c>
      <c r="B68" s="2">
        <v>94</v>
      </c>
      <c r="C68" s="2">
        <v>198332128</v>
      </c>
      <c r="D68" s="2" t="s">
        <v>192</v>
      </c>
      <c r="E68" s="2" t="s">
        <v>12</v>
      </c>
      <c r="F68" t="s">
        <v>13</v>
      </c>
      <c r="G68" t="s">
        <v>15</v>
      </c>
      <c r="H68" t="s">
        <v>14</v>
      </c>
      <c r="I68" t="s">
        <v>24</v>
      </c>
      <c r="J68" t="s">
        <v>24</v>
      </c>
      <c r="N68" s="2" t="s">
        <v>18</v>
      </c>
      <c r="O68" s="2" t="s">
        <v>19</v>
      </c>
      <c r="P68" s="2">
        <v>175000000</v>
      </c>
      <c r="Q68" s="2">
        <v>6.5</v>
      </c>
      <c r="R68" s="2" t="s">
        <v>193</v>
      </c>
      <c r="S68" s="2"/>
    </row>
    <row r="69" customHeight="1" spans="1:19">
      <c r="A69" s="2" t="s">
        <v>194</v>
      </c>
      <c r="B69" s="2">
        <v>126</v>
      </c>
      <c r="C69" s="2">
        <v>318298180</v>
      </c>
      <c r="D69" s="2" t="s">
        <v>38</v>
      </c>
      <c r="E69" s="2" t="s">
        <v>12</v>
      </c>
      <c r="F69" t="s">
        <v>13</v>
      </c>
      <c r="G69" t="s">
        <v>15</v>
      </c>
      <c r="H69" t="s">
        <v>40</v>
      </c>
      <c r="I69" t="s">
        <v>23</v>
      </c>
      <c r="J69" t="s">
        <v>16</v>
      </c>
      <c r="N69" s="2" t="s">
        <v>18</v>
      </c>
      <c r="O69" s="2" t="s">
        <v>19</v>
      </c>
      <c r="P69" s="2">
        <v>140000000</v>
      </c>
      <c r="Q69" s="2">
        <v>7.9</v>
      </c>
      <c r="R69" s="2" t="s">
        <v>195</v>
      </c>
      <c r="S69" s="2"/>
    </row>
    <row r="70" customHeight="1" spans="1:26">
      <c r="A70" s="2" t="s">
        <v>196</v>
      </c>
      <c r="B70" s="2">
        <v>126</v>
      </c>
      <c r="C70" s="2">
        <v>73820094</v>
      </c>
      <c r="D70" s="2" t="s">
        <v>197</v>
      </c>
      <c r="E70" s="2" t="s">
        <v>13</v>
      </c>
      <c r="F70" t="s">
        <v>30</v>
      </c>
      <c r="G70" t="s">
        <v>15</v>
      </c>
      <c r="H70" t="s">
        <v>23</v>
      </c>
      <c r="I70" t="s">
        <v>17</v>
      </c>
      <c r="J70" t="s">
        <v>29</v>
      </c>
      <c r="N70" s="2" t="s">
        <v>18</v>
      </c>
      <c r="O70" s="2" t="s">
        <v>19</v>
      </c>
      <c r="P70" s="2">
        <v>170000000</v>
      </c>
      <c r="Q70" s="2">
        <v>7.5</v>
      </c>
      <c r="R70" s="2" t="s">
        <v>198</v>
      </c>
      <c r="S70" s="2"/>
      <c r="U70" t="s">
        <v>199</v>
      </c>
      <c r="V70" s="3" t="s">
        <v>200</v>
      </c>
      <c r="W70" s="3" t="s">
        <v>201</v>
      </c>
      <c r="X70" s="3" t="s">
        <v>202</v>
      </c>
      <c r="Y70" s="3" t="s">
        <v>203</v>
      </c>
      <c r="Z70" s="3" t="s">
        <v>204</v>
      </c>
    </row>
    <row r="71" customHeight="1" spans="1:26">
      <c r="A71" s="2" t="s">
        <v>85</v>
      </c>
      <c r="B71" s="2">
        <v>106</v>
      </c>
      <c r="C71" s="2">
        <v>113745408</v>
      </c>
      <c r="D71" s="2" t="s">
        <v>205</v>
      </c>
      <c r="E71" s="2" t="s">
        <v>12</v>
      </c>
      <c r="F71" t="s">
        <v>40</v>
      </c>
      <c r="G71" t="s">
        <v>40</v>
      </c>
      <c r="H71" t="s">
        <v>23</v>
      </c>
      <c r="I71" t="s">
        <v>24</v>
      </c>
      <c r="J71" t="s">
        <v>24</v>
      </c>
      <c r="N71" s="2" t="s">
        <v>18</v>
      </c>
      <c r="O71" s="2" t="s">
        <v>19</v>
      </c>
      <c r="P71" s="2">
        <v>170000000</v>
      </c>
      <c r="Q71" s="2">
        <v>4.8</v>
      </c>
      <c r="R71" s="2" t="s">
        <v>206</v>
      </c>
      <c r="S71" s="2"/>
      <c r="U71" t="str">
        <f>IFERROR(__xludf.DUMMYFUNCTION("UNIQUE(F2:F3787)"),"English")</f>
        <v>English</v>
      </c>
      <c r="V71">
        <f>COUNTIF(N$2:N$3787,U71)</f>
        <v>3606</v>
      </c>
      <c r="W71">
        <f>AVERAGEIF(N2:N3787,U71,Q2:Q3787)</f>
        <v>6.42143649473099</v>
      </c>
      <c r="X71" cm="1">
        <f t="array" ref="X71">MEDIAN(IF(ISNUMBER(SEARCH("*"&amp;U71&amp;"*",N$2:N$3787)),Q$2:Q$3787))</f>
        <v>6.5</v>
      </c>
      <c r="Y71" cm="1">
        <f t="array" ref="Y71">VAR(IF(ISNUMBER(SEARCH("*"&amp;U71&amp;"*",N$2:N$3787)),Q$2:Q$3787))</f>
        <v>1.10775394145833</v>
      </c>
      <c r="Z71" cm="1">
        <f t="array" ref="Z71">STDEV(IF(ISNUMBER(SEARCH("*"&amp;U71&amp;"*",N$2:N$3787)),Q$2:Q$3787))</f>
        <v>1.05249890330505</v>
      </c>
    </row>
    <row r="72" customHeight="1" spans="1:26">
      <c r="A72" s="2" t="s">
        <v>207</v>
      </c>
      <c r="B72" s="2">
        <v>112</v>
      </c>
      <c r="C72" s="2">
        <v>102176165</v>
      </c>
      <c r="D72" s="2" t="s">
        <v>208</v>
      </c>
      <c r="E72" s="2" t="s">
        <v>12</v>
      </c>
      <c r="F72" t="s">
        <v>13</v>
      </c>
      <c r="G72" t="s">
        <v>23</v>
      </c>
      <c r="H72" t="s">
        <v>23</v>
      </c>
      <c r="I72" t="s">
        <v>16</v>
      </c>
      <c r="J72" t="s">
        <v>28</v>
      </c>
      <c r="N72" s="2" t="s">
        <v>18</v>
      </c>
      <c r="O72" s="2" t="s">
        <v>19</v>
      </c>
      <c r="P72" s="2">
        <v>145000000</v>
      </c>
      <c r="Q72" s="2">
        <v>5.2</v>
      </c>
      <c r="R72" s="2" t="s">
        <v>209</v>
      </c>
      <c r="S72" s="2"/>
      <c r="U72" t="str">
        <f>IFERROR(__xludf.DUMMYFUNCTION("""COMPUTED_VALUE"""),"Mandarin")</f>
        <v>Mandarin</v>
      </c>
      <c r="V72">
        <f t="shared" ref="V72:V93" si="0">COUNTIF(N$2:N$3787,U72)</f>
        <v>14</v>
      </c>
      <c r="W72">
        <f t="shared" ref="W72:W108" si="1">AVERAGEIF(N3:N3788,U72,Q3:Q3788)</f>
        <v>7.02142857142857</v>
      </c>
      <c r="X72" cm="1">
        <f t="array" ref="X72">MEDIAN(IF(ISNUMBER(SEARCH("*"&amp;U72&amp;"*",N$2:N$3787)),Q$2:Q$3787))</f>
        <v>7.25</v>
      </c>
      <c r="Y72" cm="1">
        <f t="array" ref="Y72">VAR(IF(ISNUMBER(SEARCH("*"&amp;U72&amp;"*",N$2:N$3787)),Q$2:Q$3787))</f>
        <v>0.586428571428572</v>
      </c>
      <c r="Z72" cm="1">
        <f t="array" ref="Z72">STDEV(IF(ISNUMBER(SEARCH("*"&amp;U72&amp;"*",N$2:N$3787)),Q$2:Q$3787))</f>
        <v>0.765786243953606</v>
      </c>
    </row>
    <row r="73" customHeight="1" spans="1:26">
      <c r="A73" s="2" t="s">
        <v>210</v>
      </c>
      <c r="B73" s="2">
        <v>123</v>
      </c>
      <c r="C73" s="2">
        <v>161087183</v>
      </c>
      <c r="D73" s="2" t="s">
        <v>211</v>
      </c>
      <c r="E73" s="2" t="s">
        <v>12</v>
      </c>
      <c r="F73" t="s">
        <v>13</v>
      </c>
      <c r="G73" t="s">
        <v>15</v>
      </c>
      <c r="H73" t="s">
        <v>15</v>
      </c>
      <c r="I73" t="s">
        <v>24</v>
      </c>
      <c r="J73" t="s">
        <v>71</v>
      </c>
      <c r="N73" s="2" t="s">
        <v>18</v>
      </c>
      <c r="O73" s="2" t="s">
        <v>19</v>
      </c>
      <c r="P73" s="2">
        <v>175000000</v>
      </c>
      <c r="Q73" s="2">
        <v>6.9</v>
      </c>
      <c r="R73" s="2" t="s">
        <v>212</v>
      </c>
      <c r="S73" s="2"/>
      <c r="U73" t="str">
        <f>IFERROR(__xludf.DUMMYFUNCTION("""COMPUTED_VALUE"""),"Aboriginal")</f>
        <v>Aboriginal</v>
      </c>
      <c r="V73">
        <f t="shared" si="0"/>
        <v>2</v>
      </c>
      <c r="W73">
        <f t="shared" si="1"/>
        <v>6.95</v>
      </c>
      <c r="X73" cm="1">
        <f t="array" ref="X73">MEDIAN(IF(ISNUMBER(SEARCH("*"&amp;U73&amp;"*",N$2:N$3787)),Q$2:Q$3787))</f>
        <v>6.95</v>
      </c>
      <c r="Y73" cm="1">
        <f t="array" ref="Y73">VAR(IF(ISNUMBER(SEARCH("*"&amp;U73&amp;"*",N$2:N$3787)),Q$2:Q$3787))</f>
        <v>0.605</v>
      </c>
      <c r="Z73" cm="1">
        <f t="array" ref="Z73">STDEV(IF(ISNUMBER(SEARCH("*"&amp;U73&amp;"*",N$2:N$3787)),Q$2:Q$3787))</f>
        <v>0.777817459305202</v>
      </c>
    </row>
    <row r="74" customHeight="1" spans="1:26">
      <c r="A74" s="2" t="s">
        <v>213</v>
      </c>
      <c r="B74" s="2">
        <v>96</v>
      </c>
      <c r="C74" s="2">
        <v>100289690</v>
      </c>
      <c r="D74" s="2" t="s">
        <v>214</v>
      </c>
      <c r="E74" s="2" t="s">
        <v>40</v>
      </c>
      <c r="F74" t="s">
        <v>23</v>
      </c>
      <c r="G74" t="s">
        <v>30</v>
      </c>
      <c r="H74" t="s">
        <v>24</v>
      </c>
      <c r="I74" t="s">
        <v>14</v>
      </c>
      <c r="J74" t="s">
        <v>16</v>
      </c>
      <c r="N74" s="2" t="s">
        <v>18</v>
      </c>
      <c r="O74" s="2" t="s">
        <v>19</v>
      </c>
      <c r="P74" s="2">
        <v>175000000</v>
      </c>
      <c r="Q74" s="2">
        <v>5.4</v>
      </c>
      <c r="R74" s="2" t="s">
        <v>215</v>
      </c>
      <c r="S74" s="2"/>
      <c r="U74" t="str">
        <f>IFERROR(__xludf.DUMMYFUNCTION("""COMPUTED_VALUE"""),"Spanish")</f>
        <v>Spanish</v>
      </c>
      <c r="V74">
        <f t="shared" si="0"/>
        <v>26</v>
      </c>
      <c r="W74">
        <f t="shared" si="1"/>
        <v>7.05</v>
      </c>
      <c r="X74" cm="1">
        <f t="array" ref="X74">MEDIAN(IF(ISNUMBER(SEARCH("*"&amp;U74&amp;"*",N$2:N$3787)),Q$2:Q$3787))</f>
        <v>7.15</v>
      </c>
      <c r="Y74" cm="1">
        <f t="array" ref="Y74">VAR(IF(ISNUMBER(SEARCH("*"&amp;U74&amp;"*",N$2:N$3787)),Q$2:Q$3787))</f>
        <v>0.6826</v>
      </c>
      <c r="Z74" cm="1">
        <f t="array" ref="Z74">STDEV(IF(ISNUMBER(SEARCH("*"&amp;U74&amp;"*",N$2:N$3787)),Q$2:Q$3787))</f>
        <v>0.826196102629394</v>
      </c>
    </row>
    <row r="75" customHeight="1" spans="1:26">
      <c r="A75" s="2" t="s">
        <v>216</v>
      </c>
      <c r="B75" s="2">
        <v>113</v>
      </c>
      <c r="C75" s="2">
        <v>100189501</v>
      </c>
      <c r="D75" s="2" t="s">
        <v>38</v>
      </c>
      <c r="E75" s="2" t="s">
        <v>12</v>
      </c>
      <c r="F75" t="s">
        <v>13</v>
      </c>
      <c r="G75" t="s">
        <v>23</v>
      </c>
      <c r="H75" t="s">
        <v>23</v>
      </c>
      <c r="I75" t="s">
        <v>14</v>
      </c>
      <c r="J75" t="s">
        <v>17</v>
      </c>
      <c r="N75" s="2" t="s">
        <v>18</v>
      </c>
      <c r="O75" s="2" t="s">
        <v>19</v>
      </c>
      <c r="P75" s="2">
        <v>178000000</v>
      </c>
      <c r="Q75" s="2">
        <v>7.9</v>
      </c>
      <c r="R75" s="2" t="s">
        <v>217</v>
      </c>
      <c r="S75" s="2"/>
      <c r="U75" t="str">
        <f>IFERROR(__xludf.DUMMYFUNCTION("""COMPUTED_VALUE"""),"French")</f>
        <v>French</v>
      </c>
      <c r="V75">
        <f t="shared" si="0"/>
        <v>37</v>
      </c>
      <c r="W75">
        <f t="shared" si="1"/>
        <v>7.28648648648649</v>
      </c>
      <c r="X75" cm="1">
        <f t="array" ref="X75">MEDIAN(IF(ISNUMBER(SEARCH("*"&amp;U75&amp;"*",N$2:N$3787)),Q$2:Q$3787))</f>
        <v>7.2</v>
      </c>
      <c r="Y75" cm="1">
        <f t="array" ref="Y75">VAR(IF(ISNUMBER(SEARCH("*"&amp;U75&amp;"*",N$2:N$3787)),Q$2:Q$3787))</f>
        <v>0.31509009009009</v>
      </c>
      <c r="Z75" cm="1">
        <f t="array" ref="Z75">STDEV(IF(ISNUMBER(SEARCH("*"&amp;U75&amp;"*",N$2:N$3787)),Q$2:Q$3787))</f>
        <v>0.561328860909619</v>
      </c>
    </row>
    <row r="76" customHeight="1" spans="1:26">
      <c r="A76" s="2" t="s">
        <v>218</v>
      </c>
      <c r="B76" s="2">
        <v>176</v>
      </c>
      <c r="C76" s="2">
        <v>88246220</v>
      </c>
      <c r="D76" s="2" t="s">
        <v>108</v>
      </c>
      <c r="E76" s="2" t="s">
        <v>12</v>
      </c>
      <c r="F76" t="s">
        <v>13</v>
      </c>
      <c r="G76" t="s">
        <v>30</v>
      </c>
      <c r="H76" t="s">
        <v>14</v>
      </c>
      <c r="I76" t="s">
        <v>28</v>
      </c>
      <c r="J76" t="s">
        <v>29</v>
      </c>
      <c r="N76" s="2" t="s">
        <v>18</v>
      </c>
      <c r="O76" s="2" t="s">
        <v>19</v>
      </c>
      <c r="P76" s="2">
        <v>175000000</v>
      </c>
      <c r="Q76" s="2">
        <v>6.1</v>
      </c>
      <c r="R76" s="2" t="s">
        <v>219</v>
      </c>
      <c r="S76" s="2"/>
      <c r="U76" t="str">
        <f>IFERROR(__xludf.DUMMYFUNCTION("""COMPUTED_VALUE"""),"Filipino")</f>
        <v>Filipino</v>
      </c>
      <c r="V76">
        <f t="shared" si="0"/>
        <v>1</v>
      </c>
      <c r="W76">
        <f t="shared" si="1"/>
        <v>6.7</v>
      </c>
      <c r="X76" cm="1">
        <f t="array" ref="X76">MEDIAN(IF(ISNUMBER(SEARCH("*"&amp;U76&amp;"*",N$2:N$3787)),Q$2:Q$3787))</f>
        <v>6.7</v>
      </c>
      <c r="Y76" t="e" cm="1">
        <f t="array" ref="Y76">VAR(IF(ISNUMBER(SEARCH("*"&amp;U76&amp;"*",N$2:N$3787)),Q$2:Q$3787))</f>
        <v>#DIV/0!</v>
      </c>
      <c r="Z76" t="e" cm="1">
        <f t="array" ref="Z76">STDEV(IF(ISNUMBER(SEARCH("*"&amp;U76&amp;"*",N$2:N$3787)),Q$2:Q$3787))</f>
        <v>#DIV/0!</v>
      </c>
    </row>
    <row r="77" customHeight="1" spans="1:26">
      <c r="A77" s="2" t="s">
        <v>220</v>
      </c>
      <c r="B77" s="2">
        <v>118</v>
      </c>
      <c r="C77" s="2">
        <v>150167630</v>
      </c>
      <c r="D77" s="2" t="s">
        <v>108</v>
      </c>
      <c r="E77" s="2" t="s">
        <v>12</v>
      </c>
      <c r="F77" t="s">
        <v>13</v>
      </c>
      <c r="G77" t="s">
        <v>30</v>
      </c>
      <c r="H77" t="s">
        <v>40</v>
      </c>
      <c r="I77" t="s">
        <v>28</v>
      </c>
      <c r="J77" t="s">
        <v>14</v>
      </c>
      <c r="N77" s="2" t="s">
        <v>18</v>
      </c>
      <c r="O77" s="2" t="s">
        <v>19</v>
      </c>
      <c r="P77" s="2">
        <v>175000000</v>
      </c>
      <c r="Q77" s="2">
        <v>5.8</v>
      </c>
      <c r="R77" s="2" t="s">
        <v>221</v>
      </c>
      <c r="S77" s="2"/>
      <c r="U77" t="str">
        <f>IFERROR(__xludf.DUMMYFUNCTION("""COMPUTED_VALUE"""),"Maya")</f>
        <v>Maya</v>
      </c>
      <c r="V77">
        <f t="shared" si="0"/>
        <v>1</v>
      </c>
      <c r="W77">
        <f t="shared" si="1"/>
        <v>7.8</v>
      </c>
      <c r="X77" cm="1">
        <f t="array" ref="X77">MEDIAN(IF(ISNUMBER(SEARCH("*"&amp;U77&amp;"*",N$2:N$3787)),Q$2:Q$3787))</f>
        <v>7.8</v>
      </c>
      <c r="Y77" t="e" cm="1">
        <f t="array" ref="Y77">VAR(IF(ISNUMBER(SEARCH("*"&amp;U77&amp;"*",N$2:N$3787)),Q$2:Q$3787))</f>
        <v>#DIV/0!</v>
      </c>
      <c r="Z77" t="e" cm="1">
        <f t="array" ref="Z77">STDEV(IF(ISNUMBER(SEARCH("*"&amp;U77&amp;"*",N$2:N$3787)),Q$2:Q$3787))</f>
        <v>#DIV/0!</v>
      </c>
    </row>
    <row r="78" customHeight="1" spans="1:26">
      <c r="A78" s="2" t="s">
        <v>188</v>
      </c>
      <c r="B78" s="2">
        <v>95</v>
      </c>
      <c r="C78" s="2">
        <v>356454367</v>
      </c>
      <c r="D78" s="2" t="s">
        <v>222</v>
      </c>
      <c r="E78" s="2" t="s">
        <v>13</v>
      </c>
      <c r="F78" t="s">
        <v>35</v>
      </c>
      <c r="G78" t="s">
        <v>15</v>
      </c>
      <c r="H78" t="s">
        <v>14</v>
      </c>
      <c r="I78" t="s">
        <v>24</v>
      </c>
      <c r="J78" t="s">
        <v>29</v>
      </c>
      <c r="N78" s="2" t="s">
        <v>18</v>
      </c>
      <c r="O78" s="2" t="s">
        <v>19</v>
      </c>
      <c r="P78" s="2">
        <v>175000000</v>
      </c>
      <c r="Q78" s="2">
        <v>8.3</v>
      </c>
      <c r="R78" s="2" t="s">
        <v>223</v>
      </c>
      <c r="S78" s="2"/>
      <c r="U78" t="str">
        <f>IFERROR(__xludf.DUMMYFUNCTION("""COMPUTED_VALUE"""),"Kazakh")</f>
        <v>Kazakh</v>
      </c>
      <c r="V78">
        <f t="shared" si="0"/>
        <v>1</v>
      </c>
      <c r="W78">
        <f t="shared" si="1"/>
        <v>6</v>
      </c>
      <c r="X78" cm="1">
        <f t="array" ref="X78">MEDIAN(IF(ISNUMBER(SEARCH("*"&amp;U78&amp;"*",N$2:N$3787)),Q$2:Q$3787))</f>
        <v>6</v>
      </c>
      <c r="Y78" t="e" cm="1">
        <f t="array" ref="Y78">VAR(IF(ISNUMBER(SEARCH("*"&amp;U78&amp;"*",N$2:N$3787)),Q$2:Q$3787))</f>
        <v>#DIV/0!</v>
      </c>
      <c r="Z78" t="e" cm="1">
        <f t="array" ref="Z78">STDEV(IF(ISNUMBER(SEARCH("*"&amp;U78&amp;"*",N$2:N$3787)),Q$2:Q$3787))</f>
        <v>#DIV/0!</v>
      </c>
    </row>
    <row r="79" customHeight="1" spans="1:26">
      <c r="A79" s="2" t="s">
        <v>194</v>
      </c>
      <c r="B79" s="2">
        <v>106</v>
      </c>
      <c r="C79" s="2">
        <v>362645141</v>
      </c>
      <c r="D79" s="2" t="s">
        <v>224</v>
      </c>
      <c r="E79" s="2" t="s">
        <v>13</v>
      </c>
      <c r="F79" t="s">
        <v>30</v>
      </c>
      <c r="G79" t="s">
        <v>40</v>
      </c>
      <c r="H79" t="s">
        <v>29</v>
      </c>
      <c r="I79" t="s">
        <v>16</v>
      </c>
      <c r="J79" t="s">
        <v>15</v>
      </c>
      <c r="N79" s="2" t="s">
        <v>18</v>
      </c>
      <c r="O79" s="2" t="s">
        <v>31</v>
      </c>
      <c r="P79" s="2">
        <v>175000000</v>
      </c>
      <c r="Q79" s="2">
        <v>7.8</v>
      </c>
      <c r="R79" s="2" t="s">
        <v>225</v>
      </c>
      <c r="S79" s="2"/>
      <c r="U79" t="str">
        <f>IFERROR(__xludf.DUMMYFUNCTION("""COMPUTED_VALUE"""),"Telugu")</f>
        <v>Telugu</v>
      </c>
      <c r="V79">
        <f t="shared" si="0"/>
        <v>1</v>
      </c>
      <c r="W79">
        <f t="shared" si="1"/>
        <v>8.4</v>
      </c>
      <c r="X79" cm="1">
        <f t="array" ref="X79">MEDIAN(IF(ISNUMBER(SEARCH("*"&amp;U79&amp;"*",N$2:N$3787)),Q$2:Q$3787))</f>
        <v>8.4</v>
      </c>
      <c r="Y79" t="e" cm="1">
        <f t="array" ref="Y79">VAR(IF(ISNUMBER(SEARCH("*"&amp;U79&amp;"*",N$2:N$3787)),Q$2:Q$3787))</f>
        <v>#DIV/0!</v>
      </c>
      <c r="Z79" t="e" cm="1">
        <f t="array" ref="Z79">STDEV(IF(ISNUMBER(SEARCH("*"&amp;U79&amp;"*",N$2:N$3787)),Q$2:Q$3787))</f>
        <v>#DIV/0!</v>
      </c>
    </row>
    <row r="80" customHeight="1" spans="1:26">
      <c r="A80" s="2" t="s">
        <v>194</v>
      </c>
      <c r="B80" s="2">
        <v>124</v>
      </c>
      <c r="C80" s="2">
        <v>312057433</v>
      </c>
      <c r="D80" s="2" t="s">
        <v>38</v>
      </c>
      <c r="E80" s="2" t="s">
        <v>12</v>
      </c>
      <c r="F80" t="s">
        <v>13</v>
      </c>
      <c r="G80" t="s">
        <v>23</v>
      </c>
      <c r="H80" t="s">
        <v>17</v>
      </c>
      <c r="I80" t="s">
        <v>17</v>
      </c>
      <c r="J80" t="s">
        <v>15</v>
      </c>
      <c r="N80" s="2" t="s">
        <v>18</v>
      </c>
      <c r="O80" s="2" t="s">
        <v>19</v>
      </c>
      <c r="P80" s="2">
        <v>200000000</v>
      </c>
      <c r="Q80" s="2">
        <v>7</v>
      </c>
      <c r="R80" s="2" t="s">
        <v>226</v>
      </c>
      <c r="S80" s="2"/>
      <c r="U80" t="str">
        <f>IFERROR(__xludf.DUMMYFUNCTION("""COMPUTED_VALUE"""),"Cantonese")</f>
        <v>Cantonese</v>
      </c>
      <c r="V80">
        <f t="shared" si="0"/>
        <v>8</v>
      </c>
      <c r="W80">
        <f t="shared" si="1"/>
        <v>7.2375</v>
      </c>
      <c r="X80" cm="1">
        <f t="array" ref="X80">MEDIAN(IF(ISNUMBER(SEARCH("*"&amp;U80&amp;"*",N$2:N$3787)),Q$2:Q$3787))</f>
        <v>7.3</v>
      </c>
      <c r="Y80" cm="1">
        <f t="array" ref="Y80">VAR(IF(ISNUMBER(SEARCH("*"&amp;U80&amp;"*",N$2:N$3787)),Q$2:Q$3787))</f>
        <v>0.194107142857143</v>
      </c>
      <c r="Z80" cm="1">
        <f t="array" ref="Z80">STDEV(IF(ISNUMBER(SEARCH("*"&amp;U80&amp;"*",N$2:N$3787)),Q$2:Q$3787))</f>
        <v>0.4405759217855</v>
      </c>
    </row>
    <row r="81" customHeight="1" spans="1:26">
      <c r="A81" s="2" t="s">
        <v>227</v>
      </c>
      <c r="B81" s="2">
        <v>132</v>
      </c>
      <c r="C81" s="2">
        <v>155111815</v>
      </c>
      <c r="D81" s="2" t="s">
        <v>228</v>
      </c>
      <c r="E81" s="2" t="s">
        <v>12</v>
      </c>
      <c r="F81" t="s">
        <v>13</v>
      </c>
      <c r="G81" t="s">
        <v>35</v>
      </c>
      <c r="H81" t="s">
        <v>40</v>
      </c>
      <c r="I81" t="s">
        <v>16</v>
      </c>
      <c r="N81" s="2" t="s">
        <v>18</v>
      </c>
      <c r="O81" s="2" t="s">
        <v>19</v>
      </c>
      <c r="P81" s="2">
        <v>170000000</v>
      </c>
      <c r="Q81" s="2">
        <v>6.1</v>
      </c>
      <c r="R81" s="2" t="s">
        <v>229</v>
      </c>
      <c r="S81" s="2"/>
      <c r="U81" t="str">
        <f>IFERROR(__xludf.DUMMYFUNCTION("""COMPUTED_VALUE"""),"Japanese")</f>
        <v>Japanese</v>
      </c>
      <c r="V81">
        <f t="shared" si="0"/>
        <v>12</v>
      </c>
      <c r="W81">
        <f t="shared" si="1"/>
        <v>7.625</v>
      </c>
      <c r="X81" cm="1">
        <f t="array" ref="X81">MEDIAN(IF(ISNUMBER(SEARCH("*"&amp;U81&amp;"*",N$2:N$3787)),Q$2:Q$3787))</f>
        <v>7.8</v>
      </c>
      <c r="Y81" cm="1">
        <f t="array" ref="Y81">VAR(IF(ISNUMBER(SEARCH("*"&amp;U81&amp;"*",N$2:N$3787)),Q$2:Q$3787))</f>
        <v>0.809318181818182</v>
      </c>
      <c r="Z81" cm="1">
        <f t="array" ref="Z81">STDEV(IF(ISNUMBER(SEARCH("*"&amp;U81&amp;"*",N$2:N$3787)),Q$2:Q$3787))</f>
        <v>0.899621132376392</v>
      </c>
    </row>
    <row r="82" customHeight="1" spans="1:26">
      <c r="A82" s="2" t="s">
        <v>230</v>
      </c>
      <c r="B82" s="2">
        <v>97</v>
      </c>
      <c r="C82" s="2">
        <v>241407328</v>
      </c>
      <c r="D82" s="2" t="s">
        <v>231</v>
      </c>
      <c r="E82" s="2" t="s">
        <v>12</v>
      </c>
      <c r="F82" t="s">
        <v>13</v>
      </c>
      <c r="G82" t="s">
        <v>40</v>
      </c>
      <c r="H82" t="s">
        <v>24</v>
      </c>
      <c r="I82" t="s">
        <v>24</v>
      </c>
      <c r="N82" s="2" t="s">
        <v>18</v>
      </c>
      <c r="O82" s="2" t="s">
        <v>19</v>
      </c>
      <c r="P82" s="2">
        <v>180000000</v>
      </c>
      <c r="Q82" s="2">
        <v>7</v>
      </c>
      <c r="R82" s="2" t="s">
        <v>232</v>
      </c>
      <c r="S82" s="2"/>
      <c r="U82" t="str">
        <f>IFERROR(__xludf.DUMMYFUNCTION("""COMPUTED_VALUE"""),"Aramaic")</f>
        <v>Aramaic</v>
      </c>
      <c r="V82">
        <f t="shared" si="0"/>
        <v>1</v>
      </c>
      <c r="W82">
        <f t="shared" si="1"/>
        <v>7.1</v>
      </c>
      <c r="X82" cm="1">
        <f t="array" ref="X82">MEDIAN(IF(ISNUMBER(SEARCH("*"&amp;U82&amp;"*",N$2:N$3787)),Q$2:Q$3787))</f>
        <v>7.1</v>
      </c>
      <c r="Y82" t="e" cm="1">
        <f t="array" ref="Y82">VAR(IF(ISNUMBER(SEARCH("*"&amp;U82&amp;"*",N$2:N$3787)),Q$2:Q$3787))</f>
        <v>#DIV/0!</v>
      </c>
      <c r="Z82" t="e" cm="1">
        <f t="array" ref="Z82">STDEV(IF(ISNUMBER(SEARCH("*"&amp;U82&amp;"*",N$2:N$3787)),Q$2:Q$3787))</f>
        <v>#DIV/0!</v>
      </c>
    </row>
    <row r="83" customHeight="1" spans="1:26">
      <c r="A83" s="2" t="s">
        <v>233</v>
      </c>
      <c r="B83" s="2">
        <v>130</v>
      </c>
      <c r="C83" s="2">
        <v>208543795</v>
      </c>
      <c r="D83" s="2" t="s">
        <v>234</v>
      </c>
      <c r="E83" s="2" t="s">
        <v>12</v>
      </c>
      <c r="F83" t="s">
        <v>13</v>
      </c>
      <c r="G83" t="s">
        <v>23</v>
      </c>
      <c r="H83" t="s">
        <v>15</v>
      </c>
      <c r="I83" t="s">
        <v>14</v>
      </c>
      <c r="N83" s="2" t="s">
        <v>18</v>
      </c>
      <c r="O83" s="2" t="s">
        <v>19</v>
      </c>
      <c r="P83" s="2">
        <v>170000000</v>
      </c>
      <c r="Q83" s="2">
        <v>7.6</v>
      </c>
      <c r="R83" s="2" t="s">
        <v>235</v>
      </c>
      <c r="S83" s="2"/>
      <c r="U83" t="str">
        <f>IFERROR(__xludf.DUMMYFUNCTION("""COMPUTED_VALUE"""),"Italian")</f>
        <v>Italian</v>
      </c>
      <c r="V83">
        <f t="shared" si="0"/>
        <v>7</v>
      </c>
      <c r="W83">
        <f t="shared" si="1"/>
        <v>7.18571428571429</v>
      </c>
      <c r="X83" cm="1">
        <f t="array" ref="X83">MEDIAN(IF(ISNUMBER(SEARCH("*"&amp;U83&amp;"*",N$2:N$3787)),Q$2:Q$3787))</f>
        <v>7</v>
      </c>
      <c r="Y83" cm="1">
        <f t="array" ref="Y83">VAR(IF(ISNUMBER(SEARCH("*"&amp;U83&amp;"*",N$2:N$3787)),Q$2:Q$3787))</f>
        <v>1.33476190476191</v>
      </c>
      <c r="Z83" cm="1">
        <f t="array" ref="Z83">STDEV(IF(ISNUMBER(SEARCH("*"&amp;U83&amp;"*",N$2:N$3787)),Q$2:Q$3787))</f>
        <v>1.15531896234845</v>
      </c>
    </row>
    <row r="84" customHeight="1" spans="1:26">
      <c r="A84" s="2" t="s">
        <v>236</v>
      </c>
      <c r="B84" s="2">
        <v>128</v>
      </c>
      <c r="C84" s="2">
        <v>38297305</v>
      </c>
      <c r="D84" s="2" t="s">
        <v>228</v>
      </c>
      <c r="E84" s="2" t="s">
        <v>12</v>
      </c>
      <c r="F84" t="s">
        <v>13</v>
      </c>
      <c r="G84" t="s">
        <v>15</v>
      </c>
      <c r="H84" t="s">
        <v>24</v>
      </c>
      <c r="I84" t="s">
        <v>14</v>
      </c>
      <c r="N84" s="2" t="s">
        <v>18</v>
      </c>
      <c r="O84" s="2" t="s">
        <v>19</v>
      </c>
      <c r="P84" s="2">
        <v>175000000</v>
      </c>
      <c r="Q84" s="2">
        <v>6.3</v>
      </c>
      <c r="R84" s="2" t="s">
        <v>237</v>
      </c>
      <c r="S84" s="2"/>
      <c r="U84" t="str">
        <f>IFERROR(__xludf.DUMMYFUNCTION("""COMPUTED_VALUE"""),"Dutch")</f>
        <v>Dutch</v>
      </c>
      <c r="V84">
        <f t="shared" si="0"/>
        <v>3</v>
      </c>
      <c r="W84">
        <f t="shared" si="1"/>
        <v>7.56666666666667</v>
      </c>
      <c r="X84" cm="1">
        <f t="array" ref="X84">MEDIAN(IF(ISNUMBER(SEARCH("*"&amp;U84&amp;"*",N$2:N$3787)),Q$2:Q$3787))</f>
        <v>7.8</v>
      </c>
      <c r="Y84" cm="1">
        <f t="array" ref="Y84">VAR(IF(ISNUMBER(SEARCH("*"&amp;U84&amp;"*",N$2:N$3787)),Q$2:Q$3787))</f>
        <v>0.163333333333333</v>
      </c>
      <c r="Z84" cm="1">
        <f t="array" ref="Z84">STDEV(IF(ISNUMBER(SEARCH("*"&amp;U84&amp;"*",N$2:N$3787)),Q$2:Q$3787))</f>
        <v>0.404145188432738</v>
      </c>
    </row>
    <row r="85" customHeight="1" spans="1:26">
      <c r="A85" s="2" t="s">
        <v>105</v>
      </c>
      <c r="B85" s="2">
        <v>136</v>
      </c>
      <c r="C85" s="2">
        <v>259746958</v>
      </c>
      <c r="D85" s="2" t="s">
        <v>38</v>
      </c>
      <c r="E85" s="2" t="s">
        <v>12</v>
      </c>
      <c r="F85" t="s">
        <v>13</v>
      </c>
      <c r="G85" t="s">
        <v>23</v>
      </c>
      <c r="H85" t="s">
        <v>24</v>
      </c>
      <c r="I85" t="s">
        <v>15</v>
      </c>
      <c r="N85" s="2" t="s">
        <v>18</v>
      </c>
      <c r="O85" s="2" t="s">
        <v>19</v>
      </c>
      <c r="P85" s="2">
        <v>170000000</v>
      </c>
      <c r="Q85" s="2">
        <v>7.8</v>
      </c>
      <c r="R85" s="2" t="s">
        <v>238</v>
      </c>
      <c r="S85" s="2"/>
      <c r="U85" t="str">
        <f>IFERROR(__xludf.DUMMYFUNCTION("""COMPUTED_VALUE"""),"Dari")</f>
        <v>Dari</v>
      </c>
      <c r="V85">
        <f t="shared" si="0"/>
        <v>2</v>
      </c>
      <c r="W85">
        <f t="shared" si="1"/>
        <v>7.5</v>
      </c>
      <c r="X85" cm="1">
        <f t="array" ref="X85">MEDIAN(IF(ISNUMBER(SEARCH("*"&amp;U85&amp;"*",N$2:N$3787)),Q$2:Q$3787))</f>
        <v>7.4</v>
      </c>
      <c r="Y85" cm="1">
        <f t="array" ref="Y85">VAR(IF(ISNUMBER(SEARCH("*"&amp;U85&amp;"*",N$2:N$3787)),Q$2:Q$3787))</f>
        <v>0.536291666666667</v>
      </c>
      <c r="Z85" cm="1">
        <f t="array" ref="Z85">STDEV(IF(ISNUMBER(SEARCH("*"&amp;U85&amp;"*",N$2:N$3787)),Q$2:Q$3787))</f>
        <v>0.732319374772146</v>
      </c>
    </row>
    <row r="86" customHeight="1" spans="1:26">
      <c r="A86" s="2" t="s">
        <v>239</v>
      </c>
      <c r="B86" s="2">
        <v>93</v>
      </c>
      <c r="C86" s="2">
        <v>238371987</v>
      </c>
      <c r="D86" s="2" t="s">
        <v>124</v>
      </c>
      <c r="E86" s="2" t="s">
        <v>13</v>
      </c>
      <c r="F86" t="s">
        <v>35</v>
      </c>
      <c r="G86" t="s">
        <v>15</v>
      </c>
      <c r="H86" t="s">
        <v>14</v>
      </c>
      <c r="I86" t="s">
        <v>24</v>
      </c>
      <c r="N86" s="2" t="s">
        <v>18</v>
      </c>
      <c r="O86" s="2" t="s">
        <v>19</v>
      </c>
      <c r="P86" s="2">
        <v>165000000</v>
      </c>
      <c r="Q86" s="2">
        <v>6.4</v>
      </c>
      <c r="R86" s="2" t="s">
        <v>240</v>
      </c>
      <c r="S86" s="2"/>
      <c r="U86" t="str">
        <f>IFERROR(__xludf.DUMMYFUNCTION("""COMPUTED_VALUE"""),"German")</f>
        <v>German</v>
      </c>
      <c r="V86">
        <f t="shared" si="0"/>
        <v>13</v>
      </c>
      <c r="W86">
        <f t="shared" si="1"/>
        <v>7.69230769230769</v>
      </c>
      <c r="X86" cm="1">
        <f t="array" ref="X86">MEDIAN(IF(ISNUMBER(SEARCH("*"&amp;U86&amp;"*",N$2:N$3787)),Q$2:Q$3787))</f>
        <v>7.7</v>
      </c>
      <c r="Y86" cm="1">
        <f t="array" ref="Y86">VAR(IF(ISNUMBER(SEARCH("*"&amp;U86&amp;"*",N$2:N$3787)),Q$2:Q$3787))</f>
        <v>0.410769230769231</v>
      </c>
      <c r="Z86" cm="1">
        <f t="array" ref="Z86">STDEV(IF(ISNUMBER(SEARCH("*"&amp;U86&amp;"*",N$2:N$3787)),Q$2:Q$3787))</f>
        <v>0.640912810582868</v>
      </c>
    </row>
    <row r="87" customHeight="1" spans="1:26">
      <c r="A87" s="2" t="s">
        <v>241</v>
      </c>
      <c r="B87" s="2">
        <v>130</v>
      </c>
      <c r="C87" s="2">
        <v>93417865</v>
      </c>
      <c r="D87" s="2" t="s">
        <v>242</v>
      </c>
      <c r="E87" s="2" t="s">
        <v>12</v>
      </c>
      <c r="F87" t="s">
        <v>13</v>
      </c>
      <c r="G87" t="s">
        <v>15</v>
      </c>
      <c r="H87" t="s">
        <v>55</v>
      </c>
      <c r="I87" t="s">
        <v>23</v>
      </c>
      <c r="N87" s="2" t="s">
        <v>18</v>
      </c>
      <c r="O87" s="2" t="s">
        <v>19</v>
      </c>
      <c r="P87" s="2">
        <v>190000000</v>
      </c>
      <c r="Q87" s="2">
        <v>6.5</v>
      </c>
      <c r="R87" s="2" t="s">
        <v>243</v>
      </c>
      <c r="S87" s="2"/>
      <c r="U87" t="str">
        <f>IFERROR(__xludf.DUMMYFUNCTION("""COMPUTED_VALUE"""),"Mongolian")</f>
        <v>Mongolian</v>
      </c>
      <c r="V87">
        <f t="shared" si="0"/>
        <v>1</v>
      </c>
      <c r="W87">
        <f t="shared" si="1"/>
        <v>7.3</v>
      </c>
      <c r="X87" cm="1">
        <f t="array" ref="X87">MEDIAN(IF(ISNUMBER(SEARCH("*"&amp;U87&amp;"*",N$2:N$3787)),Q$2:Q$3787))</f>
        <v>7.3</v>
      </c>
      <c r="Y87" t="e" cm="1">
        <f t="array" ref="Y87">VAR(IF(ISNUMBER(SEARCH("*"&amp;U87&amp;"*",N$2:N$3787)),Q$2:Q$3787))</f>
        <v>#DIV/0!</v>
      </c>
      <c r="Z87" t="e" cm="1">
        <f t="array" ref="Z87">STDEV(IF(ISNUMBER(SEARCH("*"&amp;U87&amp;"*",N$2:N$3787)),Q$2:Q$3787))</f>
        <v>#DIV/0!</v>
      </c>
    </row>
    <row r="88" customHeight="1" spans="1:26">
      <c r="A88" s="2" t="s">
        <v>244</v>
      </c>
      <c r="B88" s="2">
        <v>102</v>
      </c>
      <c r="C88" s="2">
        <v>222487711</v>
      </c>
      <c r="D88" s="2" t="s">
        <v>245</v>
      </c>
      <c r="E88" s="2" t="s">
        <v>12</v>
      </c>
      <c r="F88" t="s">
        <v>13</v>
      </c>
      <c r="G88" t="s">
        <v>15</v>
      </c>
      <c r="H88" t="s">
        <v>17</v>
      </c>
      <c r="I88" t="s">
        <v>24</v>
      </c>
      <c r="N88" s="2" t="s">
        <v>18</v>
      </c>
      <c r="O88" s="2" t="s">
        <v>19</v>
      </c>
      <c r="P88" s="2">
        <v>165000000</v>
      </c>
      <c r="Q88" s="2">
        <v>7.9</v>
      </c>
      <c r="R88" s="2" t="s">
        <v>246</v>
      </c>
      <c r="S88" s="2"/>
      <c r="U88" t="str">
        <f>IFERROR(__xludf.DUMMYFUNCTION("""COMPUTED_VALUE"""),"Thai")</f>
        <v>Thai</v>
      </c>
      <c r="V88">
        <f t="shared" si="0"/>
        <v>3</v>
      </c>
      <c r="W88">
        <f t="shared" si="1"/>
        <v>6.63333333333333</v>
      </c>
      <c r="X88" cm="1">
        <f t="array" ref="X88">MEDIAN(IF(ISNUMBER(SEARCH("*"&amp;U88&amp;"*",N$2:N$3787)),Q$2:Q$3787))</f>
        <v>6.6</v>
      </c>
      <c r="Y88" cm="1">
        <f t="array" ref="Y88">VAR(IF(ISNUMBER(SEARCH("*"&amp;U88&amp;"*",N$2:N$3787)),Q$2:Q$3787))</f>
        <v>0.203333333333333</v>
      </c>
      <c r="Z88" cm="1">
        <f t="array" ref="Z88">STDEV(IF(ISNUMBER(SEARCH("*"&amp;U88&amp;"*",N$2:N$3787)),Q$2:Q$3787))</f>
        <v>0.450924975282289</v>
      </c>
    </row>
    <row r="89" customHeight="1" spans="1:26">
      <c r="A89" s="2" t="s">
        <v>247</v>
      </c>
      <c r="B89" s="2">
        <v>101</v>
      </c>
      <c r="C89" s="2">
        <v>189412677</v>
      </c>
      <c r="D89" s="2" t="s">
        <v>248</v>
      </c>
      <c r="E89" s="2" t="s">
        <v>13</v>
      </c>
      <c r="F89" t="s">
        <v>35</v>
      </c>
      <c r="G89" t="s">
        <v>24</v>
      </c>
      <c r="H89" t="s">
        <v>16</v>
      </c>
      <c r="I89" t="s">
        <v>14</v>
      </c>
      <c r="N89" s="2" t="s">
        <v>18</v>
      </c>
      <c r="O89" s="2" t="s">
        <v>19</v>
      </c>
      <c r="P89" s="2">
        <v>165000000</v>
      </c>
      <c r="Q89" s="2">
        <v>7.8</v>
      </c>
      <c r="R89" s="2" t="s">
        <v>249</v>
      </c>
      <c r="S89" s="2"/>
      <c r="U89" t="str">
        <f>IFERROR(__xludf.DUMMYFUNCTION("""COMPUTED_VALUE"""),"Bosnian")</f>
        <v>Bosnian</v>
      </c>
      <c r="V89">
        <f t="shared" si="0"/>
        <v>1</v>
      </c>
      <c r="W89">
        <f t="shared" si="1"/>
        <v>4.3</v>
      </c>
      <c r="X89" cm="1">
        <f t="array" ref="X89">MEDIAN(IF(ISNUMBER(SEARCH("*"&amp;U89&amp;"*",N$2:N$3787)),Q$2:Q$3787))</f>
        <v>4.3</v>
      </c>
      <c r="Y89" t="e" cm="1">
        <f t="array" ref="Y89">VAR(IF(ISNUMBER(SEARCH("*"&amp;U89&amp;"*",N$2:N$3787)),Q$2:Q$3787))</f>
        <v>#DIV/0!</v>
      </c>
      <c r="Z89" t="e" cm="1">
        <f t="array" ref="Z89">STDEV(IF(ISNUMBER(SEARCH("*"&amp;U89&amp;"*",N$2:N$3787)),Q$2:Q$3787))</f>
        <v>#DIV/0!</v>
      </c>
    </row>
    <row r="90" customHeight="1" spans="1:26">
      <c r="A90" s="2" t="s">
        <v>178</v>
      </c>
      <c r="B90" s="2">
        <v>100</v>
      </c>
      <c r="C90" s="2">
        <v>665426</v>
      </c>
      <c r="D90" s="2" t="s">
        <v>250</v>
      </c>
      <c r="E90" s="2" t="s">
        <v>13</v>
      </c>
      <c r="F90" t="s">
        <v>35</v>
      </c>
      <c r="G90" t="s">
        <v>17</v>
      </c>
      <c r="H90" t="s">
        <v>71</v>
      </c>
      <c r="I90" t="s">
        <v>15</v>
      </c>
      <c r="N90" s="2" t="s">
        <v>18</v>
      </c>
      <c r="O90" s="2" t="s">
        <v>19</v>
      </c>
      <c r="P90" s="2">
        <v>165000000</v>
      </c>
      <c r="Q90" s="2">
        <v>6.6</v>
      </c>
      <c r="R90" s="2" t="s">
        <v>251</v>
      </c>
      <c r="S90" s="2"/>
      <c r="U90" t="str">
        <f>IFERROR(__xludf.DUMMYFUNCTION("""COMPUTED_VALUE"""),"Korean")</f>
        <v>Korean</v>
      </c>
      <c r="V90">
        <f t="shared" si="0"/>
        <v>5</v>
      </c>
      <c r="W90">
        <f t="shared" si="1"/>
        <v>7.7</v>
      </c>
      <c r="X90" cm="1">
        <f t="array" ref="X90">MEDIAN(IF(ISNUMBER(SEARCH("*"&amp;U90&amp;"*",N$2:N$3787)),Q$2:Q$3787))</f>
        <v>7.7</v>
      </c>
      <c r="Y90" cm="1">
        <f t="array" ref="Y90">VAR(IF(ISNUMBER(SEARCH("*"&amp;U90&amp;"*",N$2:N$3787)),Q$2:Q$3787))</f>
        <v>0.325</v>
      </c>
      <c r="Z90" cm="1">
        <f t="array" ref="Z90">STDEV(IF(ISNUMBER(SEARCH("*"&amp;U90&amp;"*",N$2:N$3787)),Q$2:Q$3787))</f>
        <v>0.570087712549569</v>
      </c>
    </row>
    <row r="91" customHeight="1" spans="1:26">
      <c r="A91" s="2" t="s">
        <v>176</v>
      </c>
      <c r="B91" s="2">
        <v>120</v>
      </c>
      <c r="C91" s="2">
        <v>102315545</v>
      </c>
      <c r="D91" s="2" t="s">
        <v>38</v>
      </c>
      <c r="E91" s="2" t="s">
        <v>12</v>
      </c>
      <c r="F91" t="s">
        <v>13</v>
      </c>
      <c r="G91" t="s">
        <v>15</v>
      </c>
      <c r="H91" t="s">
        <v>23</v>
      </c>
      <c r="I91" t="s">
        <v>29</v>
      </c>
      <c r="N91" s="2" t="s">
        <v>18</v>
      </c>
      <c r="O91" s="2" t="s">
        <v>19</v>
      </c>
      <c r="P91" s="2">
        <v>165000000</v>
      </c>
      <c r="Q91" s="2">
        <v>5.5</v>
      </c>
      <c r="R91" s="2" t="s">
        <v>252</v>
      </c>
      <c r="S91" s="2"/>
      <c r="U91" t="str">
        <f>IFERROR(__xludf.DUMMYFUNCTION("""COMPUTED_VALUE"""),"Hungarian")</f>
        <v>Hungarian</v>
      </c>
      <c r="V91">
        <f t="shared" si="0"/>
        <v>1</v>
      </c>
      <c r="W91">
        <f t="shared" si="1"/>
        <v>7.1</v>
      </c>
      <c r="X91" cm="1">
        <f t="array" ref="X91">MEDIAN(IF(ISNUMBER(SEARCH("*"&amp;U91&amp;"*",N$2:N$3787)),Q$2:Q$3787))</f>
        <v>7.1</v>
      </c>
      <c r="Y91" t="e" cm="1">
        <f t="array" ref="Y91">VAR(IF(ISNUMBER(SEARCH("*"&amp;U91&amp;"*",N$2:N$3787)),Q$2:Q$3787))</f>
        <v>#DIV/0!</v>
      </c>
      <c r="Z91" t="e" cm="1">
        <f t="array" ref="Z91">STDEV(IF(ISNUMBER(SEARCH("*"&amp;U91&amp;"*",N$2:N$3787)),Q$2:Q$3787))</f>
        <v>#DIV/0!</v>
      </c>
    </row>
    <row r="92" customHeight="1" spans="1:26">
      <c r="A92" s="2" t="s">
        <v>253</v>
      </c>
      <c r="B92" s="2">
        <v>98</v>
      </c>
      <c r="C92" s="2">
        <v>217387997</v>
      </c>
      <c r="D92" s="2" t="s">
        <v>250</v>
      </c>
      <c r="E92" s="2" t="s">
        <v>13</v>
      </c>
      <c r="F92" t="s">
        <v>35</v>
      </c>
      <c r="G92" t="s">
        <v>23</v>
      </c>
      <c r="H92" t="s">
        <v>23</v>
      </c>
      <c r="I92" t="s">
        <v>14</v>
      </c>
      <c r="N92" s="2" t="s">
        <v>18</v>
      </c>
      <c r="O92" s="2" t="s">
        <v>19</v>
      </c>
      <c r="P92" s="2">
        <v>165000000</v>
      </c>
      <c r="Q92" s="2">
        <v>8.2</v>
      </c>
      <c r="R92" s="2" t="s">
        <v>254</v>
      </c>
      <c r="S92" s="2"/>
      <c r="U92" t="str">
        <f>IFERROR(__xludf.DUMMYFUNCTION("""COMPUTED_VALUE"""),"Hindi")</f>
        <v>Hindi</v>
      </c>
      <c r="V92">
        <f t="shared" si="0"/>
        <v>10</v>
      </c>
      <c r="W92">
        <f t="shared" si="1"/>
        <v>6.76</v>
      </c>
      <c r="X92" cm="1">
        <f t="array" ref="X92">MEDIAN(IF(ISNUMBER(SEARCH("*"&amp;U92&amp;"*",N$2:N$3787)),Q$2:Q$3787))</f>
        <v>7.05</v>
      </c>
      <c r="Y92" cm="1">
        <f t="array" ref="Y92">VAR(IF(ISNUMBER(SEARCH("*"&amp;U92&amp;"*",N$2:N$3787)),Q$2:Q$3787))</f>
        <v>1.236</v>
      </c>
      <c r="Z92" cm="1">
        <f t="array" ref="Z92">STDEV(IF(ISNUMBER(SEARCH("*"&amp;U92&amp;"*",N$2:N$3787)),Q$2:Q$3787))</f>
        <v>1.11175536877498</v>
      </c>
    </row>
    <row r="93" customHeight="1" spans="1:26">
      <c r="A93" s="2" t="s">
        <v>255</v>
      </c>
      <c r="B93" s="2">
        <v>109</v>
      </c>
      <c r="C93" s="2">
        <v>150350192</v>
      </c>
      <c r="D93" s="2" t="s">
        <v>256</v>
      </c>
      <c r="E93" s="2" t="s">
        <v>12</v>
      </c>
      <c r="F93" t="s">
        <v>15</v>
      </c>
      <c r="G93" t="s">
        <v>30</v>
      </c>
      <c r="H93" t="s">
        <v>23</v>
      </c>
      <c r="I93" t="s">
        <v>28</v>
      </c>
      <c r="N93" s="2" t="s">
        <v>18</v>
      </c>
      <c r="O93" s="2" t="s">
        <v>19</v>
      </c>
      <c r="P93" s="2">
        <v>200000000</v>
      </c>
      <c r="Q93" s="2">
        <v>6.4</v>
      </c>
      <c r="R93" s="2" t="s">
        <v>257</v>
      </c>
      <c r="S93" s="2"/>
      <c r="U93" t="str">
        <f>IFERROR(__xludf.DUMMYFUNCTION("""COMPUTED_VALUE"""),"Icelandic")</f>
        <v>Icelandic</v>
      </c>
      <c r="V93">
        <f t="shared" si="0"/>
        <v>1</v>
      </c>
      <c r="W93">
        <f t="shared" si="1"/>
        <v>6.9</v>
      </c>
      <c r="X93" cm="1">
        <f t="array" ref="X93">MEDIAN(IF(ISNUMBER(SEARCH("*"&amp;U93&amp;"*",N$2:N$3787)),Q$2:Q$3787))</f>
        <v>6.9</v>
      </c>
      <c r="Y93" t="e" cm="1">
        <f t="array" ref="Y93">VAR(IF(ISNUMBER(SEARCH("*"&amp;U93&amp;"*",N$2:N$3787)),Q$2:Q$3787))</f>
        <v>#DIV/0!</v>
      </c>
      <c r="Z93" t="e" cm="1">
        <f t="array" ref="Z93">STDEV(IF(ISNUMBER(SEARCH("*"&amp;U93&amp;"*",N$2:N$3787)),Q$2:Q$3787))</f>
        <v>#DIV/0!</v>
      </c>
    </row>
    <row r="94" customHeight="1" spans="1:26">
      <c r="A94" s="2" t="s">
        <v>258</v>
      </c>
      <c r="B94" s="2">
        <v>121</v>
      </c>
      <c r="C94" s="2">
        <v>333130696</v>
      </c>
      <c r="D94" s="2" t="s">
        <v>38</v>
      </c>
      <c r="E94" s="2" t="s">
        <v>12</v>
      </c>
      <c r="F94" t="s">
        <v>13</v>
      </c>
      <c r="G94" t="s">
        <v>14</v>
      </c>
      <c r="H94" t="s">
        <v>40</v>
      </c>
      <c r="I94" t="s">
        <v>24</v>
      </c>
      <c r="N94" s="2" t="s">
        <v>18</v>
      </c>
      <c r="O94" s="2" t="s">
        <v>19</v>
      </c>
      <c r="P94" s="2">
        <v>170000000</v>
      </c>
      <c r="Q94" s="2">
        <v>8.1</v>
      </c>
      <c r="R94" s="2" t="s">
        <v>259</v>
      </c>
      <c r="S94" s="2"/>
      <c r="U94" t="str">
        <f>IFERROR(__xludf.DUMMYFUNCTION("""COMPUTED_VALUE"""),"Danish")</f>
        <v>Danish</v>
      </c>
      <c r="V94">
        <f t="shared" ref="V94:V108" si="2">COUNTIF(N$2:N$3787,U94)</f>
        <v>3</v>
      </c>
      <c r="W94">
        <f t="shared" si="1"/>
        <v>7.9</v>
      </c>
      <c r="X94" cm="1">
        <f t="array" ref="X94">MEDIAN(IF(ISNUMBER(SEARCH("*"&amp;U94&amp;"*",N$2:N$3787)),Q$2:Q$3787))</f>
        <v>8.1</v>
      </c>
      <c r="Y94" cm="1">
        <f t="array" ref="Y94">VAR(IF(ISNUMBER(SEARCH("*"&amp;U94&amp;"*",N$2:N$3787)),Q$2:Q$3787))</f>
        <v>0.28</v>
      </c>
      <c r="Z94" cm="1">
        <f t="array" ref="Z94">STDEV(IF(ISNUMBER(SEARCH("*"&amp;U94&amp;"*",N$2:N$3787)),Q$2:Q$3787))</f>
        <v>0.529150262212918</v>
      </c>
    </row>
    <row r="95" customHeight="1" spans="1:26">
      <c r="A95" s="2" t="s">
        <v>33</v>
      </c>
      <c r="B95" s="2">
        <v>169</v>
      </c>
      <c r="C95" s="2">
        <v>187991439</v>
      </c>
      <c r="D95" s="2" t="s">
        <v>260</v>
      </c>
      <c r="E95" s="2" t="s">
        <v>13</v>
      </c>
      <c r="F95" t="s">
        <v>30</v>
      </c>
      <c r="G95" t="s">
        <v>40</v>
      </c>
      <c r="H95" t="s">
        <v>15</v>
      </c>
      <c r="I95" t="s">
        <v>24</v>
      </c>
      <c r="N95" s="2" t="s">
        <v>18</v>
      </c>
      <c r="O95" s="2" t="s">
        <v>19</v>
      </c>
      <c r="P95" s="2">
        <v>165000000</v>
      </c>
      <c r="Q95" s="2">
        <v>8.6</v>
      </c>
      <c r="R95" s="2" t="s">
        <v>261</v>
      </c>
      <c r="S95" s="2"/>
      <c r="U95" t="str">
        <f>IFERROR(__xludf.DUMMYFUNCTION("""COMPUTED_VALUE"""),"Portuguese")</f>
        <v>Portuguese</v>
      </c>
      <c r="V95">
        <f t="shared" si="2"/>
        <v>5</v>
      </c>
      <c r="W95">
        <f t="shared" si="1"/>
        <v>7.76</v>
      </c>
      <c r="X95" cm="1">
        <f t="array" ref="X95">MEDIAN(IF(ISNUMBER(SEARCH("*"&amp;U95&amp;"*",N$2:N$3787)),Q$2:Q$3787))</f>
        <v>8</v>
      </c>
      <c r="Y95" cm="1">
        <f t="array" ref="Y95">VAR(IF(ISNUMBER(SEARCH("*"&amp;U95&amp;"*",N$2:N$3787)),Q$2:Q$3787))</f>
        <v>0.958</v>
      </c>
      <c r="Z95" cm="1">
        <f t="array" ref="Z95">STDEV(IF(ISNUMBER(SEARCH("*"&amp;U95&amp;"*",N$2:N$3787)),Q$2:Q$3787))</f>
        <v>0.978774744259372</v>
      </c>
    </row>
    <row r="96" customHeight="1" spans="1:26">
      <c r="A96" s="2" t="s">
        <v>33</v>
      </c>
      <c r="B96" s="2">
        <v>148</v>
      </c>
      <c r="C96" s="2">
        <v>292568851</v>
      </c>
      <c r="D96" s="2" t="s">
        <v>108</v>
      </c>
      <c r="E96" s="2" t="s">
        <v>12</v>
      </c>
      <c r="F96" t="s">
        <v>13</v>
      </c>
      <c r="G96" t="s">
        <v>14</v>
      </c>
      <c r="H96" t="s">
        <v>23</v>
      </c>
      <c r="I96" t="s">
        <v>24</v>
      </c>
      <c r="N96" s="2" t="s">
        <v>18</v>
      </c>
      <c r="O96" s="2" t="s">
        <v>19</v>
      </c>
      <c r="P96" s="2">
        <v>160000000</v>
      </c>
      <c r="Q96" s="2">
        <v>8.8</v>
      </c>
      <c r="R96" s="2" t="s">
        <v>262</v>
      </c>
      <c r="S96" s="2"/>
      <c r="U96" t="str">
        <f>IFERROR(__xludf.DUMMYFUNCTION("""COMPUTED_VALUE"""),"Norwegian")</f>
        <v>Norwegian</v>
      </c>
      <c r="V96">
        <f t="shared" si="2"/>
        <v>4</v>
      </c>
      <c r="W96">
        <f t="shared" si="1"/>
        <v>7.15</v>
      </c>
      <c r="X96" cm="1">
        <f t="array" ref="X96">MEDIAN(IF(ISNUMBER(SEARCH("*"&amp;U96&amp;"*",N$2:N$3787)),Q$2:Q$3787))</f>
        <v>7.3</v>
      </c>
      <c r="Y96" cm="1">
        <f t="array" ref="Y96">VAR(IF(ISNUMBER(SEARCH("*"&amp;U96&amp;"*",N$2:N$3787)),Q$2:Q$3787))</f>
        <v>0.33</v>
      </c>
      <c r="Z96" cm="1">
        <f t="array" ref="Z96">STDEV(IF(ISNUMBER(SEARCH("*"&amp;U96&amp;"*",N$2:N$3787)),Q$2:Q$3787))</f>
        <v>0.574456264653803</v>
      </c>
    </row>
    <row r="97" customHeight="1" spans="1:26">
      <c r="A97" s="2" t="s">
        <v>88</v>
      </c>
      <c r="B97" s="2">
        <v>182</v>
      </c>
      <c r="C97" s="2">
        <v>303001229</v>
      </c>
      <c r="D97" s="2" t="s">
        <v>89</v>
      </c>
      <c r="E97" s="2" t="s">
        <v>13</v>
      </c>
      <c r="F97" t="s">
        <v>14</v>
      </c>
      <c r="G97" t="s">
        <v>15</v>
      </c>
      <c r="H97" t="s">
        <v>24</v>
      </c>
      <c r="I97" t="s">
        <v>24</v>
      </c>
      <c r="N97" s="2" t="s">
        <v>18</v>
      </c>
      <c r="O97" s="2" t="s">
        <v>19</v>
      </c>
      <c r="P97" s="2">
        <v>180000000</v>
      </c>
      <c r="Q97" s="2">
        <v>7.9</v>
      </c>
      <c r="R97" s="2" t="s">
        <v>263</v>
      </c>
      <c r="S97" s="2"/>
      <c r="U97" t="str">
        <f>IFERROR(__xludf.DUMMYFUNCTION("""COMPUTED_VALUE"""),"Czech")</f>
        <v>Czech</v>
      </c>
      <c r="V97">
        <f t="shared" si="2"/>
        <v>1</v>
      </c>
      <c r="W97">
        <f t="shared" si="1"/>
        <v>7.4</v>
      </c>
      <c r="X97" cm="1">
        <f t="array" ref="X97">MEDIAN(IF(ISNUMBER(SEARCH("*"&amp;U97&amp;"*",N$2:N$3787)),Q$2:Q$3787))</f>
        <v>7.4</v>
      </c>
      <c r="Y97" t="e" cm="1">
        <f t="array" ref="Y97">VAR(IF(ISNUMBER(SEARCH("*"&amp;U97&amp;"*",N$2:N$3787)),Q$2:Q$3787))</f>
        <v>#DIV/0!</v>
      </c>
      <c r="Z97" t="e" cm="1">
        <f t="array" ref="Z97">STDEV(IF(ISNUMBER(SEARCH("*"&amp;U97&amp;"*",N$2:N$3787)),Q$2:Q$3787))</f>
        <v>#DIV/0!</v>
      </c>
    </row>
    <row r="98" customHeight="1" spans="1:26">
      <c r="A98" s="2" t="s">
        <v>207</v>
      </c>
      <c r="B98" s="2">
        <v>106</v>
      </c>
      <c r="C98" s="2">
        <v>144512310</v>
      </c>
      <c r="D98" s="2" t="s">
        <v>150</v>
      </c>
      <c r="E98" s="2" t="s">
        <v>12</v>
      </c>
      <c r="F98" t="s">
        <v>56</v>
      </c>
      <c r="G98" t="s">
        <v>14</v>
      </c>
      <c r="H98" t="s">
        <v>40</v>
      </c>
      <c r="I98" t="s">
        <v>14</v>
      </c>
      <c r="N98" s="2" t="s">
        <v>18</v>
      </c>
      <c r="O98" s="2" t="s">
        <v>19</v>
      </c>
      <c r="P98" s="2">
        <v>38000000</v>
      </c>
      <c r="Q98" s="2">
        <v>6.7</v>
      </c>
      <c r="R98" s="2" t="s">
        <v>264</v>
      </c>
      <c r="S98" s="2"/>
      <c r="U98" t="str">
        <f>IFERROR(__xludf.DUMMYFUNCTION("""COMPUTED_VALUE"""),"Russian")</f>
        <v>Russian</v>
      </c>
      <c r="V98">
        <f t="shared" si="2"/>
        <v>1</v>
      </c>
      <c r="W98">
        <f t="shared" si="1"/>
        <v>6.5</v>
      </c>
      <c r="X98" cm="1">
        <f t="array" ref="X98">MEDIAN(IF(ISNUMBER(SEARCH("*"&amp;U98&amp;"*",N$2:N$3787)),Q$2:Q$3787))</f>
        <v>6.5</v>
      </c>
      <c r="Y98" t="e" cm="1">
        <f t="array" ref="Y98">VAR(IF(ISNUMBER(SEARCH("*"&amp;U98&amp;"*",N$2:N$3787)),Q$2:Q$3787))</f>
        <v>#DIV/0!</v>
      </c>
      <c r="Z98" t="e" cm="1">
        <f t="array" ref="Z98">STDEV(IF(ISNUMBER(SEARCH("*"&amp;U98&amp;"*",N$2:N$3787)),Q$2:Q$3787))</f>
        <v>#DIV/0!</v>
      </c>
    </row>
    <row r="99" customHeight="1" spans="1:26">
      <c r="A99" s="2" t="s">
        <v>265</v>
      </c>
      <c r="B99" s="2">
        <v>166</v>
      </c>
      <c r="C99" s="2">
        <v>127490802</v>
      </c>
      <c r="D99" s="2" t="s">
        <v>266</v>
      </c>
      <c r="E99" s="2" t="s">
        <v>30</v>
      </c>
      <c r="F99" t="s">
        <v>14</v>
      </c>
      <c r="G99" t="s">
        <v>55</v>
      </c>
      <c r="H99" t="s">
        <v>24</v>
      </c>
      <c r="I99" t="s">
        <v>14</v>
      </c>
      <c r="N99" s="2" t="s">
        <v>18</v>
      </c>
      <c r="O99" s="2" t="s">
        <v>19</v>
      </c>
      <c r="P99" s="2">
        <v>150000000</v>
      </c>
      <c r="Q99" s="2">
        <v>7.8</v>
      </c>
      <c r="R99" s="2" t="s">
        <v>267</v>
      </c>
      <c r="S99" s="2"/>
      <c r="U99" t="str">
        <f>IFERROR(__xludf.DUMMYFUNCTION("""COMPUTED_VALUE"""),"None")</f>
        <v>None</v>
      </c>
      <c r="V99">
        <f t="shared" si="2"/>
        <v>1</v>
      </c>
      <c r="W99">
        <f t="shared" si="1"/>
        <v>8.5</v>
      </c>
      <c r="X99" cm="1">
        <f t="array" ref="X99">MEDIAN(IF(ISNUMBER(SEARCH("*"&amp;U99&amp;"*",N$2:N$3787)),Q$2:Q$3787))</f>
        <v>8.5</v>
      </c>
      <c r="Y99" t="e" cm="1">
        <f t="array" ref="Y99">VAR(IF(ISNUMBER(SEARCH("*"&amp;U99&amp;"*",N$2:N$3787)),Q$2:Q$3787))</f>
        <v>#DIV/0!</v>
      </c>
      <c r="Z99" t="e" cm="1">
        <f t="array" ref="Z99">STDEV(IF(ISNUMBER(SEARCH("*"&amp;U99&amp;"*",N$2:N$3787)),Q$2:Q$3787))</f>
        <v>#DIV/0!</v>
      </c>
    </row>
    <row r="100" customHeight="1" spans="1:26">
      <c r="A100" s="2" t="s">
        <v>268</v>
      </c>
      <c r="B100" s="2">
        <v>132</v>
      </c>
      <c r="C100" s="2">
        <v>146405371</v>
      </c>
      <c r="D100" s="2" t="s">
        <v>38</v>
      </c>
      <c r="E100" s="2" t="s">
        <v>12</v>
      </c>
      <c r="F100" t="s">
        <v>13</v>
      </c>
      <c r="G100" t="s">
        <v>15</v>
      </c>
      <c r="H100" t="s">
        <v>28</v>
      </c>
      <c r="I100" t="s">
        <v>24</v>
      </c>
      <c r="N100" s="2" t="s">
        <v>18</v>
      </c>
      <c r="O100" s="2" t="s">
        <v>19</v>
      </c>
      <c r="P100" s="2">
        <v>160000000</v>
      </c>
      <c r="Q100" s="2">
        <v>7.8</v>
      </c>
      <c r="R100" s="2" t="s">
        <v>269</v>
      </c>
      <c r="S100" s="2"/>
      <c r="U100" t="str">
        <f>IFERROR(__xludf.DUMMYFUNCTION("""COMPUTED_VALUE"""),"Zulu")</f>
        <v>Zulu</v>
      </c>
      <c r="V100">
        <f t="shared" si="2"/>
        <v>1</v>
      </c>
      <c r="W100">
        <f t="shared" si="1"/>
        <v>7.3</v>
      </c>
      <c r="X100" cm="1">
        <f t="array" ref="X100">MEDIAN(IF(ISNUMBER(SEARCH("*"&amp;U100&amp;"*",N$2:N$3787)),Q$2:Q$3787))</f>
        <v>7.3</v>
      </c>
      <c r="Y100" t="e" cm="1">
        <f t="array" ref="Y100">VAR(IF(ISNUMBER(SEARCH("*"&amp;U100&amp;"*",N$2:N$3787)),Q$2:Q$3787))</f>
        <v>#DIV/0!</v>
      </c>
      <c r="Z100" t="e" cm="1">
        <f t="array" ref="Z100">STDEV(IF(ISNUMBER(SEARCH("*"&amp;U100&amp;"*",N$2:N$3787)),Q$2:Q$3787))</f>
        <v>#DIV/0!</v>
      </c>
    </row>
    <row r="101" customHeight="1" spans="1:26">
      <c r="A101" s="2" t="s">
        <v>270</v>
      </c>
      <c r="B101" s="2">
        <v>137</v>
      </c>
      <c r="C101" s="2">
        <v>281666058</v>
      </c>
      <c r="D101" s="2" t="s">
        <v>271</v>
      </c>
      <c r="E101" s="2" t="s">
        <v>13</v>
      </c>
      <c r="F101" t="s">
        <v>15</v>
      </c>
      <c r="G101" t="s">
        <v>59</v>
      </c>
      <c r="H101" t="s">
        <v>28</v>
      </c>
      <c r="I101" t="s">
        <v>17</v>
      </c>
      <c r="N101" s="2" t="s">
        <v>18</v>
      </c>
      <c r="O101" s="2" t="s">
        <v>19</v>
      </c>
      <c r="P101" s="2">
        <v>160000000</v>
      </c>
      <c r="Q101" s="2">
        <v>6.6</v>
      </c>
      <c r="R101" s="2" t="s">
        <v>272</v>
      </c>
      <c r="S101" s="2"/>
      <c r="U101" t="str">
        <f>IFERROR(__xludf.DUMMYFUNCTION("""COMPUTED_VALUE"""),"Hebrew")</f>
        <v>Hebrew</v>
      </c>
      <c r="V101">
        <f t="shared" si="2"/>
        <v>3</v>
      </c>
      <c r="W101">
        <f t="shared" si="1"/>
        <v>7.5</v>
      </c>
      <c r="X101" cm="1">
        <f t="array" ref="X101">MEDIAN(IF(ISNUMBER(SEARCH("*"&amp;U101&amp;"*",N$2:N$3787)),Q$2:Q$3787))</f>
        <v>7.3</v>
      </c>
      <c r="Y101" cm="1">
        <f t="array" ref="Y101">VAR(IF(ISNUMBER(SEARCH("*"&amp;U101&amp;"*",N$2:N$3787)),Q$2:Q$3787))</f>
        <v>0.19</v>
      </c>
      <c r="Z101" cm="1">
        <f t="array" ref="Z101">STDEV(IF(ISNUMBER(SEARCH("*"&amp;U101&amp;"*",N$2:N$3787)),Q$2:Q$3787))</f>
        <v>0.435889894354067</v>
      </c>
    </row>
    <row r="102" customHeight="1" spans="1:26">
      <c r="A102" s="2" t="s">
        <v>273</v>
      </c>
      <c r="B102" s="2">
        <v>109</v>
      </c>
      <c r="C102" s="2">
        <v>63143812</v>
      </c>
      <c r="D102" s="2" t="s">
        <v>79</v>
      </c>
      <c r="E102" s="2" t="s">
        <v>12</v>
      </c>
      <c r="F102" t="s">
        <v>13</v>
      </c>
      <c r="G102" t="s">
        <v>14</v>
      </c>
      <c r="H102" t="s">
        <v>29</v>
      </c>
      <c r="I102" t="s">
        <v>16</v>
      </c>
      <c r="N102" s="2" t="s">
        <v>18</v>
      </c>
      <c r="O102" s="2" t="s">
        <v>19</v>
      </c>
      <c r="P102" s="2">
        <v>150000000</v>
      </c>
      <c r="Q102" s="2">
        <v>6.1</v>
      </c>
      <c r="R102" s="2" t="s">
        <v>274</v>
      </c>
      <c r="S102" s="2"/>
      <c r="U102" t="str">
        <f>IFERROR(__xludf.DUMMYFUNCTION("""COMPUTED_VALUE"""),"Dzongkha")</f>
        <v>Dzongkha</v>
      </c>
      <c r="V102">
        <f t="shared" si="2"/>
        <v>1</v>
      </c>
      <c r="W102">
        <f t="shared" si="1"/>
        <v>7.5</v>
      </c>
      <c r="X102" cm="1">
        <f t="array" ref="X102">MEDIAN(IF(ISNUMBER(SEARCH("*"&amp;U102&amp;"*",N$2:N$3787)),Q$2:Q$3787))</f>
        <v>7.5</v>
      </c>
      <c r="Y102" t="e" cm="1">
        <f t="array" ref="Y102">VAR(IF(ISNUMBER(SEARCH("*"&amp;U102&amp;"*",N$2:N$3787)),Q$2:Q$3787))</f>
        <v>#DIV/0!</v>
      </c>
      <c r="Z102" t="e" cm="1">
        <f t="array" ref="Z102">STDEV(IF(ISNUMBER(SEARCH("*"&amp;U102&amp;"*",N$2:N$3787)),Q$2:Q$3787))</f>
        <v>#DIV/0!</v>
      </c>
    </row>
    <row r="103" customHeight="1" spans="1:26">
      <c r="A103" s="2" t="s">
        <v>275</v>
      </c>
      <c r="B103" s="2">
        <v>98</v>
      </c>
      <c r="C103" s="2">
        <v>60655503</v>
      </c>
      <c r="D103" s="2" t="s">
        <v>276</v>
      </c>
      <c r="E103" s="2" t="s">
        <v>12</v>
      </c>
      <c r="F103" t="s">
        <v>13</v>
      </c>
      <c r="G103" t="s">
        <v>14</v>
      </c>
      <c r="H103" t="s">
        <v>24</v>
      </c>
      <c r="I103" t="s">
        <v>14</v>
      </c>
      <c r="N103" s="2" t="s">
        <v>18</v>
      </c>
      <c r="O103" s="2" t="s">
        <v>19</v>
      </c>
      <c r="P103" s="2">
        <v>160000000</v>
      </c>
      <c r="Q103" s="2">
        <v>5.6</v>
      </c>
      <c r="R103" s="2" t="s">
        <v>277</v>
      </c>
      <c r="S103" s="2"/>
      <c r="U103" t="str">
        <f>IFERROR(__xludf.DUMMYFUNCTION("""COMPUTED_VALUE"""),"Arabic")</f>
        <v>Arabic</v>
      </c>
      <c r="V103">
        <f t="shared" si="2"/>
        <v>1</v>
      </c>
      <c r="W103">
        <f t="shared" si="1"/>
        <v>7.2</v>
      </c>
      <c r="X103" cm="1">
        <f t="array" ref="X103">MEDIAN(IF(ISNUMBER(SEARCH("*"&amp;U103&amp;"*",N$2:N$3787)),Q$2:Q$3787))</f>
        <v>7.2</v>
      </c>
      <c r="Y103" t="e" cm="1">
        <f t="array" ref="Y103">VAR(IF(ISNUMBER(SEARCH("*"&amp;U103&amp;"*",N$2:N$3787)),Q$2:Q$3787))</f>
        <v>#DIV/0!</v>
      </c>
      <c r="Z103" t="e" cm="1">
        <f t="array" ref="Z103">STDEV(IF(ISNUMBER(SEARCH("*"&amp;U103&amp;"*",N$2:N$3787)),Q$2:Q$3787))</f>
        <v>#DIV/0!</v>
      </c>
    </row>
    <row r="104" customHeight="1" spans="1:26">
      <c r="A104" s="2" t="s">
        <v>278</v>
      </c>
      <c r="B104" s="2">
        <v>113</v>
      </c>
      <c r="C104" s="2">
        <v>76846624</v>
      </c>
      <c r="D104" s="2" t="s">
        <v>99</v>
      </c>
      <c r="E104" s="2" t="s">
        <v>13</v>
      </c>
      <c r="F104" t="s">
        <v>23</v>
      </c>
      <c r="G104" t="s">
        <v>15</v>
      </c>
      <c r="H104" t="s">
        <v>14</v>
      </c>
      <c r="I104" t="s">
        <v>15</v>
      </c>
      <c r="N104" s="2" t="s">
        <v>18</v>
      </c>
      <c r="O104" s="2" t="s">
        <v>19</v>
      </c>
      <c r="P104" s="2">
        <v>170000000</v>
      </c>
      <c r="Q104" s="2">
        <v>6.4</v>
      </c>
      <c r="R104" s="2" t="s">
        <v>279</v>
      </c>
      <c r="S104" s="2"/>
      <c r="U104" t="str">
        <f>IFERROR(__xludf.DUMMYFUNCTION("""COMPUTED_VALUE"""),"Vietnamese")</f>
        <v>Vietnamese</v>
      </c>
      <c r="V104">
        <f t="shared" si="2"/>
        <v>1</v>
      </c>
      <c r="W104">
        <f t="shared" si="1"/>
        <v>7.4</v>
      </c>
      <c r="X104" cm="1">
        <f t="array" ref="X104">MEDIAN(IF(ISNUMBER(SEARCH("*"&amp;U104&amp;"*",N$2:N$3787)),Q$2:Q$3787))</f>
        <v>7.4</v>
      </c>
      <c r="Y104" t="e" cm="1">
        <f t="array" ref="Y104">VAR(IF(ISNUMBER(SEARCH("*"&amp;U104&amp;"*",N$2:N$3787)),Q$2:Q$3787))</f>
        <v>#DIV/0!</v>
      </c>
      <c r="Z104" t="e" cm="1">
        <f t="array" ref="Z104">STDEV(IF(ISNUMBER(SEARCH("*"&amp;U104&amp;"*",N$2:N$3787)),Q$2:Q$3787))</f>
        <v>#DIV/0!</v>
      </c>
    </row>
    <row r="105" customHeight="1" spans="1:26">
      <c r="A105" s="2" t="s">
        <v>280</v>
      </c>
      <c r="B105" s="2">
        <v>93</v>
      </c>
      <c r="C105" s="2">
        <v>320706665</v>
      </c>
      <c r="D105" s="2" t="s">
        <v>124</v>
      </c>
      <c r="E105" s="2" t="s">
        <v>13</v>
      </c>
      <c r="F105" t="s">
        <v>35</v>
      </c>
      <c r="G105" t="s">
        <v>23</v>
      </c>
      <c r="H105" t="s">
        <v>23</v>
      </c>
      <c r="I105" t="s">
        <v>14</v>
      </c>
      <c r="N105" s="2" t="s">
        <v>18</v>
      </c>
      <c r="O105" s="2" t="s">
        <v>19</v>
      </c>
      <c r="P105" s="2">
        <v>160000000</v>
      </c>
      <c r="Q105" s="2">
        <v>6.1</v>
      </c>
      <c r="R105" s="2" t="s">
        <v>281</v>
      </c>
      <c r="S105" s="2"/>
      <c r="U105" t="str">
        <f>IFERROR(__xludf.DUMMYFUNCTION("""COMPUTED_VALUE"""),"Indonesian")</f>
        <v>Indonesian</v>
      </c>
      <c r="V105">
        <f t="shared" si="2"/>
        <v>2</v>
      </c>
      <c r="W105">
        <f t="shared" si="1"/>
        <v>7.9</v>
      </c>
      <c r="X105" cm="1">
        <f t="array" ref="X105">MEDIAN(IF(ISNUMBER(SEARCH("*"&amp;U105&amp;"*",N$2:N$3787)),Q$2:Q$3787))</f>
        <v>7.9</v>
      </c>
      <c r="Y105" cm="1">
        <f t="array" ref="Y105">VAR(IF(ISNUMBER(SEARCH("*"&amp;U105&amp;"*",N$2:N$3787)),Q$2:Q$3787))</f>
        <v>0.18</v>
      </c>
      <c r="Z105" cm="1">
        <f t="array" ref="Z105">STDEV(IF(ISNUMBER(SEARCH("*"&amp;U105&amp;"*",N$2:N$3787)),Q$2:Q$3787))</f>
        <v>0.424264068711928</v>
      </c>
    </row>
    <row r="106" customHeight="1" spans="1:26">
      <c r="A106" s="2" t="s">
        <v>282</v>
      </c>
      <c r="B106" s="2">
        <v>123</v>
      </c>
      <c r="C106" s="2">
        <v>46978995</v>
      </c>
      <c r="D106" s="2" t="s">
        <v>22</v>
      </c>
      <c r="E106" s="2" t="s">
        <v>12</v>
      </c>
      <c r="F106" t="s">
        <v>13</v>
      </c>
      <c r="G106" t="s">
        <v>23</v>
      </c>
      <c r="H106" t="s">
        <v>23</v>
      </c>
      <c r="I106" t="s">
        <v>14</v>
      </c>
      <c r="N106" s="2" t="s">
        <v>18</v>
      </c>
      <c r="O106" s="2" t="s">
        <v>19</v>
      </c>
      <c r="P106" s="2">
        <v>160000000</v>
      </c>
      <c r="Q106" s="2">
        <v>7.3</v>
      </c>
      <c r="R106" s="2" t="s">
        <v>283</v>
      </c>
      <c r="S106" s="2"/>
      <c r="U106" t="str">
        <f>IFERROR(__xludf.DUMMYFUNCTION("""COMPUTED_VALUE"""),"Romanian")</f>
        <v>Romanian</v>
      </c>
      <c r="V106">
        <f t="shared" si="2"/>
        <v>1</v>
      </c>
      <c r="W106">
        <f t="shared" si="1"/>
        <v>7.9</v>
      </c>
      <c r="X106" cm="1">
        <f t="array" ref="X106">MEDIAN(IF(ISNUMBER(SEARCH("*"&amp;U106&amp;"*",N$2:N$3787)),Q$2:Q$3787))</f>
        <v>7.9</v>
      </c>
      <c r="Y106" t="e" cm="1">
        <f t="array" ref="Y106">VAR(IF(ISNUMBER(SEARCH("*"&amp;U106&amp;"*",N$2:N$3787)),Q$2:Q$3787))</f>
        <v>#DIV/0!</v>
      </c>
      <c r="Z106" t="e" cm="1">
        <f t="array" ref="Z106">STDEV(IF(ISNUMBER(SEARCH("*"&amp;U106&amp;"*",N$2:N$3787)),Q$2:Q$3787))</f>
        <v>#DIV/0!</v>
      </c>
    </row>
    <row r="107" customHeight="1" spans="1:26">
      <c r="A107" s="2" t="s">
        <v>284</v>
      </c>
      <c r="B107" s="2">
        <v>126</v>
      </c>
      <c r="C107" s="2">
        <v>89732035</v>
      </c>
      <c r="D107" s="2" t="s">
        <v>38</v>
      </c>
      <c r="E107" s="2" t="s">
        <v>12</v>
      </c>
      <c r="F107" t="s">
        <v>13</v>
      </c>
      <c r="G107" t="s">
        <v>35</v>
      </c>
      <c r="H107" t="s">
        <v>15</v>
      </c>
      <c r="I107" t="s">
        <v>23</v>
      </c>
      <c r="N107" s="2" t="s">
        <v>18</v>
      </c>
      <c r="O107" s="2" t="s">
        <v>19</v>
      </c>
      <c r="P107" s="2">
        <v>155000000</v>
      </c>
      <c r="Q107" s="2">
        <v>6.6</v>
      </c>
      <c r="R107" s="2" t="s">
        <v>285</v>
      </c>
      <c r="S107" s="2"/>
      <c r="U107" t="str">
        <f>IFERROR(__xludf.DUMMYFUNCTION("""COMPUTED_VALUE"""),"Persian")</f>
        <v>Persian</v>
      </c>
      <c r="V107">
        <f t="shared" si="2"/>
        <v>3</v>
      </c>
      <c r="W107">
        <f t="shared" si="1"/>
        <v>8.13333333333333</v>
      </c>
      <c r="X107" cm="1">
        <f t="array" ref="X107">MEDIAN(IF(ISNUMBER(SEARCH("*"&amp;U107&amp;"*",N$2:N$3787)),Q$2:Q$3787))</f>
        <v>8.4</v>
      </c>
      <c r="Y107" cm="1">
        <f t="array" ref="Y107">VAR(IF(ISNUMBER(SEARCH("*"&amp;U107&amp;"*",N$2:N$3787)),Q$2:Q$3787))</f>
        <v>0.303333333333333</v>
      </c>
      <c r="Z107" cm="1">
        <f t="array" ref="Z107">STDEV(IF(ISNUMBER(SEARCH("*"&amp;U107&amp;"*",N$2:N$3787)),Q$2:Q$3787))</f>
        <v>0.55075705472861</v>
      </c>
    </row>
    <row r="108" customHeight="1" spans="1:26">
      <c r="A108" s="2" t="s">
        <v>286</v>
      </c>
      <c r="B108" s="2">
        <v>113</v>
      </c>
      <c r="C108" s="2">
        <v>104383624</v>
      </c>
      <c r="D108" s="2" t="s">
        <v>99</v>
      </c>
      <c r="E108" s="2" t="s">
        <v>13</v>
      </c>
      <c r="F108" t="s">
        <v>23</v>
      </c>
      <c r="G108" t="s">
        <v>23</v>
      </c>
      <c r="H108" t="s">
        <v>28</v>
      </c>
      <c r="I108" t="s">
        <v>16</v>
      </c>
      <c r="N108" s="2" t="s">
        <v>18</v>
      </c>
      <c r="O108" s="2" t="s">
        <v>19</v>
      </c>
      <c r="P108" s="2">
        <v>155000000</v>
      </c>
      <c r="Q108" s="2">
        <v>6.3</v>
      </c>
      <c r="R108" s="2" t="s">
        <v>287</v>
      </c>
      <c r="S108" s="2"/>
      <c r="U108" t="str">
        <f>IFERROR(__xludf.DUMMYFUNCTION("""COMPUTED_VALUE"""),"Swedish")</f>
        <v>Swedish</v>
      </c>
      <c r="V108">
        <f t="shared" si="2"/>
        <v>1</v>
      </c>
      <c r="W108">
        <f t="shared" si="1"/>
        <v>7.6</v>
      </c>
      <c r="X108" cm="1">
        <f t="array" ref="X108">MEDIAN(IF(ISNUMBER(SEARCH("*"&amp;U108&amp;"*",N$2:N$3787)),Q$2:Q$3787))</f>
        <v>7.6</v>
      </c>
      <c r="Y108" t="e" cm="1">
        <f t="array" ref="Y108">VAR(IF(ISNUMBER(SEARCH("*"&amp;U108&amp;"*",N$2:N$3787)),Q$2:Q$3787))</f>
        <v>#DIV/0!</v>
      </c>
      <c r="Z108" t="e" cm="1">
        <f t="array" ref="Z108">STDEV(IF(ISNUMBER(SEARCH("*"&amp;U108&amp;"*",N$2:N$3787)),Q$2:Q$3787))</f>
        <v>#DIV/0!</v>
      </c>
    </row>
    <row r="109" customHeight="1" spans="1:19">
      <c r="A109" s="2" t="s">
        <v>126</v>
      </c>
      <c r="B109" s="2">
        <v>184</v>
      </c>
      <c r="C109" s="2">
        <v>198539855</v>
      </c>
      <c r="D109" s="2" t="s">
        <v>288</v>
      </c>
      <c r="E109" s="2" t="s">
        <v>12</v>
      </c>
      <c r="F109" t="s">
        <v>30</v>
      </c>
      <c r="G109" t="s">
        <v>14</v>
      </c>
      <c r="H109" t="s">
        <v>24</v>
      </c>
      <c r="I109" t="s">
        <v>15</v>
      </c>
      <c r="N109" s="2" t="s">
        <v>18</v>
      </c>
      <c r="O109" s="2" t="s">
        <v>19</v>
      </c>
      <c r="P109" s="2">
        <v>140000000</v>
      </c>
      <c r="Q109" s="2">
        <v>6.1</v>
      </c>
      <c r="R109" s="2" t="s">
        <v>289</v>
      </c>
      <c r="S109" s="2"/>
    </row>
    <row r="110" customHeight="1" spans="1:19">
      <c r="A110" s="2" t="s">
        <v>126</v>
      </c>
      <c r="B110" s="2">
        <v>144</v>
      </c>
      <c r="C110" s="2">
        <v>318759914</v>
      </c>
      <c r="D110" s="2" t="s">
        <v>38</v>
      </c>
      <c r="E110" s="2" t="s">
        <v>12</v>
      </c>
      <c r="F110" t="s">
        <v>13</v>
      </c>
      <c r="G110" t="s">
        <v>40</v>
      </c>
      <c r="H110" t="s">
        <v>24</v>
      </c>
      <c r="I110" t="s">
        <v>28</v>
      </c>
      <c r="N110" s="2" t="s">
        <v>18</v>
      </c>
      <c r="O110" s="2" t="s">
        <v>19</v>
      </c>
      <c r="P110" s="2">
        <v>150000000</v>
      </c>
      <c r="Q110" s="2">
        <v>7.1</v>
      </c>
      <c r="R110" s="2" t="s">
        <v>290</v>
      </c>
      <c r="S110" s="2"/>
    </row>
    <row r="111" customHeight="1" spans="1:19">
      <c r="A111" s="2" t="s">
        <v>291</v>
      </c>
      <c r="B111" s="2">
        <v>206</v>
      </c>
      <c r="C111" s="2">
        <v>34293771</v>
      </c>
      <c r="D111" s="2" t="s">
        <v>292</v>
      </c>
      <c r="E111" s="2" t="s">
        <v>12</v>
      </c>
      <c r="F111" t="s">
        <v>13</v>
      </c>
      <c r="G111" t="s">
        <v>14</v>
      </c>
      <c r="H111" t="s">
        <v>24</v>
      </c>
      <c r="I111" t="s">
        <v>24</v>
      </c>
      <c r="N111" s="2" t="s">
        <v>18</v>
      </c>
      <c r="O111" s="2" t="s">
        <v>293</v>
      </c>
      <c r="P111" s="2">
        <v>155000000</v>
      </c>
      <c r="Q111" s="2">
        <v>5.5</v>
      </c>
      <c r="R111" s="2" t="s">
        <v>294</v>
      </c>
      <c r="S111" s="2"/>
    </row>
    <row r="112" customHeight="1" spans="1:19">
      <c r="A112" s="2" t="s">
        <v>61</v>
      </c>
      <c r="B112" s="2">
        <v>138</v>
      </c>
      <c r="C112" s="2">
        <v>292000866</v>
      </c>
      <c r="D112" s="2" t="s">
        <v>62</v>
      </c>
      <c r="E112" s="2" t="s">
        <v>13</v>
      </c>
      <c r="F112" t="s">
        <v>23</v>
      </c>
      <c r="G112" t="s">
        <v>15</v>
      </c>
      <c r="H112" t="s">
        <v>56</v>
      </c>
      <c r="I112" t="s">
        <v>15</v>
      </c>
      <c r="N112" s="2" t="s">
        <v>18</v>
      </c>
      <c r="O112" s="2" t="s">
        <v>31</v>
      </c>
      <c r="P112" s="2">
        <v>150000000</v>
      </c>
      <c r="Q112" s="2">
        <v>7.5</v>
      </c>
      <c r="R112" s="2" t="s">
        <v>295</v>
      </c>
      <c r="S112" s="2"/>
    </row>
    <row r="113" customHeight="1" spans="1:19">
      <c r="A113" s="2" t="s">
        <v>161</v>
      </c>
      <c r="B113" s="2">
        <v>157</v>
      </c>
      <c r="C113" s="2">
        <v>289994397</v>
      </c>
      <c r="D113" s="2" t="s">
        <v>62</v>
      </c>
      <c r="E113" s="2" t="s">
        <v>13</v>
      </c>
      <c r="F113" t="s">
        <v>23</v>
      </c>
      <c r="G113" t="s">
        <v>14</v>
      </c>
      <c r="H113" t="s">
        <v>23</v>
      </c>
      <c r="I113" t="s">
        <v>15</v>
      </c>
      <c r="N113" s="2" t="s">
        <v>18</v>
      </c>
      <c r="O113" s="2" t="s">
        <v>31</v>
      </c>
      <c r="P113" s="2">
        <v>150000000</v>
      </c>
      <c r="Q113" s="2">
        <v>7.6</v>
      </c>
      <c r="R113" s="2" t="s">
        <v>296</v>
      </c>
      <c r="S113" s="2"/>
    </row>
    <row r="114" customHeight="1" spans="1:19">
      <c r="A114" s="2" t="s">
        <v>107</v>
      </c>
      <c r="B114" s="2">
        <v>102</v>
      </c>
      <c r="C114" s="2">
        <v>227946274</v>
      </c>
      <c r="D114" s="2" t="s">
        <v>297</v>
      </c>
      <c r="E114" s="2" t="s">
        <v>12</v>
      </c>
      <c r="F114" t="s">
        <v>30</v>
      </c>
      <c r="G114" t="s">
        <v>40</v>
      </c>
      <c r="H114" t="s">
        <v>24</v>
      </c>
      <c r="I114" t="s">
        <v>24</v>
      </c>
      <c r="N114" s="2" t="s">
        <v>18</v>
      </c>
      <c r="O114" s="2" t="s">
        <v>19</v>
      </c>
      <c r="P114" s="2">
        <v>150000000</v>
      </c>
      <c r="Q114" s="2">
        <v>6.4</v>
      </c>
      <c r="R114" s="2" t="s">
        <v>298</v>
      </c>
      <c r="S114" s="2"/>
    </row>
    <row r="115" customHeight="1" spans="1:22">
      <c r="A115" s="2" t="s">
        <v>270</v>
      </c>
      <c r="B115" s="2">
        <v>104</v>
      </c>
      <c r="C115" s="2">
        <v>256386216</v>
      </c>
      <c r="D115" s="2" t="s">
        <v>299</v>
      </c>
      <c r="E115" s="2" t="s">
        <v>30</v>
      </c>
      <c r="F115" t="s">
        <v>72</v>
      </c>
      <c r="G115" t="s">
        <v>35</v>
      </c>
      <c r="H115" t="s">
        <v>24</v>
      </c>
      <c r="I115" t="s">
        <v>14</v>
      </c>
      <c r="N115" s="2" t="s">
        <v>18</v>
      </c>
      <c r="O115" s="2" t="s">
        <v>19</v>
      </c>
      <c r="P115" s="2">
        <v>150000000</v>
      </c>
      <c r="Q115" s="2">
        <v>7.2</v>
      </c>
      <c r="R115" s="2" t="s">
        <v>300</v>
      </c>
      <c r="S115" s="2"/>
      <c r="U115" s="1"/>
      <c r="V115" s="3"/>
    </row>
    <row r="116" customHeight="1" spans="1:23">
      <c r="A116" s="2" t="s">
        <v>117</v>
      </c>
      <c r="B116" s="2">
        <v>115</v>
      </c>
      <c r="C116" s="2">
        <v>206456431</v>
      </c>
      <c r="D116" s="2" t="s">
        <v>301</v>
      </c>
      <c r="E116" s="2" t="s">
        <v>13</v>
      </c>
      <c r="F116" t="s">
        <v>40</v>
      </c>
      <c r="G116" t="s">
        <v>14</v>
      </c>
      <c r="H116" t="s">
        <v>24</v>
      </c>
      <c r="I116" t="s">
        <v>39</v>
      </c>
      <c r="N116" s="2" t="s">
        <v>18</v>
      </c>
      <c r="O116" s="2" t="s">
        <v>19</v>
      </c>
      <c r="P116" s="2">
        <v>150000000</v>
      </c>
      <c r="Q116" s="2">
        <v>6.7</v>
      </c>
      <c r="R116" s="2" t="s">
        <v>302</v>
      </c>
      <c r="S116" s="2"/>
      <c r="U116" s="2"/>
      <c r="W116" s="4"/>
    </row>
    <row r="117" customHeight="1" spans="1:33">
      <c r="A117" s="2" t="s">
        <v>241</v>
      </c>
      <c r="B117" s="2">
        <v>111</v>
      </c>
      <c r="C117" s="2">
        <v>206435493</v>
      </c>
      <c r="D117" s="2" t="s">
        <v>303</v>
      </c>
      <c r="E117" s="2" t="s">
        <v>35</v>
      </c>
      <c r="F117" t="s">
        <v>40</v>
      </c>
      <c r="G117" t="s">
        <v>72</v>
      </c>
      <c r="H117" t="s">
        <v>15</v>
      </c>
      <c r="I117" t="s">
        <v>14</v>
      </c>
      <c r="N117" s="2" t="s">
        <v>18</v>
      </c>
      <c r="O117" s="2" t="s">
        <v>19</v>
      </c>
      <c r="P117" s="2">
        <v>150000000</v>
      </c>
      <c r="Q117" s="2">
        <v>8</v>
      </c>
      <c r="R117" s="2" t="s">
        <v>304</v>
      </c>
      <c r="S117" s="2"/>
      <c r="U117" s="1" t="s">
        <v>0</v>
      </c>
      <c r="V117" s="3" t="s">
        <v>201</v>
      </c>
      <c r="W117" s="3" t="s">
        <v>305</v>
      </c>
      <c r="X117" s="3" t="s">
        <v>306</v>
      </c>
      <c r="AC117" s="1"/>
      <c r="AD117" s="3" t="s">
        <v>307</v>
      </c>
      <c r="AE117" s="3" t="s">
        <v>308</v>
      </c>
      <c r="AF117" s="3" t="s">
        <v>309</v>
      </c>
      <c r="AG117" s="3" t="s">
        <v>310</v>
      </c>
    </row>
    <row r="118" customHeight="1" spans="1:33">
      <c r="A118" s="2" t="s">
        <v>33</v>
      </c>
      <c r="B118" s="2">
        <v>128</v>
      </c>
      <c r="C118" s="2">
        <v>205343774</v>
      </c>
      <c r="D118" s="2" t="s">
        <v>70</v>
      </c>
      <c r="E118" s="2" t="s">
        <v>12</v>
      </c>
      <c r="F118" t="s">
        <v>13</v>
      </c>
      <c r="G118" t="s">
        <v>24</v>
      </c>
      <c r="H118" t="s">
        <v>15</v>
      </c>
      <c r="I118" t="s">
        <v>24</v>
      </c>
      <c r="N118" s="2" t="s">
        <v>18</v>
      </c>
      <c r="O118" s="2" t="s">
        <v>19</v>
      </c>
      <c r="P118" s="2">
        <v>150000000</v>
      </c>
      <c r="Q118" s="2">
        <v>8.3</v>
      </c>
      <c r="R118" s="2" t="s">
        <v>311</v>
      </c>
      <c r="S118" s="2"/>
      <c r="U118" s="2" t="s">
        <v>10</v>
      </c>
      <c r="V118">
        <f ca="1">AVERAGEIF(A2:A3787,U118,Q3:Q3787)</f>
        <v>7.22857142857143</v>
      </c>
      <c r="W118">
        <f ca="1">PERCENTILE($V$118:$V$1868,0.9)</f>
        <v>7.5</v>
      </c>
      <c r="X118">
        <f ca="1">COUNTIF(V118:V1868,"7.5")</f>
        <v>30</v>
      </c>
      <c r="AC118" s="2"/>
      <c r="AD118" t="str">
        <f>IFERROR(__xludf.DUMMYFUNCTION("UNIQUE(E2:E3787)"),"Avatar ")</f>
        <v>Avatar </v>
      </c>
      <c r="AE118">
        <f>C2-B2</f>
        <v>760505669</v>
      </c>
      <c r="AF118">
        <f>MAX(AE118:AE3902)</f>
        <v>760505669</v>
      </c>
      <c r="AG118" cm="1">
        <f t="array" ref="AG118">CORREL(P2:P3787,C2:C3787)</f>
        <v>0.0965689205972196</v>
      </c>
    </row>
    <row r="119" customHeight="1" spans="1:31">
      <c r="A119" s="2" t="s">
        <v>312</v>
      </c>
      <c r="B119" s="2">
        <v>89</v>
      </c>
      <c r="C119" s="2">
        <v>179982968</v>
      </c>
      <c r="D119" s="2" t="s">
        <v>313</v>
      </c>
      <c r="E119" s="2" t="s">
        <v>12</v>
      </c>
      <c r="F119" t="s">
        <v>13</v>
      </c>
      <c r="G119" t="s">
        <v>72</v>
      </c>
      <c r="H119" t="s">
        <v>15</v>
      </c>
      <c r="I119" t="s">
        <v>83</v>
      </c>
      <c r="N119" s="2" t="s">
        <v>18</v>
      </c>
      <c r="O119" s="2" t="s">
        <v>19</v>
      </c>
      <c r="P119" s="2">
        <v>150000000</v>
      </c>
      <c r="Q119" s="2">
        <v>6.7</v>
      </c>
      <c r="R119" s="2" t="s">
        <v>314</v>
      </c>
      <c r="S119" s="2"/>
      <c r="U119" s="2" t="s">
        <v>21</v>
      </c>
      <c r="V119">
        <f ca="1" t="shared" ref="V119:V182" si="3">AVERAGEIF(A3:A3788,U119,Q4:Q3788)</f>
        <v>6.62857142857143</v>
      </c>
      <c r="AC119" s="2"/>
      <c r="AD119" t="str">
        <f>IFERROR(__xludf.DUMMYFUNCTION("""COMPUTED_VALUE"""),"Pirates of the Caribbean: At World's End ")</f>
        <v>Pirates of the Caribbean: At World's End </v>
      </c>
      <c r="AE119">
        <f t="shared" ref="AE119:AE182" si="4">C3-B3</f>
        <v>309403983</v>
      </c>
    </row>
    <row r="120" customHeight="1" spans="1:31">
      <c r="A120" s="2" t="s">
        <v>315</v>
      </c>
      <c r="B120" s="2">
        <v>105</v>
      </c>
      <c r="C120" s="2">
        <v>177243721</v>
      </c>
      <c r="D120" s="2" t="s">
        <v>301</v>
      </c>
      <c r="E120" s="2" t="s">
        <v>13</v>
      </c>
      <c r="F120" t="s">
        <v>40</v>
      </c>
      <c r="G120" t="s">
        <v>40</v>
      </c>
      <c r="H120" t="s">
        <v>23</v>
      </c>
      <c r="I120" t="s">
        <v>29</v>
      </c>
      <c r="N120" s="2" t="s">
        <v>18</v>
      </c>
      <c r="O120" s="2" t="s">
        <v>19</v>
      </c>
      <c r="P120" s="2">
        <v>150000000</v>
      </c>
      <c r="Q120" s="2">
        <v>5.9</v>
      </c>
      <c r="R120" s="2" t="s">
        <v>316</v>
      </c>
      <c r="S120" s="2"/>
      <c r="U120" s="2" t="s">
        <v>26</v>
      </c>
      <c r="V120">
        <f ca="1" t="shared" si="3"/>
        <v>7.18571428571429</v>
      </c>
      <c r="AC120" s="2"/>
      <c r="AD120" t="str">
        <f>IFERROR(__xludf.DUMMYFUNCTION("""COMPUTED_VALUE"""),"Spectre ")</f>
        <v>Spectre </v>
      </c>
      <c r="AE120">
        <f t="shared" si="4"/>
        <v>200074027</v>
      </c>
    </row>
    <row r="121" customHeight="1" spans="1:31">
      <c r="A121" s="2" t="s">
        <v>317</v>
      </c>
      <c r="B121" s="2">
        <v>119</v>
      </c>
      <c r="C121" s="2">
        <v>179883016</v>
      </c>
      <c r="D121" s="2" t="s">
        <v>120</v>
      </c>
      <c r="E121" s="2" t="s">
        <v>12</v>
      </c>
      <c r="F121" t="s">
        <v>13</v>
      </c>
      <c r="G121" t="s">
        <v>35</v>
      </c>
      <c r="H121" t="s">
        <v>24</v>
      </c>
      <c r="I121" t="s">
        <v>29</v>
      </c>
      <c r="N121" s="2" t="s">
        <v>18</v>
      </c>
      <c r="O121" s="2" t="s">
        <v>19</v>
      </c>
      <c r="P121" s="2">
        <v>150000000</v>
      </c>
      <c r="Q121" s="2">
        <v>6.7</v>
      </c>
      <c r="R121" s="2" t="s">
        <v>318</v>
      </c>
      <c r="S121" s="2"/>
      <c r="U121" s="2" t="s">
        <v>33</v>
      </c>
      <c r="V121">
        <f ca="1" t="shared" si="3"/>
        <v>7.3375</v>
      </c>
      <c r="AC121" s="2"/>
      <c r="AD121" t="str">
        <f>IFERROR(__xludf.DUMMYFUNCTION("""COMPUTED_VALUE"""),"The Dark Knight Rises ")</f>
        <v>The Dark Knight Rises </v>
      </c>
      <c r="AE121">
        <f t="shared" si="4"/>
        <v>448130478</v>
      </c>
    </row>
    <row r="122" customHeight="1" spans="1:31">
      <c r="A122" s="2" t="s">
        <v>181</v>
      </c>
      <c r="B122" s="2">
        <v>129</v>
      </c>
      <c r="C122" s="2">
        <v>139259759</v>
      </c>
      <c r="D122" s="2" t="s">
        <v>256</v>
      </c>
      <c r="E122" s="2" t="s">
        <v>12</v>
      </c>
      <c r="F122" t="s">
        <v>15</v>
      </c>
      <c r="G122" t="s">
        <v>23</v>
      </c>
      <c r="H122" t="s">
        <v>15</v>
      </c>
      <c r="I122" t="s">
        <v>56</v>
      </c>
      <c r="N122" s="2" t="s">
        <v>18</v>
      </c>
      <c r="O122" s="2" t="s">
        <v>159</v>
      </c>
      <c r="P122" s="2">
        <v>150000000</v>
      </c>
      <c r="Q122" s="2">
        <v>6.7</v>
      </c>
      <c r="R122" s="2" t="s">
        <v>319</v>
      </c>
      <c r="S122" s="2"/>
      <c r="U122" s="2" t="s">
        <v>37</v>
      </c>
      <c r="V122">
        <f ca="1" t="shared" si="3"/>
        <v>7.1</v>
      </c>
      <c r="AC122" s="2"/>
      <c r="AD122" t="str">
        <f>IFERROR(__xludf.DUMMYFUNCTION("""COMPUTED_VALUE"""),"John Carter ")</f>
        <v>John Carter </v>
      </c>
      <c r="AE122">
        <f t="shared" si="4"/>
        <v>73058547</v>
      </c>
    </row>
    <row r="123" customHeight="1" spans="1:31">
      <c r="A123" s="2" t="s">
        <v>320</v>
      </c>
      <c r="B123" s="2">
        <v>102</v>
      </c>
      <c r="C123" s="2">
        <v>400736600</v>
      </c>
      <c r="D123" s="2" t="s">
        <v>321</v>
      </c>
      <c r="E123" s="2" t="s">
        <v>13</v>
      </c>
      <c r="F123" t="s">
        <v>35</v>
      </c>
      <c r="G123" t="s">
        <v>24</v>
      </c>
      <c r="H123" t="s">
        <v>23</v>
      </c>
      <c r="I123" t="s">
        <v>16</v>
      </c>
      <c r="N123" s="2" t="s">
        <v>18</v>
      </c>
      <c r="O123" s="2" t="s">
        <v>19</v>
      </c>
      <c r="P123" s="2">
        <v>150000000</v>
      </c>
      <c r="Q123" s="2">
        <v>7.6</v>
      </c>
      <c r="R123" s="2" t="s">
        <v>322</v>
      </c>
      <c r="S123" s="2"/>
      <c r="U123" s="2" t="s">
        <v>50</v>
      </c>
      <c r="V123">
        <f ca="1" t="shared" si="3"/>
        <v>6.23</v>
      </c>
      <c r="AC123" s="2"/>
      <c r="AD123" t="str">
        <f>IFERROR(__xludf.DUMMYFUNCTION("""COMPUTED_VALUE"""),"Spider-Man 3 ")</f>
        <v>Spider-Man 3 </v>
      </c>
      <c r="AE123">
        <f t="shared" si="4"/>
        <v>336530147</v>
      </c>
    </row>
    <row r="124" customHeight="1" spans="1:31">
      <c r="A124" s="2" t="s">
        <v>181</v>
      </c>
      <c r="B124" s="2">
        <v>138</v>
      </c>
      <c r="C124" s="2">
        <v>281492479</v>
      </c>
      <c r="D124" s="2" t="s">
        <v>256</v>
      </c>
      <c r="E124" s="2" t="s">
        <v>12</v>
      </c>
      <c r="F124" t="s">
        <v>15</v>
      </c>
      <c r="G124" t="s">
        <v>24</v>
      </c>
      <c r="H124" t="s">
        <v>14</v>
      </c>
      <c r="I124" t="s">
        <v>24</v>
      </c>
      <c r="N124" s="2" t="s">
        <v>18</v>
      </c>
      <c r="O124" s="2" t="s">
        <v>19</v>
      </c>
      <c r="P124" s="2">
        <v>150000000</v>
      </c>
      <c r="Q124" s="2">
        <v>7.2</v>
      </c>
      <c r="R124" s="2" t="s">
        <v>323</v>
      </c>
      <c r="S124" s="2"/>
      <c r="U124" s="2" t="s">
        <v>53</v>
      </c>
      <c r="V124">
        <f ca="1" t="shared" si="3"/>
        <v>7.5</v>
      </c>
      <c r="AC124" s="2"/>
      <c r="AD124" t="str">
        <f>IFERROR(__xludf.DUMMYFUNCTION("""COMPUTED_VALUE"""),"Tangled ")</f>
        <v>Tangled </v>
      </c>
      <c r="AE124">
        <f t="shared" si="4"/>
        <v>200807162</v>
      </c>
    </row>
    <row r="125" customHeight="1" spans="1:31">
      <c r="A125" s="2" t="s">
        <v>284</v>
      </c>
      <c r="B125" s="2">
        <v>112</v>
      </c>
      <c r="C125" s="2">
        <v>206360018</v>
      </c>
      <c r="D125" s="2" t="s">
        <v>22</v>
      </c>
      <c r="E125" s="2" t="s">
        <v>12</v>
      </c>
      <c r="F125" t="s">
        <v>13</v>
      </c>
      <c r="G125" t="s">
        <v>35</v>
      </c>
      <c r="H125" t="s">
        <v>15</v>
      </c>
      <c r="I125" t="s">
        <v>24</v>
      </c>
      <c r="N125" s="2" t="s">
        <v>18</v>
      </c>
      <c r="O125" s="2" t="s">
        <v>19</v>
      </c>
      <c r="P125" s="2">
        <v>170000000</v>
      </c>
      <c r="Q125" s="2">
        <v>7.1</v>
      </c>
      <c r="R125" s="2" t="s">
        <v>324</v>
      </c>
      <c r="S125" s="2"/>
      <c r="U125" s="2" t="s">
        <v>58</v>
      </c>
      <c r="V125">
        <f ca="1" t="shared" si="3"/>
        <v>6.5</v>
      </c>
      <c r="AC125" s="2"/>
      <c r="AD125" t="str">
        <f>IFERROR(__xludf.DUMMYFUNCTION("""COMPUTED_VALUE"""),"Avengers: Age of Ultron ")</f>
        <v>Avengers: Age of Ultron </v>
      </c>
      <c r="AE125">
        <f t="shared" si="4"/>
        <v>458991458</v>
      </c>
    </row>
    <row r="126" customHeight="1" spans="1:31">
      <c r="A126" s="2" t="s">
        <v>325</v>
      </c>
      <c r="B126" s="2">
        <v>120</v>
      </c>
      <c r="C126" s="2">
        <v>153629485</v>
      </c>
      <c r="D126" s="2" t="s">
        <v>108</v>
      </c>
      <c r="E126" s="2" t="s">
        <v>12</v>
      </c>
      <c r="F126" t="s">
        <v>13</v>
      </c>
      <c r="G126" t="s">
        <v>40</v>
      </c>
      <c r="H126" t="s">
        <v>24</v>
      </c>
      <c r="I126" t="s">
        <v>24</v>
      </c>
      <c r="N126" s="2" t="s">
        <v>18</v>
      </c>
      <c r="O126" s="2" t="s">
        <v>159</v>
      </c>
      <c r="P126" s="2">
        <v>150000000</v>
      </c>
      <c r="Q126" s="2">
        <v>8.1</v>
      </c>
      <c r="R126" s="2" t="s">
        <v>326</v>
      </c>
      <c r="S126" s="2"/>
      <c r="U126" s="2" t="s">
        <v>61</v>
      </c>
      <c r="V126">
        <f ca="1" t="shared" si="3"/>
        <v>7.13333333333333</v>
      </c>
      <c r="AC126" s="2"/>
      <c r="AD126" t="str">
        <f>IFERROR(__xludf.DUMMYFUNCTION("""COMPUTED_VALUE"""),"Harry Potter and the Half-Blood Prince ")</f>
        <v>Harry Potter and the Half-Blood Prince </v>
      </c>
      <c r="AE126">
        <f t="shared" si="4"/>
        <v>301956827</v>
      </c>
    </row>
    <row r="127" customHeight="1" spans="1:31">
      <c r="A127" s="2" t="s">
        <v>327</v>
      </c>
      <c r="B127" s="2">
        <v>146</v>
      </c>
      <c r="C127" s="2">
        <v>133375846</v>
      </c>
      <c r="D127" s="2" t="s">
        <v>328</v>
      </c>
      <c r="E127" s="2" t="s">
        <v>28</v>
      </c>
      <c r="F127" t="s">
        <v>24</v>
      </c>
      <c r="G127" t="s">
        <v>14</v>
      </c>
      <c r="H127" t="s">
        <v>15</v>
      </c>
      <c r="I127" t="s">
        <v>24</v>
      </c>
      <c r="N127" s="2" t="s">
        <v>18</v>
      </c>
      <c r="O127" s="2" t="s">
        <v>19</v>
      </c>
      <c r="P127" s="2">
        <v>150000000</v>
      </c>
      <c r="Q127" s="2">
        <v>6.7</v>
      </c>
      <c r="R127" s="2" t="s">
        <v>329</v>
      </c>
      <c r="S127" s="2"/>
      <c r="U127" s="2" t="s">
        <v>64</v>
      </c>
      <c r="V127">
        <f ca="1" t="shared" si="3"/>
        <v>5.71428571428571</v>
      </c>
      <c r="AC127" s="2"/>
      <c r="AD127" t="str">
        <f>IFERROR(__xludf.DUMMYFUNCTION("""COMPUTED_VALUE"""),"Batman v Superman: Dawn of Justice ")</f>
        <v>Batman v Superman: Dawn of Justice </v>
      </c>
      <c r="AE127">
        <f t="shared" si="4"/>
        <v>330248879</v>
      </c>
    </row>
    <row r="128" customHeight="1" spans="1:31">
      <c r="A128" s="2" t="s">
        <v>330</v>
      </c>
      <c r="B128" s="2">
        <v>115</v>
      </c>
      <c r="C128" s="2">
        <v>181015141</v>
      </c>
      <c r="D128" s="2" t="s">
        <v>22</v>
      </c>
      <c r="E128" s="2" t="s">
        <v>12</v>
      </c>
      <c r="F128" t="s">
        <v>13</v>
      </c>
      <c r="G128" t="s">
        <v>40</v>
      </c>
      <c r="H128" t="s">
        <v>23</v>
      </c>
      <c r="I128" t="s">
        <v>24</v>
      </c>
      <c r="N128" s="2" t="s">
        <v>18</v>
      </c>
      <c r="O128" s="2" t="s">
        <v>19</v>
      </c>
      <c r="P128" s="2">
        <v>150000000</v>
      </c>
      <c r="Q128" s="2">
        <v>7</v>
      </c>
      <c r="R128" s="2" t="s">
        <v>331</v>
      </c>
      <c r="S128" s="2"/>
      <c r="U128" s="2" t="s">
        <v>67</v>
      </c>
      <c r="V128">
        <f ca="1" t="shared" si="3"/>
        <v>6.925</v>
      </c>
      <c r="AC128" s="2"/>
      <c r="AD128" t="str">
        <f>IFERROR(__xludf.DUMMYFUNCTION("""COMPUTED_VALUE"""),"Superman Returns ")</f>
        <v>Superman Returns </v>
      </c>
      <c r="AE128">
        <f t="shared" si="4"/>
        <v>200069239</v>
      </c>
    </row>
    <row r="129" customHeight="1" spans="1:31">
      <c r="A129" s="2" t="s">
        <v>332</v>
      </c>
      <c r="B129" s="2">
        <v>96</v>
      </c>
      <c r="C129" s="2">
        <v>114053579</v>
      </c>
      <c r="D129" s="2" t="s">
        <v>333</v>
      </c>
      <c r="E129" s="2" t="s">
        <v>13</v>
      </c>
      <c r="F129" t="s">
        <v>35</v>
      </c>
      <c r="G129" t="s">
        <v>40</v>
      </c>
      <c r="H129" t="s">
        <v>24</v>
      </c>
      <c r="I129" t="s">
        <v>15</v>
      </c>
      <c r="N129" s="2" t="s">
        <v>18</v>
      </c>
      <c r="O129" s="2" t="s">
        <v>19</v>
      </c>
      <c r="P129" s="2">
        <v>150000000</v>
      </c>
      <c r="Q129" s="2">
        <v>6.9</v>
      </c>
      <c r="R129" s="2" t="s">
        <v>334</v>
      </c>
      <c r="S129" s="2"/>
      <c r="U129" s="2" t="s">
        <v>69</v>
      </c>
      <c r="V129">
        <f ca="1" t="shared" si="3"/>
        <v>6.62857142857143</v>
      </c>
      <c r="AC129" s="2"/>
      <c r="AD129" t="str">
        <f>IFERROR(__xludf.DUMMYFUNCTION("""COMPUTED_VALUE"""),"Quantum of Solace ")</f>
        <v>Quantum of Solace </v>
      </c>
      <c r="AE129">
        <f t="shared" si="4"/>
        <v>168368321</v>
      </c>
    </row>
    <row r="130" customHeight="1" spans="1:31">
      <c r="A130" s="2" t="s">
        <v>335</v>
      </c>
      <c r="B130" s="2">
        <v>88</v>
      </c>
      <c r="C130" s="2">
        <v>119420252</v>
      </c>
      <c r="D130" s="2" t="s">
        <v>336</v>
      </c>
      <c r="E130" s="2" t="s">
        <v>12</v>
      </c>
      <c r="F130" t="s">
        <v>13</v>
      </c>
      <c r="G130" t="s">
        <v>24</v>
      </c>
      <c r="H130" t="s">
        <v>29</v>
      </c>
      <c r="I130" t="s">
        <v>24</v>
      </c>
      <c r="N130" s="2" t="s">
        <v>18</v>
      </c>
      <c r="O130" s="2" t="s">
        <v>19</v>
      </c>
      <c r="P130" s="2">
        <v>150000000</v>
      </c>
      <c r="Q130" s="2">
        <v>5.1</v>
      </c>
      <c r="R130" s="2" t="s">
        <v>337</v>
      </c>
      <c r="S130" s="2"/>
      <c r="U130" s="2" t="s">
        <v>78</v>
      </c>
      <c r="V130">
        <f ca="1" t="shared" si="3"/>
        <v>7.425</v>
      </c>
      <c r="AC130" s="2"/>
      <c r="AD130" t="str">
        <f>IFERROR(__xludf.DUMMYFUNCTION("""COMPUTED_VALUE"""),"Pirates of the Caribbean: Dead Man's Chest ")</f>
        <v>Pirates of the Caribbean: Dead Man's Chest </v>
      </c>
      <c r="AE130">
        <f t="shared" si="4"/>
        <v>423032477</v>
      </c>
    </row>
    <row r="131" customHeight="1" spans="1:31">
      <c r="A131" s="2" t="s">
        <v>338</v>
      </c>
      <c r="B131" s="2">
        <v>99</v>
      </c>
      <c r="C131" s="2">
        <v>83640426</v>
      </c>
      <c r="D131" s="2" t="s">
        <v>22</v>
      </c>
      <c r="E131" s="2" t="s">
        <v>12</v>
      </c>
      <c r="F131" t="s">
        <v>13</v>
      </c>
      <c r="G131" t="s">
        <v>14</v>
      </c>
      <c r="H131" t="s">
        <v>17</v>
      </c>
      <c r="I131" t="s">
        <v>14</v>
      </c>
      <c r="N131" s="2" t="s">
        <v>18</v>
      </c>
      <c r="O131" s="2" t="s">
        <v>19</v>
      </c>
      <c r="P131" s="2">
        <v>150000000</v>
      </c>
      <c r="Q131" s="2">
        <v>5.8</v>
      </c>
      <c r="R131" s="2" t="s">
        <v>339</v>
      </c>
      <c r="S131" s="2"/>
      <c r="U131" s="2" t="s">
        <v>82</v>
      </c>
      <c r="V131">
        <f ca="1" t="shared" si="3"/>
        <v>6.48</v>
      </c>
      <c r="AC131" s="2"/>
      <c r="AD131" t="str">
        <f>IFERROR(__xludf.DUMMYFUNCTION("""COMPUTED_VALUE"""),"The Lone Ranger ")</f>
        <v>The Lone Ranger </v>
      </c>
      <c r="AE131">
        <f t="shared" si="4"/>
        <v>89289760</v>
      </c>
    </row>
    <row r="132" customHeight="1" spans="1:31">
      <c r="A132" s="2" t="s">
        <v>117</v>
      </c>
      <c r="B132" s="2">
        <v>113</v>
      </c>
      <c r="C132" s="2">
        <v>79711678</v>
      </c>
      <c r="D132" s="2" t="s">
        <v>340</v>
      </c>
      <c r="E132" s="2" t="s">
        <v>40</v>
      </c>
      <c r="F132" t="s">
        <v>14</v>
      </c>
      <c r="G132" t="s">
        <v>15</v>
      </c>
      <c r="H132" t="s">
        <v>14</v>
      </c>
      <c r="I132" t="s">
        <v>39</v>
      </c>
      <c r="N132" s="2" t="s">
        <v>18</v>
      </c>
      <c r="O132" s="2" t="s">
        <v>19</v>
      </c>
      <c r="P132" s="2">
        <v>100000000</v>
      </c>
      <c r="Q132" s="2">
        <v>6.2</v>
      </c>
      <c r="R132" s="2" t="s">
        <v>341</v>
      </c>
      <c r="S132" s="2"/>
      <c r="U132" s="2" t="s">
        <v>85</v>
      </c>
      <c r="V132">
        <f ca="1" t="shared" si="3"/>
        <v>6.68571428571429</v>
      </c>
      <c r="AC132" s="2"/>
      <c r="AD132" t="str">
        <f>IFERROR(__xludf.DUMMYFUNCTION("""COMPUTED_VALUE"""),"Man of Steel ")</f>
        <v>Man of Steel </v>
      </c>
      <c r="AE132">
        <f t="shared" si="4"/>
        <v>291021422</v>
      </c>
    </row>
    <row r="133" customHeight="1" spans="1:31">
      <c r="A133" s="2" t="s">
        <v>342</v>
      </c>
      <c r="B133" s="2">
        <v>131</v>
      </c>
      <c r="C133" s="2">
        <v>195000874</v>
      </c>
      <c r="D133" s="2" t="s">
        <v>27</v>
      </c>
      <c r="E133" s="2" t="s">
        <v>12</v>
      </c>
      <c r="F133" t="s">
        <v>13</v>
      </c>
      <c r="G133" t="s">
        <v>40</v>
      </c>
      <c r="H133" t="s">
        <v>15</v>
      </c>
      <c r="I133" t="s">
        <v>15</v>
      </c>
      <c r="N133" s="2" t="s">
        <v>18</v>
      </c>
      <c r="O133" s="2" t="s">
        <v>343</v>
      </c>
      <c r="P133" s="2">
        <v>150000000</v>
      </c>
      <c r="Q133" s="2">
        <v>7.4</v>
      </c>
      <c r="R133" s="2" t="s">
        <v>344</v>
      </c>
      <c r="S133" s="2"/>
      <c r="U133" s="2" t="s">
        <v>88</v>
      </c>
      <c r="V133">
        <f ca="1" t="shared" si="3"/>
        <v>6.7</v>
      </c>
      <c r="AC133" s="2"/>
      <c r="AD133" t="str">
        <f>IFERROR(__xludf.DUMMYFUNCTION("""COMPUTED_VALUE"""),"The Chronicles of Narnia: Prince Caspian ")</f>
        <v>The Chronicles of Narnia: Prince Caspian </v>
      </c>
      <c r="AE133">
        <f t="shared" si="4"/>
        <v>141613873</v>
      </c>
    </row>
    <row r="134" customHeight="1" spans="1:31">
      <c r="A134" s="2" t="s">
        <v>345</v>
      </c>
      <c r="B134" s="2">
        <v>119</v>
      </c>
      <c r="C134" s="2">
        <v>61937495</v>
      </c>
      <c r="D134" s="2" t="s">
        <v>346</v>
      </c>
      <c r="E134" s="2" t="s">
        <v>30</v>
      </c>
      <c r="F134" t="s">
        <v>14</v>
      </c>
      <c r="G134" t="s">
        <v>35</v>
      </c>
      <c r="H134" t="s">
        <v>29</v>
      </c>
      <c r="I134" t="s">
        <v>71</v>
      </c>
      <c r="N134" s="2" t="s">
        <v>18</v>
      </c>
      <c r="O134" s="2" t="s">
        <v>19</v>
      </c>
      <c r="P134" s="2">
        <v>150000000</v>
      </c>
      <c r="Q134" s="2">
        <v>5.8</v>
      </c>
      <c r="R134" s="2" t="s">
        <v>347</v>
      </c>
      <c r="S134" s="2"/>
      <c r="U134" s="2" t="s">
        <v>92</v>
      </c>
      <c r="V134">
        <f ca="1" t="shared" si="3"/>
        <v>7.03333333333333</v>
      </c>
      <c r="AC134" s="2"/>
      <c r="AD134" t="str">
        <f>IFERROR(__xludf.DUMMYFUNCTION("""COMPUTED_VALUE"""),"The Avengers ")</f>
        <v>The Avengers </v>
      </c>
      <c r="AE134">
        <f t="shared" si="4"/>
        <v>623279374</v>
      </c>
    </row>
    <row r="135" customHeight="1" spans="1:31">
      <c r="A135" s="2" t="s">
        <v>348</v>
      </c>
      <c r="B135" s="2">
        <v>91</v>
      </c>
      <c r="C135" s="2">
        <v>126597121</v>
      </c>
      <c r="D135" s="2" t="s">
        <v>189</v>
      </c>
      <c r="E135" s="2" t="s">
        <v>13</v>
      </c>
      <c r="F135" t="s">
        <v>35</v>
      </c>
      <c r="G135" t="s">
        <v>35</v>
      </c>
      <c r="H135" t="s">
        <v>23</v>
      </c>
      <c r="I135" t="s">
        <v>71</v>
      </c>
      <c r="N135" s="2" t="s">
        <v>18</v>
      </c>
      <c r="O135" s="2" t="s">
        <v>19</v>
      </c>
      <c r="P135" s="2">
        <v>150000000</v>
      </c>
      <c r="Q135" s="2">
        <v>6.2</v>
      </c>
      <c r="R135" s="2" t="s">
        <v>349</v>
      </c>
      <c r="S135" s="2"/>
      <c r="U135" s="2" t="s">
        <v>94</v>
      </c>
      <c r="V135">
        <f ca="1" t="shared" si="3"/>
        <v>7.01875</v>
      </c>
      <c r="AC135" s="2"/>
      <c r="AD135" t="str">
        <f>IFERROR(__xludf.DUMMYFUNCTION("""COMPUTED_VALUE"""),"Pirates of the Caribbean: On Stranger Tides ")</f>
        <v>Pirates of the Caribbean: On Stranger Tides </v>
      </c>
      <c r="AE135">
        <f t="shared" si="4"/>
        <v>241063739</v>
      </c>
    </row>
    <row r="136" customHeight="1" spans="1:31">
      <c r="A136" s="2" t="s">
        <v>350</v>
      </c>
      <c r="B136" s="2">
        <v>90</v>
      </c>
      <c r="C136" s="2">
        <v>165230261</v>
      </c>
      <c r="D136" s="2" t="s">
        <v>313</v>
      </c>
      <c r="E136" s="2" t="s">
        <v>12</v>
      </c>
      <c r="F136" t="s">
        <v>13</v>
      </c>
      <c r="G136" t="s">
        <v>24</v>
      </c>
      <c r="H136" t="s">
        <v>83</v>
      </c>
      <c r="I136" t="s">
        <v>14</v>
      </c>
      <c r="N136" s="2" t="s">
        <v>18</v>
      </c>
      <c r="O136" s="2" t="s">
        <v>19</v>
      </c>
      <c r="P136" s="2">
        <v>150000000</v>
      </c>
      <c r="Q136" s="2">
        <v>7.3</v>
      </c>
      <c r="R136" s="2" t="s">
        <v>351</v>
      </c>
      <c r="S136" s="2"/>
      <c r="U136" s="2" t="s">
        <v>98</v>
      </c>
      <c r="V136">
        <f ca="1" t="shared" si="3"/>
        <v>6.86</v>
      </c>
      <c r="AC136" s="2"/>
      <c r="AD136" t="str">
        <f>IFERROR(__xludf.DUMMYFUNCTION("""COMPUTED_VALUE"""),"Men in Black 3 ")</f>
        <v>Men in Black 3 </v>
      </c>
      <c r="AE136">
        <f t="shared" si="4"/>
        <v>179020748</v>
      </c>
    </row>
    <row r="137" customHeight="1" spans="1:31">
      <c r="A137" s="2" t="s">
        <v>352</v>
      </c>
      <c r="B137" s="2">
        <v>103</v>
      </c>
      <c r="C137" s="2">
        <v>131564731</v>
      </c>
      <c r="D137" s="2" t="s">
        <v>79</v>
      </c>
      <c r="E137" s="2" t="s">
        <v>12</v>
      </c>
      <c r="F137" t="s">
        <v>13</v>
      </c>
      <c r="G137" t="s">
        <v>23</v>
      </c>
      <c r="H137" t="s">
        <v>15</v>
      </c>
      <c r="I137" t="s">
        <v>15</v>
      </c>
      <c r="N137" s="2" t="s">
        <v>18</v>
      </c>
      <c r="O137" s="2" t="s">
        <v>19</v>
      </c>
      <c r="P137" s="2">
        <v>150000000</v>
      </c>
      <c r="Q137" s="2">
        <v>4.2</v>
      </c>
      <c r="R137" s="2" t="s">
        <v>353</v>
      </c>
      <c r="S137" s="2"/>
      <c r="U137" s="2" t="s">
        <v>105</v>
      </c>
      <c r="V137">
        <f ca="1" t="shared" si="3"/>
        <v>6.275</v>
      </c>
      <c r="AC137" s="2"/>
      <c r="AD137" t="str">
        <f>IFERROR(__xludf.DUMMYFUNCTION("""COMPUTED_VALUE"""),"The Hobbit: The Battle of the Five Armies ")</f>
        <v>The Hobbit: The Battle of the Five Armies </v>
      </c>
      <c r="AE137">
        <f t="shared" si="4"/>
        <v>255108206</v>
      </c>
    </row>
    <row r="138" customHeight="1" spans="1:31">
      <c r="A138" s="2" t="s">
        <v>155</v>
      </c>
      <c r="B138" s="2">
        <v>124</v>
      </c>
      <c r="C138" s="2">
        <v>133382309</v>
      </c>
      <c r="D138" s="2" t="s">
        <v>27</v>
      </c>
      <c r="E138" s="2" t="s">
        <v>12</v>
      </c>
      <c r="F138" t="s">
        <v>13</v>
      </c>
      <c r="G138" t="s">
        <v>55</v>
      </c>
      <c r="H138" t="s">
        <v>39</v>
      </c>
      <c r="I138" t="s">
        <v>23</v>
      </c>
      <c r="N138" s="2" t="s">
        <v>18</v>
      </c>
      <c r="O138" s="2" t="s">
        <v>19</v>
      </c>
      <c r="P138" s="2">
        <v>150000000</v>
      </c>
      <c r="Q138" s="2">
        <v>6.9</v>
      </c>
      <c r="R138" s="2" t="s">
        <v>354</v>
      </c>
      <c r="S138" s="2"/>
      <c r="U138" s="2" t="s">
        <v>107</v>
      </c>
      <c r="V138">
        <f ca="1" t="shared" si="3"/>
        <v>6.58333333333333</v>
      </c>
      <c r="AC138" s="2"/>
      <c r="AD138" t="str">
        <f>IFERROR(__xludf.DUMMYFUNCTION("""COMPUTED_VALUE"""),"The Amazing Spider-Man ")</f>
        <v>The Amazing Spider-Man </v>
      </c>
      <c r="AE138">
        <f t="shared" si="4"/>
        <v>262030510</v>
      </c>
    </row>
    <row r="139" customHeight="1" spans="1:31">
      <c r="A139" s="2" t="s">
        <v>176</v>
      </c>
      <c r="B139" s="2">
        <v>131</v>
      </c>
      <c r="C139" s="2">
        <v>73103784</v>
      </c>
      <c r="D139" s="2" t="s">
        <v>355</v>
      </c>
      <c r="E139" s="2" t="s">
        <v>12</v>
      </c>
      <c r="F139" t="s">
        <v>30</v>
      </c>
      <c r="G139" t="s">
        <v>30</v>
      </c>
      <c r="H139" t="s">
        <v>23</v>
      </c>
      <c r="I139" t="s">
        <v>24</v>
      </c>
      <c r="N139" s="2" t="s">
        <v>18</v>
      </c>
      <c r="O139" s="2" t="s">
        <v>19</v>
      </c>
      <c r="P139" s="2">
        <v>150000000</v>
      </c>
      <c r="Q139" s="2">
        <v>6.4</v>
      </c>
      <c r="R139" s="2" t="s">
        <v>356</v>
      </c>
      <c r="S139" s="2"/>
      <c r="U139" s="2" t="s">
        <v>110</v>
      </c>
      <c r="V139">
        <f ca="1" t="shared" si="3"/>
        <v>7.05</v>
      </c>
      <c r="AC139" s="2"/>
      <c r="AD139" t="str">
        <f>IFERROR(__xludf.DUMMYFUNCTION("""COMPUTED_VALUE"""),"Robin Hood ")</f>
        <v>Robin Hood </v>
      </c>
      <c r="AE139">
        <f t="shared" si="4"/>
        <v>105219579</v>
      </c>
    </row>
    <row r="140" customHeight="1" spans="1:31">
      <c r="A140" s="2" t="s">
        <v>357</v>
      </c>
      <c r="B140" s="2">
        <v>88</v>
      </c>
      <c r="C140" s="2">
        <v>21379315</v>
      </c>
      <c r="D140" s="2" t="s">
        <v>192</v>
      </c>
      <c r="E140" s="2" t="s">
        <v>12</v>
      </c>
      <c r="F140" t="s">
        <v>13</v>
      </c>
      <c r="G140" t="s">
        <v>15</v>
      </c>
      <c r="H140" t="s">
        <v>24</v>
      </c>
      <c r="I140" t="s">
        <v>14</v>
      </c>
      <c r="N140" s="2" t="s">
        <v>18</v>
      </c>
      <c r="O140" s="2" t="s">
        <v>19</v>
      </c>
      <c r="P140" s="2">
        <v>150000000</v>
      </c>
      <c r="Q140" s="2">
        <v>5.4</v>
      </c>
      <c r="R140" s="2" t="s">
        <v>358</v>
      </c>
      <c r="S140" s="2"/>
      <c r="U140" s="2" t="s">
        <v>115</v>
      </c>
      <c r="V140">
        <f ca="1" t="shared" si="3"/>
        <v>6.35</v>
      </c>
      <c r="AC140" s="2"/>
      <c r="AD140" t="str">
        <f>IFERROR(__xludf.DUMMYFUNCTION("""COMPUTED_VALUE"""),"The Hobbit: The Desolation of Smaug ")</f>
        <v>The Hobbit: The Desolation of Smaug </v>
      </c>
      <c r="AE140">
        <f t="shared" si="4"/>
        <v>258355168</v>
      </c>
    </row>
    <row r="141" customHeight="1" spans="1:31">
      <c r="A141" s="2" t="s">
        <v>359</v>
      </c>
      <c r="B141" s="2">
        <v>85</v>
      </c>
      <c r="C141" s="2">
        <v>64459316</v>
      </c>
      <c r="D141" s="2" t="s">
        <v>189</v>
      </c>
      <c r="E141" s="2" t="s">
        <v>13</v>
      </c>
      <c r="F141" t="s">
        <v>35</v>
      </c>
      <c r="G141" t="s">
        <v>14</v>
      </c>
      <c r="H141" t="s">
        <v>14</v>
      </c>
      <c r="I141" t="s">
        <v>14</v>
      </c>
      <c r="N141" s="2" t="s">
        <v>18</v>
      </c>
      <c r="O141" s="2" t="s">
        <v>31</v>
      </c>
      <c r="P141" s="2">
        <v>149000000</v>
      </c>
      <c r="Q141" s="2">
        <v>6.7</v>
      </c>
      <c r="R141" s="2" t="s">
        <v>360</v>
      </c>
      <c r="S141" s="2"/>
      <c r="U141" s="2" t="s">
        <v>117</v>
      </c>
      <c r="V141">
        <f ca="1" t="shared" si="3"/>
        <v>6.99285714285714</v>
      </c>
      <c r="AC141" s="2"/>
      <c r="AD141" t="str">
        <f>IFERROR(__xludf.DUMMYFUNCTION("""COMPUTED_VALUE"""),"The Golden Compass ")</f>
        <v>The Golden Compass </v>
      </c>
      <c r="AE141">
        <f t="shared" si="4"/>
        <v>70083406</v>
      </c>
    </row>
    <row r="142" customHeight="1" spans="1:31">
      <c r="A142" s="2" t="s">
        <v>361</v>
      </c>
      <c r="B142" s="2">
        <v>111</v>
      </c>
      <c r="C142" s="2">
        <v>34964818</v>
      </c>
      <c r="D142" s="2" t="s">
        <v>99</v>
      </c>
      <c r="E142" s="2" t="s">
        <v>13</v>
      </c>
      <c r="F142" t="s">
        <v>23</v>
      </c>
      <c r="G142" t="s">
        <v>35</v>
      </c>
      <c r="H142" t="s">
        <v>14</v>
      </c>
      <c r="I142" t="s">
        <v>24</v>
      </c>
      <c r="N142" s="2" t="s">
        <v>18</v>
      </c>
      <c r="O142" s="2" t="s">
        <v>19</v>
      </c>
      <c r="P142" s="2">
        <v>150000000</v>
      </c>
      <c r="Q142" s="2">
        <v>5.8</v>
      </c>
      <c r="R142" s="2" t="s">
        <v>362</v>
      </c>
      <c r="S142" s="2"/>
      <c r="U142" s="2" t="s">
        <v>119</v>
      </c>
      <c r="V142">
        <f ca="1" t="shared" si="3"/>
        <v>6.65555555555556</v>
      </c>
      <c r="AC142" s="2"/>
      <c r="AD142" t="str">
        <f>IFERROR(__xludf.DUMMYFUNCTION("""COMPUTED_VALUE"""),"King Kong ")</f>
        <v>King Kong </v>
      </c>
      <c r="AE142">
        <f t="shared" si="4"/>
        <v>218051059</v>
      </c>
    </row>
    <row r="143" customHeight="1" spans="1:31">
      <c r="A143" s="2" t="s">
        <v>363</v>
      </c>
      <c r="B143" s="2">
        <v>92</v>
      </c>
      <c r="C143" s="2">
        <v>111505642</v>
      </c>
      <c r="D143" s="2" t="s">
        <v>248</v>
      </c>
      <c r="E143" s="2" t="s">
        <v>13</v>
      </c>
      <c r="F143" t="s">
        <v>35</v>
      </c>
      <c r="G143" t="s">
        <v>14</v>
      </c>
      <c r="H143" t="s">
        <v>24</v>
      </c>
      <c r="I143" t="s">
        <v>14</v>
      </c>
      <c r="N143" s="2" t="s">
        <v>18</v>
      </c>
      <c r="O143" s="2" t="s">
        <v>19</v>
      </c>
      <c r="P143" s="2">
        <v>145000000</v>
      </c>
      <c r="Q143" s="2">
        <v>6.9</v>
      </c>
      <c r="R143" s="2" t="s">
        <v>364</v>
      </c>
      <c r="S143" s="2"/>
      <c r="U143" s="2" t="s">
        <v>123</v>
      </c>
      <c r="V143">
        <f ca="1" t="shared" si="3"/>
        <v>6</v>
      </c>
      <c r="AC143" s="2"/>
      <c r="AD143" t="str">
        <f>IFERROR(__xludf.DUMMYFUNCTION("""COMPUTED_VALUE"""),"Titanic ")</f>
        <v>Titanic </v>
      </c>
      <c r="AE143">
        <f t="shared" si="4"/>
        <v>658672108</v>
      </c>
    </row>
    <row r="144" customHeight="1" spans="1:31">
      <c r="A144" s="2" t="s">
        <v>275</v>
      </c>
      <c r="B144" s="2">
        <v>196</v>
      </c>
      <c r="C144" s="2">
        <v>133228348</v>
      </c>
      <c r="D144" s="2" t="s">
        <v>13</v>
      </c>
      <c r="E144" s="2" t="s">
        <v>13</v>
      </c>
      <c r="F144" t="s">
        <v>35</v>
      </c>
      <c r="G144" t="s">
        <v>15</v>
      </c>
      <c r="H144" t="s">
        <v>55</v>
      </c>
      <c r="I144" t="s">
        <v>23</v>
      </c>
      <c r="N144" s="2" t="s">
        <v>18</v>
      </c>
      <c r="O144" s="2" t="s">
        <v>19</v>
      </c>
      <c r="P144" s="2">
        <v>175000000</v>
      </c>
      <c r="Q144" s="2">
        <v>7.2</v>
      </c>
      <c r="R144" s="2" t="s">
        <v>365</v>
      </c>
      <c r="S144" s="2"/>
      <c r="U144" s="2" t="s">
        <v>126</v>
      </c>
      <c r="V144">
        <f ca="1" t="shared" si="3"/>
        <v>6.3</v>
      </c>
      <c r="AC144" s="2"/>
      <c r="AD144" t="str">
        <f>IFERROR(__xludf.DUMMYFUNCTION("""COMPUTED_VALUE"""),"Captain America: Civil War ")</f>
        <v>Captain America: Civil War </v>
      </c>
      <c r="AE144">
        <f t="shared" si="4"/>
        <v>407197135</v>
      </c>
    </row>
    <row r="145" customHeight="1" spans="1:31">
      <c r="A145" s="2" t="s">
        <v>312</v>
      </c>
      <c r="B145" s="2">
        <v>93</v>
      </c>
      <c r="C145" s="2">
        <v>216366733</v>
      </c>
      <c r="D145" s="2" t="s">
        <v>189</v>
      </c>
      <c r="E145" s="2" t="s">
        <v>13</v>
      </c>
      <c r="F145" t="s">
        <v>13</v>
      </c>
      <c r="G145" t="s">
        <v>28</v>
      </c>
      <c r="H145" t="s">
        <v>14</v>
      </c>
      <c r="I145" t="s">
        <v>24</v>
      </c>
      <c r="N145" s="2" t="s">
        <v>18</v>
      </c>
      <c r="O145" s="2" t="s">
        <v>19</v>
      </c>
      <c r="P145" s="2">
        <v>145000000</v>
      </c>
      <c r="Q145" s="2">
        <v>6.9</v>
      </c>
      <c r="R145" s="2" t="s">
        <v>366</v>
      </c>
      <c r="S145" s="2"/>
      <c r="U145" s="2" t="s">
        <v>136</v>
      </c>
      <c r="V145">
        <f ca="1" t="shared" si="3"/>
        <v>6.95</v>
      </c>
      <c r="AC145" s="2"/>
      <c r="AD145" t="str">
        <f>IFERROR(__xludf.DUMMYFUNCTION("""COMPUTED_VALUE"""),"Battleship ")</f>
        <v>Battleship </v>
      </c>
      <c r="AE145">
        <f t="shared" si="4"/>
        <v>65173029</v>
      </c>
    </row>
    <row r="146" customHeight="1" spans="1:31">
      <c r="A146" s="2" t="s">
        <v>367</v>
      </c>
      <c r="B146" s="2">
        <v>133</v>
      </c>
      <c r="C146" s="2">
        <v>160201106</v>
      </c>
      <c r="D146" s="2" t="s">
        <v>27</v>
      </c>
      <c r="E146" s="2" t="s">
        <v>12</v>
      </c>
      <c r="F146" t="s">
        <v>40</v>
      </c>
      <c r="G146" t="s">
        <v>24</v>
      </c>
      <c r="H146" t="s">
        <v>16</v>
      </c>
      <c r="I146" t="s">
        <v>15</v>
      </c>
      <c r="N146" s="2" t="s">
        <v>18</v>
      </c>
      <c r="O146" s="2" t="s">
        <v>31</v>
      </c>
      <c r="P146" s="2">
        <v>142000000</v>
      </c>
      <c r="Q146" s="2">
        <v>6.1</v>
      </c>
      <c r="R146" s="2" t="s">
        <v>368</v>
      </c>
      <c r="S146" s="2"/>
      <c r="U146" s="2" t="s">
        <v>139</v>
      </c>
      <c r="V146">
        <f ca="1" t="shared" si="3"/>
        <v>6.38</v>
      </c>
      <c r="AC146" s="2"/>
      <c r="AD146" t="str">
        <f>IFERROR(__xludf.DUMMYFUNCTION("""COMPUTED_VALUE"""),"Jurassic World ")</f>
        <v>Jurassic World </v>
      </c>
      <c r="AE146">
        <f t="shared" si="4"/>
        <v>652177147</v>
      </c>
    </row>
    <row r="147" customHeight="1" spans="1:31">
      <c r="A147" s="2" t="s">
        <v>369</v>
      </c>
      <c r="B147" s="2">
        <v>116</v>
      </c>
      <c r="C147" s="2">
        <v>118099659</v>
      </c>
      <c r="D147" s="2" t="s">
        <v>370</v>
      </c>
      <c r="E147" s="2" t="s">
        <v>12</v>
      </c>
      <c r="F147" t="s">
        <v>13</v>
      </c>
      <c r="G147" t="s">
        <v>15</v>
      </c>
      <c r="H147" t="s">
        <v>15</v>
      </c>
      <c r="I147" t="s">
        <v>24</v>
      </c>
      <c r="N147" s="2" t="s">
        <v>18</v>
      </c>
      <c r="O147" s="2" t="s">
        <v>19</v>
      </c>
      <c r="P147" s="2">
        <v>144000000</v>
      </c>
      <c r="Q147" s="2">
        <v>5.5</v>
      </c>
      <c r="R147" s="2" t="s">
        <v>371</v>
      </c>
      <c r="S147" s="2"/>
      <c r="U147" s="2" t="s">
        <v>143</v>
      </c>
      <c r="V147">
        <f ca="1" t="shared" si="3"/>
        <v>6.675</v>
      </c>
      <c r="AC147" s="2"/>
      <c r="AD147" t="str">
        <f>IFERROR(__xludf.DUMMYFUNCTION("""COMPUTED_VALUE"""),"Skyfall ")</f>
        <v>Skyfall </v>
      </c>
      <c r="AE147">
        <f t="shared" si="4"/>
        <v>304360134</v>
      </c>
    </row>
    <row r="148" customHeight="1" spans="1:31">
      <c r="A148" s="2" t="s">
        <v>126</v>
      </c>
      <c r="B148" s="2">
        <v>153</v>
      </c>
      <c r="C148" s="2">
        <v>201573391</v>
      </c>
      <c r="D148" s="2" t="s">
        <v>108</v>
      </c>
      <c r="E148" s="2" t="s">
        <v>12</v>
      </c>
      <c r="F148" t="s">
        <v>13</v>
      </c>
      <c r="G148" t="s">
        <v>40</v>
      </c>
      <c r="H148" t="s">
        <v>24</v>
      </c>
      <c r="I148" t="s">
        <v>24</v>
      </c>
      <c r="N148" s="2" t="s">
        <v>18</v>
      </c>
      <c r="O148" s="2" t="s">
        <v>19</v>
      </c>
      <c r="P148" s="2">
        <v>140000000</v>
      </c>
      <c r="Q148" s="2">
        <v>6.6</v>
      </c>
      <c r="R148" s="2" t="s">
        <v>372</v>
      </c>
      <c r="S148" s="2"/>
      <c r="U148" s="2" t="s">
        <v>145</v>
      </c>
      <c r="V148">
        <f ca="1" t="shared" si="3"/>
        <v>6.6</v>
      </c>
      <c r="AC148" s="2"/>
      <c r="AD148" t="str">
        <f>IFERROR(__xludf.DUMMYFUNCTION("""COMPUTED_VALUE"""),"Spider-Man 2 ")</f>
        <v>Spider-Man 2 </v>
      </c>
      <c r="AE148">
        <f t="shared" si="4"/>
        <v>373377758</v>
      </c>
    </row>
    <row r="149" customHeight="1" spans="1:31">
      <c r="A149" s="2" t="s">
        <v>85</v>
      </c>
      <c r="B149" s="2">
        <v>88</v>
      </c>
      <c r="C149" s="2">
        <v>190418803</v>
      </c>
      <c r="D149" s="2" t="s">
        <v>373</v>
      </c>
      <c r="E149" s="2" t="s">
        <v>12</v>
      </c>
      <c r="F149" t="s">
        <v>13</v>
      </c>
      <c r="G149" t="s">
        <v>35</v>
      </c>
      <c r="H149" t="s">
        <v>28</v>
      </c>
      <c r="I149" t="s">
        <v>23</v>
      </c>
      <c r="N149" s="2" t="s">
        <v>18</v>
      </c>
      <c r="O149" s="2" t="s">
        <v>19</v>
      </c>
      <c r="P149" s="2">
        <v>140000000</v>
      </c>
      <c r="Q149" s="2">
        <v>6.1</v>
      </c>
      <c r="R149" s="2" t="s">
        <v>374</v>
      </c>
      <c r="S149" s="2"/>
      <c r="U149" s="2" t="s">
        <v>147</v>
      </c>
      <c r="V149">
        <f ca="1" t="shared" si="3"/>
        <v>6.86666666666667</v>
      </c>
      <c r="AC149" s="2"/>
      <c r="AD149" t="str">
        <f>IFERROR(__xludf.DUMMYFUNCTION("""COMPUTED_VALUE"""),"Iron Man 3 ")</f>
        <v>Iron Man 3 </v>
      </c>
      <c r="AE149">
        <f t="shared" si="4"/>
        <v>408992077</v>
      </c>
    </row>
    <row r="150" customHeight="1" spans="1:31">
      <c r="A150" s="2" t="s">
        <v>178</v>
      </c>
      <c r="B150" s="2">
        <v>115</v>
      </c>
      <c r="C150" s="2">
        <v>82161969</v>
      </c>
      <c r="D150" s="2" t="s">
        <v>375</v>
      </c>
      <c r="E150" s="2" t="s">
        <v>12</v>
      </c>
      <c r="F150" t="s">
        <v>13</v>
      </c>
      <c r="G150" t="s">
        <v>15</v>
      </c>
      <c r="H150" t="s">
        <v>24</v>
      </c>
      <c r="I150" t="s">
        <v>24</v>
      </c>
      <c r="N150" s="2" t="s">
        <v>18</v>
      </c>
      <c r="O150" s="2" t="s">
        <v>19</v>
      </c>
      <c r="P150" s="2">
        <v>150000000</v>
      </c>
      <c r="Q150" s="2">
        <v>6.3</v>
      </c>
      <c r="R150" s="2" t="s">
        <v>376</v>
      </c>
      <c r="S150" s="2"/>
      <c r="U150" s="2" t="s">
        <v>149</v>
      </c>
      <c r="V150">
        <f ca="1" t="shared" si="3"/>
        <v>6.87142857142857</v>
      </c>
      <c r="AC150" s="2"/>
      <c r="AD150" t="str">
        <f>IFERROR(__xludf.DUMMYFUNCTION("""COMPUTED_VALUE"""),"Alice in Wonderland ")</f>
        <v>Alice in Wonderland </v>
      </c>
      <c r="AE150">
        <f t="shared" si="4"/>
        <v>334185098</v>
      </c>
    </row>
    <row r="151" customHeight="1" spans="1:31">
      <c r="A151" s="2" t="s">
        <v>377</v>
      </c>
      <c r="B151" s="2">
        <v>95</v>
      </c>
      <c r="C151" s="2">
        <v>143523463</v>
      </c>
      <c r="D151" s="2" t="s">
        <v>313</v>
      </c>
      <c r="E151" s="2" t="s">
        <v>12</v>
      </c>
      <c r="F151" t="s">
        <v>13</v>
      </c>
      <c r="G151" t="s">
        <v>24</v>
      </c>
      <c r="H151" t="s">
        <v>55</v>
      </c>
      <c r="I151" t="s">
        <v>17</v>
      </c>
      <c r="N151" s="2" t="s">
        <v>18</v>
      </c>
      <c r="O151" s="2" t="s">
        <v>19</v>
      </c>
      <c r="P151" s="2">
        <v>145000000</v>
      </c>
      <c r="Q151" s="2">
        <v>7.2</v>
      </c>
      <c r="R151" s="2" t="s">
        <v>378</v>
      </c>
      <c r="S151" s="2"/>
      <c r="U151" s="2" t="s">
        <v>155</v>
      </c>
      <c r="V151">
        <f ca="1" t="shared" si="3"/>
        <v>6.825</v>
      </c>
      <c r="AC151" s="2"/>
      <c r="AD151" t="str">
        <f>IFERROR(__xludf.DUMMYFUNCTION("""COMPUTED_VALUE"""),"X-Men: The Last Stand ")</f>
        <v>X-Men: The Last Stand </v>
      </c>
      <c r="AE151">
        <f t="shared" si="4"/>
        <v>234359910</v>
      </c>
    </row>
    <row r="152" customHeight="1" spans="1:31">
      <c r="A152" s="2" t="s">
        <v>241</v>
      </c>
      <c r="B152" s="2">
        <v>133</v>
      </c>
      <c r="C152" s="2">
        <v>209364921</v>
      </c>
      <c r="D152" s="2" t="s">
        <v>27</v>
      </c>
      <c r="E152" s="2" t="s">
        <v>12</v>
      </c>
      <c r="F152" t="s">
        <v>35</v>
      </c>
      <c r="G152" t="s">
        <v>30</v>
      </c>
      <c r="H152" t="s">
        <v>24</v>
      </c>
      <c r="I152" t="s">
        <v>15</v>
      </c>
      <c r="N152" s="2" t="s">
        <v>18</v>
      </c>
      <c r="O152" s="2" t="s">
        <v>19</v>
      </c>
      <c r="P152" s="2">
        <v>145000000</v>
      </c>
      <c r="Q152" s="2">
        <v>7.4</v>
      </c>
      <c r="R152" s="2" t="s">
        <v>379</v>
      </c>
      <c r="S152" s="2"/>
      <c r="U152" s="2" t="s">
        <v>158</v>
      </c>
      <c r="V152">
        <f ca="1" t="shared" si="3"/>
        <v>6.125</v>
      </c>
      <c r="AC152" s="2"/>
      <c r="AD152" t="str">
        <f>IFERROR(__xludf.DUMMYFUNCTION("""COMPUTED_VALUE"""),"Monsters University ")</f>
        <v>Monsters University </v>
      </c>
      <c r="AE152">
        <f t="shared" si="4"/>
        <v>268488225</v>
      </c>
    </row>
    <row r="153" customHeight="1" spans="1:31">
      <c r="A153" s="2" t="s">
        <v>380</v>
      </c>
      <c r="B153" s="2">
        <v>97</v>
      </c>
      <c r="C153" s="2">
        <v>103400692</v>
      </c>
      <c r="D153" s="2" t="s">
        <v>250</v>
      </c>
      <c r="E153" s="2" t="s">
        <v>13</v>
      </c>
      <c r="F153" t="s">
        <v>56</v>
      </c>
      <c r="G153" t="s">
        <v>14</v>
      </c>
      <c r="H153" t="s">
        <v>16</v>
      </c>
      <c r="I153" t="s">
        <v>15</v>
      </c>
      <c r="N153" s="2" t="s">
        <v>18</v>
      </c>
      <c r="O153" s="2" t="s">
        <v>19</v>
      </c>
      <c r="P153" s="2">
        <v>145000000</v>
      </c>
      <c r="Q153" s="2">
        <v>7.3</v>
      </c>
      <c r="R153" s="2" t="s">
        <v>381</v>
      </c>
      <c r="S153" s="2"/>
      <c r="U153" s="2" t="s">
        <v>161</v>
      </c>
      <c r="V153">
        <f ca="1" t="shared" si="3"/>
        <v>6.78571428571429</v>
      </c>
      <c r="AC153" s="2"/>
      <c r="AD153" t="str">
        <f>IFERROR(__xludf.DUMMYFUNCTION("""COMPUTED_VALUE"""),"Transformers: Revenge of the Fallen ")</f>
        <v>Transformers: Revenge of the Fallen </v>
      </c>
      <c r="AE153">
        <f t="shared" si="4"/>
        <v>402076539</v>
      </c>
    </row>
    <row r="154" customHeight="1" spans="1:31">
      <c r="A154" s="2" t="s">
        <v>382</v>
      </c>
      <c r="B154" s="2">
        <v>90</v>
      </c>
      <c r="C154" s="2">
        <v>110332737</v>
      </c>
      <c r="D154" s="2" t="s">
        <v>383</v>
      </c>
      <c r="E154" s="2" t="s">
        <v>40</v>
      </c>
      <c r="F154" t="s">
        <v>30</v>
      </c>
      <c r="G154" t="s">
        <v>23</v>
      </c>
      <c r="H154" t="s">
        <v>23</v>
      </c>
      <c r="I154" t="s">
        <v>24</v>
      </c>
      <c r="N154" s="2" t="s">
        <v>18</v>
      </c>
      <c r="O154" s="2" t="s">
        <v>19</v>
      </c>
      <c r="P154" s="2">
        <v>100000000</v>
      </c>
      <c r="Q154" s="2">
        <v>6.1</v>
      </c>
      <c r="R154" s="2" t="s">
        <v>384</v>
      </c>
      <c r="S154" s="2"/>
      <c r="U154" s="2" t="s">
        <v>163</v>
      </c>
      <c r="V154">
        <f ca="1" t="shared" si="3"/>
        <v>6.72</v>
      </c>
      <c r="AC154" s="2"/>
      <c r="AD154" t="str">
        <f>IFERROR(__xludf.DUMMYFUNCTION("""COMPUTED_VALUE"""),"Transformers: Age of Extinction ")</f>
        <v>Transformers: Age of Extinction </v>
      </c>
      <c r="AE154">
        <f t="shared" si="4"/>
        <v>245427972</v>
      </c>
    </row>
    <row r="155" customHeight="1" spans="1:31">
      <c r="A155" s="2" t="s">
        <v>385</v>
      </c>
      <c r="B155" s="2">
        <v>154</v>
      </c>
      <c r="C155" s="2">
        <v>111110575</v>
      </c>
      <c r="D155" s="2" t="s">
        <v>386</v>
      </c>
      <c r="E155" s="2" t="s">
        <v>12</v>
      </c>
      <c r="F155" t="s">
        <v>13</v>
      </c>
      <c r="G155" t="s">
        <v>15</v>
      </c>
      <c r="H155" t="s">
        <v>23</v>
      </c>
      <c r="I155" t="s">
        <v>72</v>
      </c>
      <c r="N155" s="2" t="s">
        <v>18</v>
      </c>
      <c r="O155" s="2" t="s">
        <v>19</v>
      </c>
      <c r="P155" s="2">
        <v>140000000</v>
      </c>
      <c r="Q155" s="2">
        <v>7.7</v>
      </c>
      <c r="R155" s="2" t="s">
        <v>387</v>
      </c>
      <c r="S155" s="2"/>
      <c r="U155" s="2" t="s">
        <v>166</v>
      </c>
      <c r="V155">
        <f ca="1" t="shared" si="3"/>
        <v>6.78</v>
      </c>
      <c r="AC155" s="2"/>
      <c r="AD155" t="str">
        <f>IFERROR(__xludf.DUMMYFUNCTION("""COMPUTED_VALUE"""),"Oz the Great and Powerful ")</f>
        <v>Oz the Great and Powerful </v>
      </c>
      <c r="AE155">
        <f t="shared" si="4"/>
        <v>234902946</v>
      </c>
    </row>
    <row r="156" customHeight="1" spans="1:31">
      <c r="A156" s="2" t="s">
        <v>94</v>
      </c>
      <c r="B156" s="2">
        <v>150</v>
      </c>
      <c r="C156" s="2">
        <v>65007045</v>
      </c>
      <c r="D156" s="2" t="s">
        <v>388</v>
      </c>
      <c r="E156" s="2" t="s">
        <v>12</v>
      </c>
      <c r="F156" t="s">
        <v>13</v>
      </c>
      <c r="G156" t="s">
        <v>14</v>
      </c>
      <c r="H156" t="s">
        <v>14</v>
      </c>
      <c r="I156" t="s">
        <v>29</v>
      </c>
      <c r="N156" s="2" t="s">
        <v>18</v>
      </c>
      <c r="O156" s="2" t="s">
        <v>31</v>
      </c>
      <c r="P156" s="2">
        <v>140000000</v>
      </c>
      <c r="Q156" s="2">
        <v>6.1</v>
      </c>
      <c r="R156" s="2" t="s">
        <v>389</v>
      </c>
      <c r="S156" s="2"/>
      <c r="U156" s="2" t="s">
        <v>168</v>
      </c>
      <c r="V156">
        <f ca="1" t="shared" si="3"/>
        <v>7.5</v>
      </c>
      <c r="AC156" s="2"/>
      <c r="AD156" t="str">
        <f>IFERROR(__xludf.DUMMYFUNCTION("""COMPUTED_VALUE"""),"The Amazing Spider-Man 2 ")</f>
        <v>The Amazing Spider-Man 2 </v>
      </c>
      <c r="AE156">
        <f t="shared" si="4"/>
        <v>202853791</v>
      </c>
    </row>
    <row r="157" customHeight="1" spans="1:31">
      <c r="A157" s="2" t="s">
        <v>155</v>
      </c>
      <c r="B157" s="2">
        <v>127</v>
      </c>
      <c r="C157" s="2">
        <v>257704099</v>
      </c>
      <c r="D157" s="2" t="s">
        <v>38</v>
      </c>
      <c r="E157" s="2" t="s">
        <v>12</v>
      </c>
      <c r="F157" t="s">
        <v>13</v>
      </c>
      <c r="G157" t="s">
        <v>24</v>
      </c>
      <c r="H157" t="s">
        <v>14</v>
      </c>
      <c r="I157" t="s">
        <v>24</v>
      </c>
      <c r="N157" s="2" t="s">
        <v>18</v>
      </c>
      <c r="O157" s="2" t="s">
        <v>19</v>
      </c>
      <c r="P157" s="2">
        <v>150000000</v>
      </c>
      <c r="Q157" s="2">
        <v>8</v>
      </c>
      <c r="R157" s="2" t="s">
        <v>390</v>
      </c>
      <c r="S157" s="2"/>
      <c r="U157" s="2" t="s">
        <v>170</v>
      </c>
      <c r="V157">
        <f ca="1" t="shared" si="3"/>
        <v>7.06</v>
      </c>
      <c r="AC157" s="2"/>
      <c r="AD157" t="str">
        <f>IFERROR(__xludf.DUMMYFUNCTION("""COMPUTED_VALUE"""),"TRON: Legacy ")</f>
        <v>TRON: Legacy </v>
      </c>
      <c r="AE157">
        <f t="shared" si="4"/>
        <v>172051662</v>
      </c>
    </row>
    <row r="158" customHeight="1" spans="1:31">
      <c r="A158" s="2" t="s">
        <v>50</v>
      </c>
      <c r="B158" s="2">
        <v>121</v>
      </c>
      <c r="C158" s="2">
        <v>403706375</v>
      </c>
      <c r="D158" s="2" t="s">
        <v>113</v>
      </c>
      <c r="E158" s="2" t="s">
        <v>12</v>
      </c>
      <c r="F158" t="s">
        <v>13</v>
      </c>
      <c r="G158" t="s">
        <v>40</v>
      </c>
      <c r="H158" t="s">
        <v>14</v>
      </c>
      <c r="I158" t="s">
        <v>83</v>
      </c>
      <c r="N158" s="2" t="s">
        <v>18</v>
      </c>
      <c r="O158" s="2" t="s">
        <v>19</v>
      </c>
      <c r="P158" s="2">
        <v>139000000</v>
      </c>
      <c r="Q158" s="2">
        <v>7.3</v>
      </c>
      <c r="R158" s="2" t="s">
        <v>391</v>
      </c>
      <c r="S158" s="2"/>
      <c r="U158" s="2" t="s">
        <v>176</v>
      </c>
      <c r="V158">
        <f ca="1" t="shared" si="3"/>
        <v>6.6625</v>
      </c>
      <c r="AC158" s="2"/>
      <c r="AD158" t="str">
        <f>IFERROR(__xludf.DUMMYFUNCTION("""COMPUTED_VALUE"""),"Cars 2 ")</f>
        <v>Cars 2 </v>
      </c>
      <c r="AE158">
        <f t="shared" si="4"/>
        <v>191450769</v>
      </c>
    </row>
    <row r="159" customHeight="1" spans="1:31">
      <c r="A159" s="2" t="s">
        <v>253</v>
      </c>
      <c r="B159" s="2">
        <v>102</v>
      </c>
      <c r="C159" s="2">
        <v>176997107</v>
      </c>
      <c r="D159" s="2" t="s">
        <v>392</v>
      </c>
      <c r="E159" s="2" t="s">
        <v>12</v>
      </c>
      <c r="F159" t="s">
        <v>13</v>
      </c>
      <c r="G159" t="s">
        <v>40</v>
      </c>
      <c r="H159" t="s">
        <v>28</v>
      </c>
      <c r="I159" t="s">
        <v>55</v>
      </c>
      <c r="N159" s="2" t="s">
        <v>18</v>
      </c>
      <c r="O159" s="2" t="s">
        <v>19</v>
      </c>
      <c r="P159" s="2">
        <v>145000000</v>
      </c>
      <c r="Q159" s="2">
        <v>7.9</v>
      </c>
      <c r="R159" s="2" t="s">
        <v>393</v>
      </c>
      <c r="S159" s="2"/>
      <c r="U159" s="2" t="s">
        <v>178</v>
      </c>
      <c r="V159">
        <f ca="1" t="shared" si="3"/>
        <v>6</v>
      </c>
      <c r="AC159" s="2"/>
      <c r="AD159" t="str">
        <f>IFERROR(__xludf.DUMMYFUNCTION("""COMPUTED_VALUE"""),"Green Lantern ")</f>
        <v>Green Lantern </v>
      </c>
      <c r="AE159">
        <f t="shared" si="4"/>
        <v>116593068</v>
      </c>
    </row>
    <row r="160" customHeight="1" spans="1:31">
      <c r="A160" s="2" t="s">
        <v>394</v>
      </c>
      <c r="B160" s="2">
        <v>126</v>
      </c>
      <c r="C160" s="2">
        <v>31141074</v>
      </c>
      <c r="D160" s="2" t="s">
        <v>22</v>
      </c>
      <c r="E160" s="2" t="s">
        <v>12</v>
      </c>
      <c r="F160" t="s">
        <v>13</v>
      </c>
      <c r="G160" t="s">
        <v>40</v>
      </c>
      <c r="H160" t="s">
        <v>30</v>
      </c>
      <c r="I160" t="s">
        <v>15</v>
      </c>
      <c r="N160" s="2" t="s">
        <v>18</v>
      </c>
      <c r="O160" s="2" t="s">
        <v>19</v>
      </c>
      <c r="P160" s="2">
        <v>140000000</v>
      </c>
      <c r="Q160" s="2">
        <v>5.5</v>
      </c>
      <c r="R160" s="2" t="s">
        <v>395</v>
      </c>
      <c r="S160" s="2"/>
      <c r="U160" s="2" t="s">
        <v>181</v>
      </c>
      <c r="V160">
        <f ca="1" t="shared" si="3"/>
        <v>7.1</v>
      </c>
      <c r="AC160" s="2"/>
      <c r="AD160" t="str">
        <f>IFERROR(__xludf.DUMMYFUNCTION("""COMPUTED_VALUE"""),"Toy Story 3 ")</f>
        <v>Toy Story 3 </v>
      </c>
      <c r="AE160">
        <f t="shared" si="4"/>
        <v>414984394</v>
      </c>
    </row>
    <row r="161" customHeight="1" spans="1:31">
      <c r="A161" s="2" t="s">
        <v>207</v>
      </c>
      <c r="B161" s="2">
        <v>121</v>
      </c>
      <c r="C161" s="2">
        <v>31704416</v>
      </c>
      <c r="D161" s="2" t="s">
        <v>108</v>
      </c>
      <c r="E161" s="2" t="s">
        <v>12</v>
      </c>
      <c r="F161" t="s">
        <v>30</v>
      </c>
      <c r="G161" t="s">
        <v>24</v>
      </c>
      <c r="H161" t="s">
        <v>23</v>
      </c>
      <c r="I161" t="s">
        <v>17</v>
      </c>
      <c r="N161" s="2" t="s">
        <v>18</v>
      </c>
      <c r="O161" s="2" t="s">
        <v>19</v>
      </c>
      <c r="P161" s="2">
        <v>135000000</v>
      </c>
      <c r="Q161" s="2">
        <v>5</v>
      </c>
      <c r="R161" s="2" t="s">
        <v>396</v>
      </c>
      <c r="S161" s="2"/>
      <c r="U161" s="2" t="s">
        <v>188</v>
      </c>
      <c r="V161">
        <f ca="1" t="shared" si="3"/>
        <v>7</v>
      </c>
      <c r="AC161" s="2"/>
      <c r="AD161" t="str">
        <f>IFERROR(__xludf.DUMMYFUNCTION("""COMPUTED_VALUE"""),"Terminator Salvation ")</f>
        <v>Terminator Salvation </v>
      </c>
      <c r="AE161">
        <f t="shared" si="4"/>
        <v>125319885</v>
      </c>
    </row>
    <row r="162" customHeight="1" spans="1:31">
      <c r="A162" s="2" t="s">
        <v>64</v>
      </c>
      <c r="B162" s="2">
        <v>215</v>
      </c>
      <c r="C162" s="2">
        <v>107503316</v>
      </c>
      <c r="D162" s="2" t="s">
        <v>397</v>
      </c>
      <c r="E162" s="2" t="s">
        <v>12</v>
      </c>
      <c r="F162" t="s">
        <v>56</v>
      </c>
      <c r="G162" t="s">
        <v>35</v>
      </c>
      <c r="H162" t="s">
        <v>17</v>
      </c>
      <c r="I162" t="s">
        <v>16</v>
      </c>
      <c r="N162" s="2" t="s">
        <v>18</v>
      </c>
      <c r="O162" s="2" t="s">
        <v>19</v>
      </c>
      <c r="P162" s="2">
        <v>130000000</v>
      </c>
      <c r="Q162" s="2">
        <v>7.7</v>
      </c>
      <c r="R162" s="2" t="s">
        <v>398</v>
      </c>
      <c r="S162" s="2"/>
      <c r="U162" s="2" t="s">
        <v>191</v>
      </c>
      <c r="V162">
        <f ca="1" t="shared" si="3"/>
        <v>6.8</v>
      </c>
      <c r="AC162" s="2"/>
      <c r="AD162" t="str">
        <f>IFERROR(__xludf.DUMMYFUNCTION("""COMPUTED_VALUE"""),"Furious 7 ")</f>
        <v>Furious 7 </v>
      </c>
      <c r="AE162">
        <f t="shared" si="4"/>
        <v>350033970</v>
      </c>
    </row>
    <row r="163" customHeight="1" spans="1:31">
      <c r="A163" s="2" t="s">
        <v>399</v>
      </c>
      <c r="B163" s="2">
        <v>127</v>
      </c>
      <c r="C163" s="2">
        <v>129734803</v>
      </c>
      <c r="D163" s="2" t="s">
        <v>150</v>
      </c>
      <c r="E163" s="2" t="s">
        <v>12</v>
      </c>
      <c r="F163" t="s">
        <v>15</v>
      </c>
      <c r="G163" t="s">
        <v>40</v>
      </c>
      <c r="H163" t="s">
        <v>15</v>
      </c>
      <c r="I163" t="s">
        <v>15</v>
      </c>
      <c r="N163" s="2" t="s">
        <v>18</v>
      </c>
      <c r="O163" s="2" t="s">
        <v>19</v>
      </c>
      <c r="P163" s="2">
        <v>140000000</v>
      </c>
      <c r="Q163" s="2">
        <v>6.6</v>
      </c>
      <c r="R163" s="2" t="s">
        <v>400</v>
      </c>
      <c r="S163" s="2"/>
      <c r="U163" s="2" t="s">
        <v>194</v>
      </c>
      <c r="V163">
        <f ca="1" t="shared" si="3"/>
        <v>7.28333333333333</v>
      </c>
      <c r="AC163" s="2"/>
      <c r="AD163" t="str">
        <f>IFERROR(__xludf.DUMMYFUNCTION("""COMPUTED_VALUE"""),"World War Z ")</f>
        <v>World War Z </v>
      </c>
      <c r="AE163">
        <f t="shared" si="4"/>
        <v>202351488</v>
      </c>
    </row>
    <row r="164" customHeight="1" spans="1:31">
      <c r="A164" s="2" t="s">
        <v>401</v>
      </c>
      <c r="B164" s="2">
        <v>138</v>
      </c>
      <c r="C164" s="2">
        <v>132122995</v>
      </c>
      <c r="D164" s="2" t="s">
        <v>256</v>
      </c>
      <c r="E164" s="2" t="s">
        <v>12</v>
      </c>
      <c r="F164" t="s">
        <v>13</v>
      </c>
      <c r="G164" t="s">
        <v>24</v>
      </c>
      <c r="H164" t="s">
        <v>24</v>
      </c>
      <c r="I164" t="s">
        <v>14</v>
      </c>
      <c r="N164" s="2" t="s">
        <v>18</v>
      </c>
      <c r="O164" s="2" t="s">
        <v>19</v>
      </c>
      <c r="P164" s="2">
        <v>137000000</v>
      </c>
      <c r="Q164" s="2">
        <v>5.7</v>
      </c>
      <c r="R164" s="2" t="s">
        <v>402</v>
      </c>
      <c r="S164" s="2"/>
      <c r="U164" s="2" t="s">
        <v>196</v>
      </c>
      <c r="V164">
        <f ca="1" t="shared" si="3"/>
        <v>6.16875</v>
      </c>
      <c r="AC164" s="2"/>
      <c r="AD164" t="str">
        <f>IFERROR(__xludf.DUMMYFUNCTION("""COMPUTED_VALUE"""),"X-Men: Days of Future Past ")</f>
        <v>X-Men: Days of Future Past </v>
      </c>
      <c r="AE164">
        <f t="shared" si="4"/>
        <v>233914837</v>
      </c>
    </row>
    <row r="165" customHeight="1" spans="1:31">
      <c r="A165" s="2" t="s">
        <v>403</v>
      </c>
      <c r="B165" s="2">
        <v>122</v>
      </c>
      <c r="C165" s="2">
        <v>122512052</v>
      </c>
      <c r="D165" s="2" t="s">
        <v>108</v>
      </c>
      <c r="E165" s="2" t="s">
        <v>12</v>
      </c>
      <c r="F165" t="s">
        <v>13</v>
      </c>
      <c r="G165" t="s">
        <v>40</v>
      </c>
      <c r="H165" t="s">
        <v>30</v>
      </c>
      <c r="I165" t="s">
        <v>14</v>
      </c>
      <c r="N165" s="2" t="s">
        <v>18</v>
      </c>
      <c r="O165" s="2" t="s">
        <v>19</v>
      </c>
      <c r="P165" s="2">
        <v>130000000</v>
      </c>
      <c r="Q165" s="2">
        <v>5.8</v>
      </c>
      <c r="R165" s="2" t="s">
        <v>404</v>
      </c>
      <c r="S165" s="2"/>
      <c r="U165" s="2" t="s">
        <v>207</v>
      </c>
      <c r="V165">
        <f ca="1" t="shared" si="3"/>
        <v>6.81111111111111</v>
      </c>
      <c r="AC165" s="2"/>
      <c r="AD165" t="str">
        <f>IFERROR(__xludf.DUMMYFUNCTION("""COMPUTED_VALUE"""),"Star Trek Into Darkness ")</f>
        <v>Star Trek Into Darkness </v>
      </c>
      <c r="AE165">
        <f t="shared" si="4"/>
        <v>228756100</v>
      </c>
    </row>
    <row r="166" customHeight="1" spans="1:31">
      <c r="A166" s="2" t="s">
        <v>405</v>
      </c>
      <c r="B166" s="2">
        <v>124</v>
      </c>
      <c r="C166" s="2">
        <v>68642452</v>
      </c>
      <c r="D166" s="2" t="s">
        <v>406</v>
      </c>
      <c r="E166" s="2" t="s">
        <v>12</v>
      </c>
      <c r="F166" t="s">
        <v>13</v>
      </c>
      <c r="G166" t="s">
        <v>24</v>
      </c>
      <c r="H166" t="s">
        <v>29</v>
      </c>
      <c r="I166" t="s">
        <v>16</v>
      </c>
      <c r="N166" s="2" t="s">
        <v>18</v>
      </c>
      <c r="O166" s="2" t="s">
        <v>31</v>
      </c>
      <c r="P166" s="2">
        <v>130000000</v>
      </c>
      <c r="Q166" s="2">
        <v>6</v>
      </c>
      <c r="R166" s="2" t="s">
        <v>407</v>
      </c>
      <c r="S166" s="2"/>
      <c r="U166" s="2" t="s">
        <v>210</v>
      </c>
      <c r="V166">
        <f ca="1" t="shared" si="3"/>
        <v>5.68333333333333</v>
      </c>
      <c r="AC166" s="2"/>
      <c r="AD166" t="str">
        <f>IFERROR(__xludf.DUMMYFUNCTION("""COMPUTED_VALUE"""),"Jack the Giant Slayer ")</f>
        <v>Jack the Giant Slayer </v>
      </c>
      <c r="AE166">
        <f t="shared" si="4"/>
        <v>65171746</v>
      </c>
    </row>
    <row r="167" customHeight="1" spans="1:31">
      <c r="A167" s="2" t="s">
        <v>408</v>
      </c>
      <c r="B167" s="2">
        <v>106</v>
      </c>
      <c r="C167" s="2">
        <v>32131830</v>
      </c>
      <c r="D167" s="2" t="s">
        <v>409</v>
      </c>
      <c r="E167" s="2" t="s">
        <v>12</v>
      </c>
      <c r="F167" t="s">
        <v>13</v>
      </c>
      <c r="G167" t="s">
        <v>56</v>
      </c>
      <c r="H167" t="s">
        <v>23</v>
      </c>
      <c r="I167" t="s">
        <v>15</v>
      </c>
      <c r="N167" s="2" t="s">
        <v>18</v>
      </c>
      <c r="O167" s="2" t="s">
        <v>19</v>
      </c>
      <c r="P167" s="2">
        <v>137000000</v>
      </c>
      <c r="Q167" s="2">
        <v>6.4</v>
      </c>
      <c r="R167" s="2" t="s">
        <v>410</v>
      </c>
      <c r="S167" s="2"/>
      <c r="U167" s="2" t="s">
        <v>213</v>
      </c>
      <c r="V167">
        <f ca="1" t="shared" si="3"/>
        <v>6.75714285714286</v>
      </c>
      <c r="AC167" s="2"/>
      <c r="AD167" t="str">
        <f>IFERROR(__xludf.DUMMYFUNCTION("""COMPUTED_VALUE"""),"The Great Gatsby ")</f>
        <v>The Great Gatsby </v>
      </c>
      <c r="AE167">
        <f t="shared" si="4"/>
        <v>144812653</v>
      </c>
    </row>
    <row r="168" customHeight="1" spans="1:31">
      <c r="A168" s="2" t="s">
        <v>345</v>
      </c>
      <c r="B168" s="2">
        <v>124</v>
      </c>
      <c r="C168" s="2">
        <v>176636816</v>
      </c>
      <c r="D168" s="2" t="s">
        <v>38</v>
      </c>
      <c r="E168" s="2" t="s">
        <v>12</v>
      </c>
      <c r="F168" t="s">
        <v>13</v>
      </c>
      <c r="G168" t="s">
        <v>35</v>
      </c>
      <c r="H168" t="s">
        <v>24</v>
      </c>
      <c r="I168" t="s">
        <v>17</v>
      </c>
      <c r="N168" s="2" t="s">
        <v>18</v>
      </c>
      <c r="O168" s="2" t="s">
        <v>19</v>
      </c>
      <c r="P168" s="2">
        <v>140000000</v>
      </c>
      <c r="Q168" s="2">
        <v>6.9</v>
      </c>
      <c r="R168" s="2" t="s">
        <v>411</v>
      </c>
      <c r="S168" s="2"/>
      <c r="U168" s="2" t="s">
        <v>216</v>
      </c>
      <c r="V168">
        <f ca="1" t="shared" si="3"/>
        <v>6.64285714285714</v>
      </c>
      <c r="AC168" s="2"/>
      <c r="AD168" t="str">
        <f>IFERROR(__xludf.DUMMYFUNCTION("""COMPUTED_VALUE"""),"Prince of Persia: The Sands of Time ")</f>
        <v>Prince of Persia: The Sands of Time </v>
      </c>
      <c r="AE168">
        <f t="shared" si="4"/>
        <v>90755527</v>
      </c>
    </row>
    <row r="169" customHeight="1" spans="1:31">
      <c r="A169" s="2" t="s">
        <v>286</v>
      </c>
      <c r="B169" s="2">
        <v>128</v>
      </c>
      <c r="C169" s="2">
        <v>126930660</v>
      </c>
      <c r="D169" s="2" t="s">
        <v>27</v>
      </c>
      <c r="E169" s="2" t="s">
        <v>12</v>
      </c>
      <c r="F169" t="s">
        <v>13</v>
      </c>
      <c r="G169" t="s">
        <v>28</v>
      </c>
      <c r="H169" t="s">
        <v>29</v>
      </c>
      <c r="I169" t="s">
        <v>14</v>
      </c>
      <c r="N169" s="2" t="s">
        <v>18</v>
      </c>
      <c r="O169" s="2" t="s">
        <v>31</v>
      </c>
      <c r="P169" s="2">
        <v>135000000</v>
      </c>
      <c r="Q169" s="2">
        <v>6.4</v>
      </c>
      <c r="R169" s="2" t="s">
        <v>412</v>
      </c>
      <c r="S169" s="2"/>
      <c r="U169" s="2" t="s">
        <v>218</v>
      </c>
      <c r="V169">
        <f ca="1" t="shared" si="3"/>
        <v>6.38</v>
      </c>
      <c r="AC169" s="2"/>
      <c r="AD169" t="str">
        <f>IFERROR(__xludf.DUMMYFUNCTION("""COMPUTED_VALUE"""),"Pacific Rim ")</f>
        <v>Pacific Rim </v>
      </c>
      <c r="AE169">
        <f t="shared" si="4"/>
        <v>101785351</v>
      </c>
    </row>
    <row r="170" customHeight="1" spans="1:31">
      <c r="A170" s="2" t="s">
        <v>413</v>
      </c>
      <c r="B170" s="2">
        <v>138</v>
      </c>
      <c r="C170" s="2">
        <v>93926386</v>
      </c>
      <c r="D170" s="2" t="s">
        <v>414</v>
      </c>
      <c r="E170" s="2" t="s">
        <v>12</v>
      </c>
      <c r="F170" t="s">
        <v>30</v>
      </c>
      <c r="G170" t="s">
        <v>30</v>
      </c>
      <c r="H170" t="s">
        <v>39</v>
      </c>
      <c r="I170" t="s">
        <v>24</v>
      </c>
      <c r="N170" s="2" t="s">
        <v>18</v>
      </c>
      <c r="O170" s="2" t="s">
        <v>19</v>
      </c>
      <c r="P170" s="2">
        <v>150000000</v>
      </c>
      <c r="Q170" s="2">
        <v>7.4</v>
      </c>
      <c r="R170" s="2" t="s">
        <v>415</v>
      </c>
      <c r="S170" s="2"/>
      <c r="U170" s="2" t="s">
        <v>220</v>
      </c>
      <c r="V170">
        <f ca="1" t="shared" si="3"/>
        <v>7.275</v>
      </c>
      <c r="AC170" s="2"/>
      <c r="AD170" t="str">
        <f>IFERROR(__xludf.DUMMYFUNCTION("""COMPUTED_VALUE"""),"Transformers: Dark of the Moon ")</f>
        <v>Transformers: Dark of the Moon </v>
      </c>
      <c r="AE170">
        <f t="shared" si="4"/>
        <v>352358625</v>
      </c>
    </row>
    <row r="171" customHeight="1" spans="1:31">
      <c r="A171" s="2" t="s">
        <v>416</v>
      </c>
      <c r="B171" s="2">
        <v>115</v>
      </c>
      <c r="C171" s="2">
        <v>292298923</v>
      </c>
      <c r="D171" s="2" t="s">
        <v>417</v>
      </c>
      <c r="E171" s="2" t="s">
        <v>13</v>
      </c>
      <c r="F171" t="s">
        <v>40</v>
      </c>
      <c r="G171" t="s">
        <v>23</v>
      </c>
      <c r="H171" t="s">
        <v>23</v>
      </c>
      <c r="I171" t="s">
        <v>24</v>
      </c>
      <c r="N171" s="2" t="s">
        <v>18</v>
      </c>
      <c r="O171" s="2" t="s">
        <v>19</v>
      </c>
      <c r="P171" s="2">
        <v>120000000</v>
      </c>
      <c r="Q171" s="2">
        <v>5.5</v>
      </c>
      <c r="R171" s="2" t="s">
        <v>418</v>
      </c>
      <c r="S171" s="2"/>
      <c r="U171" s="2" t="s">
        <v>227</v>
      </c>
      <c r="V171">
        <f ca="1" t="shared" si="3"/>
        <v>7</v>
      </c>
      <c r="AC171" s="2"/>
      <c r="AD171" t="str">
        <f>IFERROR(__xludf.DUMMYFUNCTION("""COMPUTED_VALUE"""),"Indiana Jones and the Kingdom of the Crystal Skull ")</f>
        <v>Indiana Jones and the Kingdom of the Crystal Skull </v>
      </c>
      <c r="AE171">
        <f t="shared" si="4"/>
        <v>317010992</v>
      </c>
    </row>
    <row r="172" customHeight="1" spans="1:31">
      <c r="A172" s="2" t="s">
        <v>325</v>
      </c>
      <c r="B172" s="2">
        <v>100</v>
      </c>
      <c r="C172" s="2">
        <v>63992328</v>
      </c>
      <c r="D172" s="2" t="s">
        <v>419</v>
      </c>
      <c r="E172" s="2" t="s">
        <v>35</v>
      </c>
      <c r="F172" t="s">
        <v>13</v>
      </c>
      <c r="G172" t="s">
        <v>14</v>
      </c>
      <c r="H172" t="s">
        <v>23</v>
      </c>
      <c r="I172" t="s">
        <v>24</v>
      </c>
      <c r="N172" s="2" t="s">
        <v>18</v>
      </c>
      <c r="O172" s="2" t="s">
        <v>159</v>
      </c>
      <c r="P172" s="2">
        <v>135000000</v>
      </c>
      <c r="Q172" s="2">
        <v>5.9</v>
      </c>
      <c r="R172" s="2" t="s">
        <v>420</v>
      </c>
      <c r="S172" s="2"/>
      <c r="U172" s="2" t="s">
        <v>230</v>
      </c>
      <c r="V172">
        <f ca="1" t="shared" si="3"/>
        <v>7.6</v>
      </c>
      <c r="AC172" s="2"/>
      <c r="AD172" t="str">
        <f>IFERROR(__xludf.DUMMYFUNCTION("""COMPUTED_VALUE"""),"Brave ")</f>
        <v>Brave </v>
      </c>
      <c r="AE172">
        <f t="shared" si="4"/>
        <v>237282089</v>
      </c>
    </row>
    <row r="173" customHeight="1" spans="1:31">
      <c r="A173" s="2" t="s">
        <v>421</v>
      </c>
      <c r="B173" s="2">
        <v>135</v>
      </c>
      <c r="C173" s="2">
        <v>134518390</v>
      </c>
      <c r="D173" s="2" t="s">
        <v>38</v>
      </c>
      <c r="E173" s="2" t="s">
        <v>12</v>
      </c>
      <c r="F173" t="s">
        <v>23</v>
      </c>
      <c r="G173" t="s">
        <v>17</v>
      </c>
      <c r="H173" t="s">
        <v>17</v>
      </c>
      <c r="I173" t="s">
        <v>24</v>
      </c>
      <c r="N173" s="2" t="s">
        <v>18</v>
      </c>
      <c r="O173" s="2" t="s">
        <v>19</v>
      </c>
      <c r="P173" s="2">
        <v>150000000</v>
      </c>
      <c r="Q173" s="2">
        <v>6.8</v>
      </c>
      <c r="R173" s="2" t="s">
        <v>422</v>
      </c>
      <c r="S173" s="2"/>
      <c r="U173" s="2" t="s">
        <v>233</v>
      </c>
      <c r="V173">
        <f ca="1" t="shared" si="3"/>
        <v>5.53333333333333</v>
      </c>
      <c r="AC173" s="2"/>
      <c r="AD173" t="str">
        <f>IFERROR(__xludf.DUMMYFUNCTION("""COMPUTED_VALUE"""),"Star Trek Beyond ")</f>
        <v>Star Trek Beyond </v>
      </c>
      <c r="AE173">
        <f t="shared" si="4"/>
        <v>130468504</v>
      </c>
    </row>
    <row r="174" customHeight="1" spans="1:31">
      <c r="A174" s="2" t="s">
        <v>166</v>
      </c>
      <c r="B174" s="2">
        <v>117</v>
      </c>
      <c r="C174" s="2">
        <v>52792307</v>
      </c>
      <c r="D174" s="2" t="s">
        <v>99</v>
      </c>
      <c r="E174" s="2" t="s">
        <v>13</v>
      </c>
      <c r="F174" t="s">
        <v>30</v>
      </c>
      <c r="G174" t="s">
        <v>15</v>
      </c>
      <c r="H174" t="s">
        <v>23</v>
      </c>
      <c r="I174" t="s">
        <v>24</v>
      </c>
      <c r="N174" s="2" t="s">
        <v>18</v>
      </c>
      <c r="O174" s="2" t="s">
        <v>31</v>
      </c>
      <c r="P174" s="2">
        <v>140000000</v>
      </c>
      <c r="Q174" s="2">
        <v>6.8</v>
      </c>
      <c r="R174" s="2" t="s">
        <v>423</v>
      </c>
      <c r="S174" s="2"/>
      <c r="U174" s="2" t="s">
        <v>236</v>
      </c>
      <c r="V174">
        <f ca="1" t="shared" si="3"/>
        <v>7.8</v>
      </c>
      <c r="AC174" s="2"/>
      <c r="AD174" t="str">
        <f>IFERROR(__xludf.DUMMYFUNCTION("""COMPUTED_VALUE"""),"WALL·E ")</f>
        <v>WALL·E </v>
      </c>
      <c r="AE174">
        <f t="shared" si="4"/>
        <v>223806791</v>
      </c>
    </row>
    <row r="175" customHeight="1" spans="1:31">
      <c r="A175" s="2" t="s">
        <v>424</v>
      </c>
      <c r="B175" s="2">
        <v>156</v>
      </c>
      <c r="C175" s="2">
        <v>183635922</v>
      </c>
      <c r="D175" s="2" t="s">
        <v>425</v>
      </c>
      <c r="E175" s="2" t="s">
        <v>13</v>
      </c>
      <c r="F175" t="s">
        <v>35</v>
      </c>
      <c r="G175" t="s">
        <v>23</v>
      </c>
      <c r="H175" t="s">
        <v>14</v>
      </c>
      <c r="I175" t="s">
        <v>30</v>
      </c>
      <c r="N175" s="2" t="s">
        <v>18</v>
      </c>
      <c r="O175" s="2" t="s">
        <v>19</v>
      </c>
      <c r="P175" s="2">
        <v>135000000</v>
      </c>
      <c r="Q175" s="2">
        <v>8.1</v>
      </c>
      <c r="R175" s="2" t="s">
        <v>426</v>
      </c>
      <c r="S175" s="2"/>
      <c r="U175" s="2" t="s">
        <v>239</v>
      </c>
      <c r="V175">
        <f ca="1" t="shared" si="3"/>
        <v>5.325</v>
      </c>
      <c r="AC175" s="2"/>
      <c r="AD175" t="str">
        <f>IFERROR(__xludf.DUMMYFUNCTION("""COMPUTED_VALUE"""),"Rush Hour 3 ")</f>
        <v>Rush Hour 3 </v>
      </c>
      <c r="AE175">
        <f t="shared" si="4"/>
        <v>140080759</v>
      </c>
    </row>
    <row r="176" customHeight="1" spans="1:31">
      <c r="A176" s="2" t="s">
        <v>427</v>
      </c>
      <c r="B176" s="2">
        <v>96</v>
      </c>
      <c r="C176" s="2">
        <v>83024900</v>
      </c>
      <c r="D176" s="2" t="s">
        <v>140</v>
      </c>
      <c r="E176" s="2" t="s">
        <v>13</v>
      </c>
      <c r="F176" t="s">
        <v>35</v>
      </c>
      <c r="G176" t="s">
        <v>23</v>
      </c>
      <c r="H176" t="s">
        <v>14</v>
      </c>
      <c r="I176" t="s">
        <v>29</v>
      </c>
      <c r="N176" s="2" t="s">
        <v>18</v>
      </c>
      <c r="O176" s="2" t="s">
        <v>19</v>
      </c>
      <c r="P176" s="2">
        <v>135000000</v>
      </c>
      <c r="Q176" s="2">
        <v>6.5</v>
      </c>
      <c r="R176" s="2" t="s">
        <v>428</v>
      </c>
      <c r="S176" s="2"/>
      <c r="U176" s="2" t="s">
        <v>241</v>
      </c>
      <c r="V176">
        <f ca="1" t="shared" si="3"/>
        <v>7.28</v>
      </c>
      <c r="AC176" s="2"/>
      <c r="AD176" t="str">
        <f>IFERROR(__xludf.DUMMYFUNCTION("""COMPUTED_VALUE"""),"2012 ")</f>
        <v>2012 </v>
      </c>
      <c r="AE176">
        <f t="shared" si="4"/>
        <v>166112009</v>
      </c>
    </row>
    <row r="177" customHeight="1" spans="1:31">
      <c r="A177" s="2" t="s">
        <v>21</v>
      </c>
      <c r="B177" s="2">
        <v>107</v>
      </c>
      <c r="C177" s="2">
        <v>123207194</v>
      </c>
      <c r="D177" s="2" t="s">
        <v>429</v>
      </c>
      <c r="E177" s="2" t="s">
        <v>13</v>
      </c>
      <c r="F177" t="s">
        <v>35</v>
      </c>
      <c r="G177" t="s">
        <v>40</v>
      </c>
      <c r="H177" t="s">
        <v>24</v>
      </c>
      <c r="I177" t="s">
        <v>29</v>
      </c>
      <c r="N177" s="2" t="s">
        <v>18</v>
      </c>
      <c r="O177" s="2" t="s">
        <v>19</v>
      </c>
      <c r="P177" s="2">
        <v>135000000</v>
      </c>
      <c r="Q177" s="2">
        <v>7.2</v>
      </c>
      <c r="R177" s="2" t="s">
        <v>430</v>
      </c>
      <c r="S177" s="2"/>
      <c r="U177" s="2" t="s">
        <v>244</v>
      </c>
      <c r="V177">
        <f ca="1" t="shared" si="3"/>
        <v>7.8</v>
      </c>
      <c r="AC177" s="2"/>
      <c r="AD177" t="str">
        <f>IFERROR(__xludf.DUMMYFUNCTION("""COMPUTED_VALUE"""),"A Christmas Carol ")</f>
        <v>A Christmas Carol </v>
      </c>
      <c r="AE177">
        <f t="shared" si="4"/>
        <v>137850000</v>
      </c>
    </row>
    <row r="178" customHeight="1" spans="1:31">
      <c r="A178" s="2" t="s">
        <v>312</v>
      </c>
      <c r="B178" s="2">
        <v>92</v>
      </c>
      <c r="C178" s="2">
        <v>83348920</v>
      </c>
      <c r="D178" s="2" t="s">
        <v>189</v>
      </c>
      <c r="E178" s="2" t="s">
        <v>13</v>
      </c>
      <c r="F178" t="s">
        <v>28</v>
      </c>
      <c r="G178" t="s">
        <v>14</v>
      </c>
      <c r="H178" t="s">
        <v>15</v>
      </c>
      <c r="I178" t="s">
        <v>23</v>
      </c>
      <c r="N178" s="2" t="s">
        <v>18</v>
      </c>
      <c r="O178" s="2" t="s">
        <v>19</v>
      </c>
      <c r="P178" s="2">
        <v>132000000</v>
      </c>
      <c r="Q178" s="2">
        <v>6.7</v>
      </c>
      <c r="R178" s="2" t="s">
        <v>431</v>
      </c>
      <c r="S178" s="2"/>
      <c r="U178" s="2" t="s">
        <v>247</v>
      </c>
      <c r="V178">
        <f ca="1" t="shared" si="3"/>
        <v>6.6</v>
      </c>
      <c r="AC178" s="2"/>
      <c r="AD178" t="str">
        <f>IFERROR(__xludf.DUMMYFUNCTION("""COMPUTED_VALUE"""),"Jupiter Ascending ")</f>
        <v>Jupiter Ascending </v>
      </c>
      <c r="AE178">
        <f t="shared" si="4"/>
        <v>47375200</v>
      </c>
    </row>
    <row r="179" customHeight="1" spans="1:31">
      <c r="A179" s="2" t="s">
        <v>432</v>
      </c>
      <c r="B179" s="2">
        <v>115</v>
      </c>
      <c r="C179" s="2">
        <v>227137090</v>
      </c>
      <c r="D179" s="2" t="s">
        <v>433</v>
      </c>
      <c r="E179" s="2" t="s">
        <v>12</v>
      </c>
      <c r="F179" t="s">
        <v>13</v>
      </c>
      <c r="G179" t="s">
        <v>14</v>
      </c>
      <c r="H179" t="s">
        <v>24</v>
      </c>
      <c r="I179" t="s">
        <v>24</v>
      </c>
      <c r="N179" s="2" t="s">
        <v>18</v>
      </c>
      <c r="O179" s="2" t="s">
        <v>19</v>
      </c>
      <c r="P179" s="2">
        <v>110000000</v>
      </c>
      <c r="Q179" s="2">
        <v>8.1</v>
      </c>
      <c r="R179" s="2" t="s">
        <v>434</v>
      </c>
      <c r="S179" s="2"/>
      <c r="U179" s="2" t="s">
        <v>253</v>
      </c>
      <c r="V179">
        <f ca="1" t="shared" si="3"/>
        <v>6</v>
      </c>
      <c r="AC179" s="2"/>
      <c r="AD179" t="str">
        <f>IFERROR(__xludf.DUMMYFUNCTION("""COMPUTED_VALUE"""),"The Legend of Tarzan ")</f>
        <v>The Legend of Tarzan </v>
      </c>
      <c r="AE179">
        <f t="shared" si="4"/>
        <v>124051649</v>
      </c>
    </row>
    <row r="180" customHeight="1" spans="1:31">
      <c r="A180" s="2" t="s">
        <v>435</v>
      </c>
      <c r="B180" s="2">
        <v>92</v>
      </c>
      <c r="C180" s="2">
        <v>215395021</v>
      </c>
      <c r="D180" s="2" t="s">
        <v>313</v>
      </c>
      <c r="E180" s="2" t="s">
        <v>12</v>
      </c>
      <c r="F180" t="s">
        <v>13</v>
      </c>
      <c r="G180" t="s">
        <v>14</v>
      </c>
      <c r="H180" t="s">
        <v>24</v>
      </c>
      <c r="I180" t="s">
        <v>24</v>
      </c>
      <c r="N180" s="2" t="s">
        <v>18</v>
      </c>
      <c r="O180" s="2" t="s">
        <v>19</v>
      </c>
      <c r="P180" s="2">
        <v>130000000</v>
      </c>
      <c r="Q180" s="2">
        <v>7.6</v>
      </c>
      <c r="R180" s="2" t="s">
        <v>436</v>
      </c>
      <c r="S180" s="2"/>
      <c r="U180" s="2" t="s">
        <v>255</v>
      </c>
      <c r="V180">
        <f ca="1" t="shared" si="3"/>
        <v>7.1</v>
      </c>
      <c r="AC180" s="2"/>
      <c r="AD180" t="str">
        <f>IFERROR(__xludf.DUMMYFUNCTION("""COMPUTED_VALUE"""),"The Chronicles of Narnia: The Lion, the Witch and the Wardrobe ")</f>
        <v>The Chronicles of Narnia: The Lion, the Witch and the Wardrobe </v>
      </c>
      <c r="AE180">
        <f t="shared" si="4"/>
        <v>291709695</v>
      </c>
    </row>
    <row r="181" customHeight="1" spans="1:31">
      <c r="A181" s="2" t="s">
        <v>437</v>
      </c>
      <c r="B181" s="2">
        <v>117</v>
      </c>
      <c r="C181" s="2">
        <v>180191634</v>
      </c>
      <c r="D181" s="2" t="s">
        <v>211</v>
      </c>
      <c r="E181" s="2" t="s">
        <v>12</v>
      </c>
      <c r="F181" t="s">
        <v>15</v>
      </c>
      <c r="G181" t="s">
        <v>24</v>
      </c>
      <c r="H181" t="s">
        <v>71</v>
      </c>
      <c r="I181" t="s">
        <v>83</v>
      </c>
      <c r="N181" s="2" t="s">
        <v>18</v>
      </c>
      <c r="O181" s="2" t="s">
        <v>19</v>
      </c>
      <c r="P181" s="2">
        <v>130000000</v>
      </c>
      <c r="Q181" s="2">
        <v>7.4</v>
      </c>
      <c r="R181" s="2" t="s">
        <v>438</v>
      </c>
      <c r="S181" s="2"/>
      <c r="U181" s="2" t="s">
        <v>258</v>
      </c>
      <c r="V181">
        <f ca="1" t="shared" si="3"/>
        <v>7.56666666666667</v>
      </c>
      <c r="AC181" s="2"/>
      <c r="AD181" t="str">
        <f>IFERROR(__xludf.DUMMYFUNCTION("""COMPUTED_VALUE"""),"X-Men: Apocalypse ")</f>
        <v>X-Men: Apocalypse </v>
      </c>
      <c r="AE181">
        <f t="shared" si="4"/>
        <v>154984943</v>
      </c>
    </row>
    <row r="182" customHeight="1" spans="1:31">
      <c r="A182" s="2" t="s">
        <v>270</v>
      </c>
      <c r="B182" s="2">
        <v>146</v>
      </c>
      <c r="C182" s="2">
        <v>424645577</v>
      </c>
      <c r="D182" s="2" t="s">
        <v>439</v>
      </c>
      <c r="E182" s="2" t="s">
        <v>13</v>
      </c>
      <c r="F182" t="s">
        <v>35</v>
      </c>
      <c r="G182" t="s">
        <v>40</v>
      </c>
      <c r="H182" t="s">
        <v>23</v>
      </c>
      <c r="I182" t="s">
        <v>24</v>
      </c>
      <c r="N182" s="2" t="s">
        <v>18</v>
      </c>
      <c r="O182" s="2" t="s">
        <v>19</v>
      </c>
      <c r="P182" s="2">
        <v>130000000</v>
      </c>
      <c r="Q182" s="2">
        <v>7.6</v>
      </c>
      <c r="R182" s="2" t="s">
        <v>440</v>
      </c>
      <c r="S182" s="2"/>
      <c r="U182" s="2" t="s">
        <v>265</v>
      </c>
      <c r="V182">
        <f ca="1" t="shared" si="3"/>
        <v>7.07</v>
      </c>
      <c r="AC182" s="2"/>
      <c r="AD182" t="str">
        <f>IFERROR(__xludf.DUMMYFUNCTION("""COMPUTED_VALUE"""),"The Dark Knight ")</f>
        <v>The Dark Knight </v>
      </c>
      <c r="AE182">
        <f t="shared" si="4"/>
        <v>533315909</v>
      </c>
    </row>
    <row r="183" customHeight="1" spans="1:31">
      <c r="A183" s="2" t="s">
        <v>441</v>
      </c>
      <c r="B183" s="2">
        <v>94</v>
      </c>
      <c r="C183" s="2">
        <v>177343675</v>
      </c>
      <c r="D183" s="2" t="s">
        <v>442</v>
      </c>
      <c r="E183" s="2" t="s">
        <v>13</v>
      </c>
      <c r="F183" t="s">
        <v>15</v>
      </c>
      <c r="G183" t="s">
        <v>14</v>
      </c>
      <c r="H183" t="s">
        <v>28</v>
      </c>
      <c r="I183" t="s">
        <v>29</v>
      </c>
      <c r="N183" s="2" t="s">
        <v>18</v>
      </c>
      <c r="O183" s="2" t="s">
        <v>19</v>
      </c>
      <c r="P183" s="2">
        <v>135000000</v>
      </c>
      <c r="Q183" s="2">
        <v>6.7</v>
      </c>
      <c r="R183" s="2" t="s">
        <v>443</v>
      </c>
      <c r="S183" s="2"/>
      <c r="U183" s="2" t="s">
        <v>268</v>
      </c>
      <c r="V183">
        <f ca="1" t="shared" ref="V183:V246" si="5">AVERAGEIF(A67:A3852,U183,Q68:Q3852)</f>
        <v>6.575</v>
      </c>
      <c r="AC183" s="2"/>
      <c r="AD183" t="str">
        <f>IFERROR(__xludf.DUMMYFUNCTION("""COMPUTED_VALUE"""),"Up ")</f>
        <v>Up </v>
      </c>
      <c r="AE183">
        <f t="shared" ref="AE183:AE246" si="6">C67-B67</f>
        <v>292979460</v>
      </c>
    </row>
    <row r="184" customHeight="1" spans="1:31">
      <c r="A184" s="2" t="s">
        <v>166</v>
      </c>
      <c r="B184" s="2">
        <v>116</v>
      </c>
      <c r="C184" s="2">
        <v>234277056</v>
      </c>
      <c r="D184" s="2" t="s">
        <v>439</v>
      </c>
      <c r="E184" s="2" t="s">
        <v>13</v>
      </c>
      <c r="F184" t="s">
        <v>40</v>
      </c>
      <c r="G184" t="s">
        <v>24</v>
      </c>
      <c r="H184" t="s">
        <v>23</v>
      </c>
      <c r="I184" t="s">
        <v>17</v>
      </c>
      <c r="N184" s="2" t="s">
        <v>18</v>
      </c>
      <c r="O184" s="2" t="s">
        <v>19</v>
      </c>
      <c r="P184" s="2">
        <v>132000000</v>
      </c>
      <c r="Q184" s="2">
        <v>6.5</v>
      </c>
      <c r="R184" s="2" t="s">
        <v>444</v>
      </c>
      <c r="S184" s="2"/>
      <c r="U184" s="2" t="s">
        <v>270</v>
      </c>
      <c r="V184">
        <f ca="1" t="shared" si="5"/>
        <v>6.74</v>
      </c>
      <c r="AC184" s="2"/>
      <c r="AD184" t="str">
        <f>IFERROR(__xludf.DUMMYFUNCTION("""COMPUTED_VALUE"""),"Monsters vs. Aliens ")</f>
        <v>Monsters vs. Aliens </v>
      </c>
      <c r="AE184">
        <f t="shared" si="6"/>
        <v>198332034</v>
      </c>
    </row>
    <row r="185" customHeight="1" spans="1:31">
      <c r="A185" s="2" t="s">
        <v>126</v>
      </c>
      <c r="B185" s="2">
        <v>147</v>
      </c>
      <c r="C185" s="2">
        <v>138396624</v>
      </c>
      <c r="D185" s="2" t="s">
        <v>174</v>
      </c>
      <c r="E185" s="2" t="s">
        <v>12</v>
      </c>
      <c r="F185" t="s">
        <v>13</v>
      </c>
      <c r="G185" t="s">
        <v>56</v>
      </c>
      <c r="H185" t="s">
        <v>24</v>
      </c>
      <c r="I185" t="s">
        <v>14</v>
      </c>
      <c r="N185" s="2" t="s">
        <v>18</v>
      </c>
      <c r="O185" s="2" t="s">
        <v>19</v>
      </c>
      <c r="P185" s="2">
        <v>130000000</v>
      </c>
      <c r="Q185" s="2">
        <v>6.6</v>
      </c>
      <c r="R185" s="2" t="s">
        <v>445</v>
      </c>
      <c r="S185" s="2"/>
      <c r="U185" s="2" t="s">
        <v>273</v>
      </c>
      <c r="V185">
        <f ca="1" t="shared" si="5"/>
        <v>5.7</v>
      </c>
      <c r="AC185" s="2"/>
      <c r="AD185" t="str">
        <f>IFERROR(__xludf.DUMMYFUNCTION("""COMPUTED_VALUE"""),"Iron Man ")</f>
        <v>Iron Man </v>
      </c>
      <c r="AE185">
        <f t="shared" si="6"/>
        <v>318298054</v>
      </c>
    </row>
    <row r="186" customHeight="1" spans="1:31">
      <c r="A186" s="2" t="s">
        <v>280</v>
      </c>
      <c r="B186" s="2">
        <v>90</v>
      </c>
      <c r="C186" s="2">
        <v>149234747</v>
      </c>
      <c r="D186" s="2" t="s">
        <v>392</v>
      </c>
      <c r="E186" s="2" t="s">
        <v>12</v>
      </c>
      <c r="F186" t="s">
        <v>56</v>
      </c>
      <c r="G186" t="s">
        <v>14</v>
      </c>
      <c r="H186" t="s">
        <v>28</v>
      </c>
      <c r="I186" t="s">
        <v>24</v>
      </c>
      <c r="N186" s="2" t="s">
        <v>18</v>
      </c>
      <c r="O186" s="2" t="s">
        <v>19</v>
      </c>
      <c r="P186" s="2">
        <v>130000000</v>
      </c>
      <c r="Q186" s="2">
        <v>6.7</v>
      </c>
      <c r="R186" s="2" t="s">
        <v>446</v>
      </c>
      <c r="S186" s="2"/>
      <c r="U186" s="2" t="s">
        <v>275</v>
      </c>
      <c r="V186">
        <f ca="1" t="shared" si="5"/>
        <v>6.51666666666667</v>
      </c>
      <c r="AC186" s="2"/>
      <c r="AD186" t="str">
        <f>IFERROR(__xludf.DUMMYFUNCTION("""COMPUTED_VALUE"""),"Hugo ")</f>
        <v>Hugo </v>
      </c>
      <c r="AE186">
        <f t="shared" si="6"/>
        <v>73819968</v>
      </c>
    </row>
    <row r="187" customHeight="1" spans="1:31">
      <c r="A187" s="2" t="s">
        <v>447</v>
      </c>
      <c r="B187" s="2">
        <v>101</v>
      </c>
      <c r="C187" s="2">
        <v>118311368</v>
      </c>
      <c r="D187" s="2" t="s">
        <v>448</v>
      </c>
      <c r="E187" s="2" t="s">
        <v>12</v>
      </c>
      <c r="F187" t="s">
        <v>13</v>
      </c>
      <c r="G187" t="s">
        <v>55</v>
      </c>
      <c r="H187" t="s">
        <v>15</v>
      </c>
      <c r="I187" t="s">
        <v>71</v>
      </c>
      <c r="N187" s="2" t="s">
        <v>18</v>
      </c>
      <c r="O187" s="2" t="s">
        <v>19</v>
      </c>
      <c r="P187" s="2">
        <v>110000000</v>
      </c>
      <c r="Q187" s="2">
        <v>6.4</v>
      </c>
      <c r="R187" s="2" t="s">
        <v>449</v>
      </c>
      <c r="S187" s="2"/>
      <c r="U187" s="2" t="s">
        <v>278</v>
      </c>
      <c r="V187">
        <f ca="1" t="shared" si="5"/>
        <v>5.8</v>
      </c>
      <c r="AC187" s="2"/>
      <c r="AD187" t="str">
        <f>IFERROR(__xludf.DUMMYFUNCTION("""COMPUTED_VALUE"""),"Wild Wild West ")</f>
        <v>Wild Wild West </v>
      </c>
      <c r="AE187">
        <f t="shared" si="6"/>
        <v>113745302</v>
      </c>
    </row>
    <row r="188" customHeight="1" spans="1:31">
      <c r="A188" s="2" t="s">
        <v>450</v>
      </c>
      <c r="B188" s="2">
        <v>138</v>
      </c>
      <c r="C188" s="2">
        <v>101160529</v>
      </c>
      <c r="D188" s="2" t="s">
        <v>388</v>
      </c>
      <c r="E188" s="2" t="s">
        <v>12</v>
      </c>
      <c r="F188" t="s">
        <v>13</v>
      </c>
      <c r="G188" t="s">
        <v>24</v>
      </c>
      <c r="H188" t="s">
        <v>40</v>
      </c>
      <c r="I188" t="s">
        <v>29</v>
      </c>
      <c r="N188" s="2" t="s">
        <v>18</v>
      </c>
      <c r="O188" s="2" t="s">
        <v>19</v>
      </c>
      <c r="P188" s="2">
        <v>125000000</v>
      </c>
      <c r="Q188" s="2">
        <v>5.8</v>
      </c>
      <c r="R188" s="2" t="s">
        <v>451</v>
      </c>
      <c r="S188" s="2"/>
      <c r="U188" s="2" t="s">
        <v>280</v>
      </c>
      <c r="V188">
        <f ca="1" t="shared" si="5"/>
        <v>6.85</v>
      </c>
      <c r="AC188" s="2"/>
      <c r="AD188" t="str">
        <f>IFERROR(__xludf.DUMMYFUNCTION("""COMPUTED_VALUE"""),"The Mummy: Tomb of the Dragon Emperor ")</f>
        <v>The Mummy: Tomb of the Dragon Emperor </v>
      </c>
      <c r="AE188">
        <f t="shared" si="6"/>
        <v>102176053</v>
      </c>
    </row>
    <row r="189" customHeight="1" spans="1:31">
      <c r="A189" s="2" t="s">
        <v>166</v>
      </c>
      <c r="B189" s="2">
        <v>107</v>
      </c>
      <c r="C189" s="2">
        <v>77564037</v>
      </c>
      <c r="D189" s="2" t="s">
        <v>452</v>
      </c>
      <c r="E189" s="2" t="s">
        <v>12</v>
      </c>
      <c r="F189" t="s">
        <v>23</v>
      </c>
      <c r="G189" t="s">
        <v>14</v>
      </c>
      <c r="H189" t="s">
        <v>14</v>
      </c>
      <c r="I189" t="s">
        <v>15</v>
      </c>
      <c r="N189" s="2" t="s">
        <v>18</v>
      </c>
      <c r="O189" s="2" t="s">
        <v>19</v>
      </c>
      <c r="P189" s="2">
        <v>135000000</v>
      </c>
      <c r="Q189" s="2">
        <v>7.4</v>
      </c>
      <c r="R189" s="2" t="s">
        <v>453</v>
      </c>
      <c r="S189" s="2"/>
      <c r="U189" s="2" t="s">
        <v>282</v>
      </c>
      <c r="V189">
        <f ca="1" t="shared" si="5"/>
        <v>6.86666666666667</v>
      </c>
      <c r="AC189" s="2"/>
      <c r="AD189" t="str">
        <f>IFERROR(__xludf.DUMMYFUNCTION("""COMPUTED_VALUE"""),"Suicide Squad ")</f>
        <v>Suicide Squad </v>
      </c>
      <c r="AE189">
        <f t="shared" si="6"/>
        <v>161087060</v>
      </c>
    </row>
    <row r="190" customHeight="1" spans="1:31">
      <c r="A190" s="2" t="s">
        <v>454</v>
      </c>
      <c r="B190" s="2">
        <v>142</v>
      </c>
      <c r="C190" s="2">
        <v>249358727</v>
      </c>
      <c r="D190" s="2" t="s">
        <v>62</v>
      </c>
      <c r="E190" s="2" t="s">
        <v>13</v>
      </c>
      <c r="F190" t="s">
        <v>30</v>
      </c>
      <c r="G190" t="s">
        <v>15</v>
      </c>
      <c r="H190" t="s">
        <v>56</v>
      </c>
      <c r="I190" t="s">
        <v>14</v>
      </c>
      <c r="N190" s="2" t="s">
        <v>18</v>
      </c>
      <c r="O190" s="2" t="s">
        <v>31</v>
      </c>
      <c r="P190" s="2">
        <v>130000000</v>
      </c>
      <c r="Q190" s="2">
        <v>7.8</v>
      </c>
      <c r="R190" s="2" t="s">
        <v>455</v>
      </c>
      <c r="S190" s="2"/>
      <c r="U190" s="2" t="s">
        <v>284</v>
      </c>
      <c r="V190">
        <f ca="1" t="shared" si="5"/>
        <v>7.2</v>
      </c>
      <c r="AC190" s="2"/>
      <c r="AD190" t="str">
        <f>IFERROR(__xludf.DUMMYFUNCTION("""COMPUTED_VALUE"""),"Evan Almighty ")</f>
        <v>Evan Almighty </v>
      </c>
      <c r="AE190">
        <f t="shared" si="6"/>
        <v>100289594</v>
      </c>
    </row>
    <row r="191" customHeight="1" spans="1:31">
      <c r="A191" s="2" t="s">
        <v>158</v>
      </c>
      <c r="B191" s="2">
        <v>165</v>
      </c>
      <c r="C191" s="2">
        <v>49551662</v>
      </c>
      <c r="D191" s="2" t="s">
        <v>456</v>
      </c>
      <c r="E191" s="2" t="s">
        <v>13</v>
      </c>
      <c r="F191" t="s">
        <v>13</v>
      </c>
      <c r="G191" t="s">
        <v>24</v>
      </c>
      <c r="H191" t="s">
        <v>14</v>
      </c>
      <c r="I191" t="s">
        <v>24</v>
      </c>
      <c r="N191" s="2" t="s">
        <v>18</v>
      </c>
      <c r="O191" s="2" t="s">
        <v>159</v>
      </c>
      <c r="P191" s="2">
        <v>130000000</v>
      </c>
      <c r="Q191" s="2">
        <v>6.6</v>
      </c>
      <c r="R191" s="2" t="s">
        <v>457</v>
      </c>
      <c r="S191" s="2"/>
      <c r="U191" s="2" t="s">
        <v>286</v>
      </c>
      <c r="V191">
        <f ca="1" t="shared" si="5"/>
        <v>5.64</v>
      </c>
      <c r="AC191" s="2"/>
      <c r="AD191" t="str">
        <f>IFERROR(__xludf.DUMMYFUNCTION("""COMPUTED_VALUE"""),"Edge of Tomorrow ")</f>
        <v>Edge of Tomorrow </v>
      </c>
      <c r="AE191">
        <f t="shared" si="6"/>
        <v>100189388</v>
      </c>
    </row>
    <row r="192" customHeight="1" spans="1:31">
      <c r="A192" s="2" t="s">
        <v>352</v>
      </c>
      <c r="B192" s="2">
        <v>100</v>
      </c>
      <c r="C192" s="2">
        <v>60522097</v>
      </c>
      <c r="D192" s="2" t="s">
        <v>38</v>
      </c>
      <c r="E192" s="2" t="s">
        <v>12</v>
      </c>
      <c r="F192" t="s">
        <v>35</v>
      </c>
      <c r="G192" t="s">
        <v>30</v>
      </c>
      <c r="H192" t="s">
        <v>24</v>
      </c>
      <c r="I192" t="s">
        <v>14</v>
      </c>
      <c r="N192" s="2" t="s">
        <v>18</v>
      </c>
      <c r="O192" s="2" t="s">
        <v>19</v>
      </c>
      <c r="P192" s="2">
        <v>130000000</v>
      </c>
      <c r="Q192" s="2">
        <v>4.9</v>
      </c>
      <c r="R192" s="2" t="s">
        <v>458</v>
      </c>
      <c r="S192" s="2"/>
      <c r="U192" s="2" t="s">
        <v>291</v>
      </c>
      <c r="V192">
        <f ca="1" t="shared" si="5"/>
        <v>6.74615384615385</v>
      </c>
      <c r="AC192" s="2"/>
      <c r="AD192" t="str">
        <f>IFERROR(__xludf.DUMMYFUNCTION("""COMPUTED_VALUE"""),"Waterworld ")</f>
        <v>Waterworld </v>
      </c>
      <c r="AE192">
        <f t="shared" si="6"/>
        <v>88246044</v>
      </c>
    </row>
    <row r="193" customHeight="1" spans="1:31">
      <c r="A193" s="2" t="s">
        <v>459</v>
      </c>
      <c r="B193" s="2">
        <v>82</v>
      </c>
      <c r="C193" s="2">
        <v>137748063</v>
      </c>
      <c r="D193" s="2" t="s">
        <v>460</v>
      </c>
      <c r="E193" s="2" t="s">
        <v>13</v>
      </c>
      <c r="F193" t="s">
        <v>40</v>
      </c>
      <c r="G193" t="s">
        <v>15</v>
      </c>
      <c r="H193" t="s">
        <v>28</v>
      </c>
      <c r="I193" t="s">
        <v>24</v>
      </c>
      <c r="N193" s="2" t="s">
        <v>18</v>
      </c>
      <c r="O193" s="2" t="s">
        <v>19</v>
      </c>
      <c r="P193" s="2">
        <v>127500000</v>
      </c>
      <c r="Q193" s="2">
        <v>6.5</v>
      </c>
      <c r="R193" s="2" t="s">
        <v>461</v>
      </c>
      <c r="S193" s="2"/>
      <c r="U193" s="2" t="s">
        <v>312</v>
      </c>
      <c r="V193">
        <f ca="1" t="shared" si="5"/>
        <v>6.7</v>
      </c>
      <c r="AC193" s="2"/>
      <c r="AD193" t="str">
        <f>IFERROR(__xludf.DUMMYFUNCTION("""COMPUTED_VALUE"""),"G.I. Joe: The Rise of Cobra ")</f>
        <v>G.I. Joe: The Rise of Cobra </v>
      </c>
      <c r="AE193">
        <f t="shared" si="6"/>
        <v>150167512</v>
      </c>
    </row>
    <row r="194" customHeight="1" spans="1:31">
      <c r="A194" s="2" t="s">
        <v>315</v>
      </c>
      <c r="B194" s="2">
        <v>98</v>
      </c>
      <c r="C194" s="2">
        <v>113733726</v>
      </c>
      <c r="D194" s="2" t="s">
        <v>301</v>
      </c>
      <c r="E194" s="2" t="s">
        <v>13</v>
      </c>
      <c r="F194" t="s">
        <v>35</v>
      </c>
      <c r="G194" t="s">
        <v>14</v>
      </c>
      <c r="H194" t="s">
        <v>23</v>
      </c>
      <c r="I194" t="s">
        <v>15</v>
      </c>
      <c r="N194" s="2" t="s">
        <v>18</v>
      </c>
      <c r="O194" s="2" t="s">
        <v>19</v>
      </c>
      <c r="P194" s="2">
        <v>127000000</v>
      </c>
      <c r="Q194" s="2">
        <v>6.2</v>
      </c>
      <c r="R194" s="2" t="s">
        <v>462</v>
      </c>
      <c r="S194" s="2"/>
      <c r="U194" s="2" t="s">
        <v>315</v>
      </c>
      <c r="V194">
        <f ca="1" t="shared" si="5"/>
        <v>6.56363636363636</v>
      </c>
      <c r="AC194" s="2"/>
      <c r="AD194" t="str">
        <f>IFERROR(__xludf.DUMMYFUNCTION("""COMPUTED_VALUE"""),"Inside Out ")</f>
        <v>Inside Out </v>
      </c>
      <c r="AE194">
        <f t="shared" si="6"/>
        <v>356454272</v>
      </c>
    </row>
    <row r="195" customHeight="1" spans="1:31">
      <c r="A195" s="2" t="s">
        <v>463</v>
      </c>
      <c r="B195" s="2">
        <v>95</v>
      </c>
      <c r="C195" s="2">
        <v>148337537</v>
      </c>
      <c r="D195" s="2" t="s">
        <v>464</v>
      </c>
      <c r="E195" s="2" t="s">
        <v>12</v>
      </c>
      <c r="F195" t="s">
        <v>23</v>
      </c>
      <c r="G195" t="s">
        <v>24</v>
      </c>
      <c r="H195" t="s">
        <v>23</v>
      </c>
      <c r="I195" t="s">
        <v>29</v>
      </c>
      <c r="N195" s="2" t="s">
        <v>18</v>
      </c>
      <c r="O195" s="2" t="s">
        <v>19</v>
      </c>
      <c r="P195" s="2">
        <v>130000000</v>
      </c>
      <c r="Q195" s="2">
        <v>7.3</v>
      </c>
      <c r="R195" s="2" t="s">
        <v>465</v>
      </c>
      <c r="S195" s="2"/>
      <c r="U195" s="2" t="s">
        <v>317</v>
      </c>
      <c r="V195">
        <f ca="1" t="shared" si="5"/>
        <v>7.225</v>
      </c>
      <c r="AC195" s="2"/>
      <c r="AD195" t="str">
        <f>IFERROR(__xludf.DUMMYFUNCTION("""COMPUTED_VALUE"""),"The Jungle Book ")</f>
        <v>The Jungle Book </v>
      </c>
      <c r="AE195">
        <f t="shared" si="6"/>
        <v>362645035</v>
      </c>
    </row>
    <row r="196" customHeight="1" spans="1:31">
      <c r="A196" s="2" t="s">
        <v>466</v>
      </c>
      <c r="B196" s="2">
        <v>159</v>
      </c>
      <c r="C196" s="2">
        <v>317557891</v>
      </c>
      <c r="D196" s="2" t="s">
        <v>99</v>
      </c>
      <c r="E196" s="2" t="s">
        <v>13</v>
      </c>
      <c r="F196" t="s">
        <v>40</v>
      </c>
      <c r="G196" t="s">
        <v>40</v>
      </c>
      <c r="H196" t="s">
        <v>29</v>
      </c>
      <c r="I196" t="s">
        <v>28</v>
      </c>
      <c r="N196" s="2" t="s">
        <v>18</v>
      </c>
      <c r="O196" s="2" t="s">
        <v>31</v>
      </c>
      <c r="P196" s="2">
        <v>125000000</v>
      </c>
      <c r="Q196" s="2">
        <v>7.5</v>
      </c>
      <c r="R196" s="2" t="s">
        <v>467</v>
      </c>
      <c r="S196" s="2"/>
      <c r="U196" s="2" t="s">
        <v>320</v>
      </c>
      <c r="V196">
        <f ca="1" t="shared" si="5"/>
        <v>7.2</v>
      </c>
      <c r="AC196" s="2"/>
      <c r="AD196" t="str">
        <f>IFERROR(__xludf.DUMMYFUNCTION("""COMPUTED_VALUE"""),"Iron Man 2 ")</f>
        <v>Iron Man 2 </v>
      </c>
      <c r="AE196">
        <f t="shared" si="6"/>
        <v>312057309</v>
      </c>
    </row>
    <row r="197" customHeight="1" spans="1:31">
      <c r="A197" s="2" t="s">
        <v>468</v>
      </c>
      <c r="B197" s="2">
        <v>96</v>
      </c>
      <c r="C197" s="2">
        <v>33592415</v>
      </c>
      <c r="D197" s="2" t="s">
        <v>469</v>
      </c>
      <c r="E197" s="2" t="s">
        <v>12</v>
      </c>
      <c r="F197" t="s">
        <v>13</v>
      </c>
      <c r="G197" t="s">
        <v>15</v>
      </c>
      <c r="H197" t="s">
        <v>15</v>
      </c>
      <c r="I197" t="s">
        <v>24</v>
      </c>
      <c r="N197" s="2" t="s">
        <v>18</v>
      </c>
      <c r="O197" s="2" t="s">
        <v>19</v>
      </c>
      <c r="P197" s="2">
        <v>130000000</v>
      </c>
      <c r="Q197" s="2">
        <v>5.6</v>
      </c>
      <c r="R197" s="2" t="s">
        <v>470</v>
      </c>
      <c r="S197" s="2"/>
      <c r="U197" s="2" t="s">
        <v>325</v>
      </c>
      <c r="V197">
        <f ca="1" t="shared" si="5"/>
        <v>6.81666666666667</v>
      </c>
      <c r="AC197" s="2"/>
      <c r="AD197" t="str">
        <f>IFERROR(__xludf.DUMMYFUNCTION("""COMPUTED_VALUE"""),"Snow White and the Huntsman ")</f>
        <v>Snow White and the Huntsman </v>
      </c>
      <c r="AE197">
        <f t="shared" si="6"/>
        <v>155111683</v>
      </c>
    </row>
    <row r="198" customHeight="1" spans="1:31">
      <c r="A198" s="2" t="s">
        <v>21</v>
      </c>
      <c r="B198" s="2">
        <v>143</v>
      </c>
      <c r="C198" s="2">
        <v>305388685</v>
      </c>
      <c r="D198" s="2" t="s">
        <v>22</v>
      </c>
      <c r="E198" s="2" t="s">
        <v>12</v>
      </c>
      <c r="F198" t="s">
        <v>15</v>
      </c>
      <c r="G198" t="s">
        <v>40</v>
      </c>
      <c r="H198" t="s">
        <v>72</v>
      </c>
      <c r="I198" t="s">
        <v>23</v>
      </c>
      <c r="N198" s="2" t="s">
        <v>18</v>
      </c>
      <c r="O198" s="2" t="s">
        <v>19</v>
      </c>
      <c r="P198" s="2">
        <v>140000000</v>
      </c>
      <c r="Q198" s="2">
        <v>8.1</v>
      </c>
      <c r="R198" s="2" t="s">
        <v>471</v>
      </c>
      <c r="S198" s="2"/>
      <c r="U198" s="2" t="s">
        <v>327</v>
      </c>
      <c r="V198">
        <f ca="1" t="shared" si="5"/>
        <v>6.4</v>
      </c>
      <c r="AC198" s="2"/>
      <c r="AD198" t="str">
        <f>IFERROR(__xludf.DUMMYFUNCTION("""COMPUTED_VALUE"""),"Maleficent ")</f>
        <v>Maleficent </v>
      </c>
      <c r="AE198">
        <f t="shared" si="6"/>
        <v>241407231</v>
      </c>
    </row>
    <row r="199" customHeight="1" spans="1:31">
      <c r="A199" s="2" t="s">
        <v>270</v>
      </c>
      <c r="B199" s="2">
        <v>123</v>
      </c>
      <c r="C199" s="2">
        <v>337103873</v>
      </c>
      <c r="D199" s="2" t="s">
        <v>439</v>
      </c>
      <c r="E199" s="2" t="s">
        <v>13</v>
      </c>
      <c r="F199" t="s">
        <v>24</v>
      </c>
      <c r="G199" t="s">
        <v>15</v>
      </c>
      <c r="H199" t="s">
        <v>24</v>
      </c>
      <c r="I199" t="s">
        <v>15</v>
      </c>
      <c r="N199" s="2" t="s">
        <v>18</v>
      </c>
      <c r="O199" s="2" t="s">
        <v>19</v>
      </c>
      <c r="P199" s="2">
        <v>125000000</v>
      </c>
      <c r="Q199" s="2">
        <v>6.7</v>
      </c>
      <c r="R199" s="2" t="s">
        <v>472</v>
      </c>
      <c r="S199" s="2"/>
      <c r="U199" s="2" t="s">
        <v>330</v>
      </c>
      <c r="V199">
        <f ca="1" t="shared" si="5"/>
        <v>6.73333333333333</v>
      </c>
      <c r="AC199" s="2"/>
      <c r="AD199" t="str">
        <f>IFERROR(__xludf.DUMMYFUNCTION("""COMPUTED_VALUE"""),"Dawn of the Planet of the Apes ")</f>
        <v>Dawn of the Planet of the Apes </v>
      </c>
      <c r="AE199">
        <f t="shared" si="6"/>
        <v>208543665</v>
      </c>
    </row>
    <row r="200" customHeight="1" spans="1:31">
      <c r="A200" s="2" t="s">
        <v>327</v>
      </c>
      <c r="B200" s="2">
        <v>174</v>
      </c>
      <c r="C200" s="2">
        <v>217536138</v>
      </c>
      <c r="D200" s="2" t="s">
        <v>328</v>
      </c>
      <c r="E200" s="2" t="s">
        <v>28</v>
      </c>
      <c r="F200" t="s">
        <v>35</v>
      </c>
      <c r="G200" t="s">
        <v>15</v>
      </c>
      <c r="H200" t="s">
        <v>24</v>
      </c>
      <c r="I200" t="s">
        <v>24</v>
      </c>
      <c r="N200" s="2" t="s">
        <v>18</v>
      </c>
      <c r="O200" s="2" t="s">
        <v>19</v>
      </c>
      <c r="P200" s="2">
        <v>125000000</v>
      </c>
      <c r="Q200" s="2">
        <v>6.6</v>
      </c>
      <c r="R200" s="2" t="s">
        <v>473</v>
      </c>
      <c r="S200" s="2"/>
      <c r="U200" s="2" t="s">
        <v>332</v>
      </c>
      <c r="V200">
        <f ca="1" t="shared" si="5"/>
        <v>5.1</v>
      </c>
      <c r="AC200" s="2"/>
      <c r="AD200" t="str">
        <f>IFERROR(__xludf.DUMMYFUNCTION("""COMPUTED_VALUE"""),"47 Ronin ")</f>
        <v>47 Ronin </v>
      </c>
      <c r="AE200">
        <f t="shared" si="6"/>
        <v>38297177</v>
      </c>
    </row>
    <row r="201" customHeight="1" spans="1:31">
      <c r="A201" s="2" t="s">
        <v>474</v>
      </c>
      <c r="B201" s="2">
        <v>101</v>
      </c>
      <c r="C201" s="2">
        <v>131536019</v>
      </c>
      <c r="D201" s="2" t="s">
        <v>475</v>
      </c>
      <c r="E201" s="2" t="s">
        <v>13</v>
      </c>
      <c r="F201" t="s">
        <v>13</v>
      </c>
      <c r="G201" t="s">
        <v>15</v>
      </c>
      <c r="H201" t="s">
        <v>56</v>
      </c>
      <c r="I201" t="s">
        <v>15</v>
      </c>
      <c r="N201" s="2" t="s">
        <v>18</v>
      </c>
      <c r="O201" s="2" t="s">
        <v>19</v>
      </c>
      <c r="P201" s="2">
        <v>103000000</v>
      </c>
      <c r="Q201" s="2">
        <v>6.4</v>
      </c>
      <c r="R201" s="2" t="s">
        <v>476</v>
      </c>
      <c r="S201" s="2"/>
      <c r="U201" s="2" t="s">
        <v>335</v>
      </c>
      <c r="V201">
        <f ca="1" t="shared" si="5"/>
        <v>5.8</v>
      </c>
      <c r="AC201" s="2"/>
      <c r="AD201" t="str">
        <f>IFERROR(__xludf.DUMMYFUNCTION("""COMPUTED_VALUE"""),"Captain America: The Winter Soldier ")</f>
        <v>Captain America: The Winter Soldier </v>
      </c>
      <c r="AE201">
        <f t="shared" si="6"/>
        <v>259746822</v>
      </c>
    </row>
    <row r="202" customHeight="1" spans="1:31">
      <c r="A202" s="2" t="s">
        <v>67</v>
      </c>
      <c r="B202" s="2">
        <v>134</v>
      </c>
      <c r="C202" s="2">
        <v>214948780</v>
      </c>
      <c r="D202" s="2" t="s">
        <v>120</v>
      </c>
      <c r="E202" s="2" t="s">
        <v>12</v>
      </c>
      <c r="F202" t="s">
        <v>56</v>
      </c>
      <c r="G202" t="s">
        <v>39</v>
      </c>
      <c r="H202" t="s">
        <v>15</v>
      </c>
      <c r="I202" t="s">
        <v>29</v>
      </c>
      <c r="N202" s="2" t="s">
        <v>18</v>
      </c>
      <c r="O202" s="2" t="s">
        <v>121</v>
      </c>
      <c r="P202" s="2">
        <v>110000000</v>
      </c>
      <c r="Q202" s="2">
        <v>7.5</v>
      </c>
      <c r="R202" s="2" t="s">
        <v>477</v>
      </c>
      <c r="S202" s="2"/>
      <c r="U202" s="2" t="s">
        <v>338</v>
      </c>
      <c r="V202">
        <f ca="1" t="shared" si="5"/>
        <v>6.84</v>
      </c>
      <c r="AC202" s="2"/>
      <c r="AD202" t="str">
        <f>IFERROR(__xludf.DUMMYFUNCTION("""COMPUTED_VALUE"""),"Shrek Forever After ")</f>
        <v>Shrek Forever After </v>
      </c>
      <c r="AE202">
        <f t="shared" si="6"/>
        <v>238371894</v>
      </c>
    </row>
    <row r="203" customHeight="1" spans="1:31">
      <c r="A203" s="2" t="s">
        <v>170</v>
      </c>
      <c r="B203" s="2">
        <v>132</v>
      </c>
      <c r="C203" s="2">
        <v>209805005</v>
      </c>
      <c r="D203" s="2" t="s">
        <v>150</v>
      </c>
      <c r="E203" s="2" t="s">
        <v>12</v>
      </c>
      <c r="F203" t="s">
        <v>13</v>
      </c>
      <c r="G203" t="s">
        <v>17</v>
      </c>
      <c r="H203" t="s">
        <v>23</v>
      </c>
      <c r="I203" t="s">
        <v>29</v>
      </c>
      <c r="N203" s="2" t="s">
        <v>18</v>
      </c>
      <c r="O203" s="2" t="s">
        <v>19</v>
      </c>
      <c r="P203" s="2">
        <v>125000000</v>
      </c>
      <c r="Q203" s="2">
        <v>7.3</v>
      </c>
      <c r="R203" s="2" t="s">
        <v>478</v>
      </c>
      <c r="S203" s="2"/>
      <c r="U203" s="2" t="s">
        <v>342</v>
      </c>
      <c r="V203">
        <f ca="1" t="shared" si="5"/>
        <v>6.2</v>
      </c>
      <c r="AC203" s="2"/>
      <c r="AD203" t="str">
        <f>IFERROR(__xludf.DUMMYFUNCTION("""COMPUTED_VALUE"""),"Tomorrowland ")</f>
        <v>Tomorrowland </v>
      </c>
      <c r="AE203">
        <f t="shared" si="6"/>
        <v>93417735</v>
      </c>
    </row>
    <row r="204" customHeight="1" spans="1:31">
      <c r="A204" s="2" t="s">
        <v>479</v>
      </c>
      <c r="B204" s="2">
        <v>129</v>
      </c>
      <c r="C204" s="2">
        <v>186830669</v>
      </c>
      <c r="D204" s="2" t="s">
        <v>480</v>
      </c>
      <c r="E204" s="2" t="s">
        <v>12</v>
      </c>
      <c r="F204" t="s">
        <v>13</v>
      </c>
      <c r="G204" t="s">
        <v>17</v>
      </c>
      <c r="H204" t="s">
        <v>24</v>
      </c>
      <c r="I204" t="s">
        <v>17</v>
      </c>
      <c r="N204" s="2" t="s">
        <v>18</v>
      </c>
      <c r="O204" s="2" t="s">
        <v>19</v>
      </c>
      <c r="P204" s="2">
        <v>125000000</v>
      </c>
      <c r="Q204" s="2">
        <v>7.5</v>
      </c>
      <c r="R204" s="2" t="s">
        <v>481</v>
      </c>
      <c r="S204" s="2"/>
      <c r="U204" s="2" t="s">
        <v>345</v>
      </c>
      <c r="V204">
        <f ca="1" t="shared" si="5"/>
        <v>5.9</v>
      </c>
      <c r="AC204" s="2"/>
      <c r="AD204" t="str">
        <f>IFERROR(__xludf.DUMMYFUNCTION("""COMPUTED_VALUE"""),"Big Hero 6 ")</f>
        <v>Big Hero 6 </v>
      </c>
      <c r="AE204">
        <f t="shared" si="6"/>
        <v>222487609</v>
      </c>
    </row>
    <row r="205" customHeight="1" spans="1:31">
      <c r="A205" s="2" t="s">
        <v>421</v>
      </c>
      <c r="B205" s="2">
        <v>106</v>
      </c>
      <c r="C205" s="2">
        <v>163192114</v>
      </c>
      <c r="D205" s="2" t="s">
        <v>22</v>
      </c>
      <c r="E205" s="2" t="s">
        <v>12</v>
      </c>
      <c r="F205" t="s">
        <v>15</v>
      </c>
      <c r="G205" t="s">
        <v>28</v>
      </c>
      <c r="H205" t="s">
        <v>24</v>
      </c>
      <c r="I205" t="s">
        <v>15</v>
      </c>
      <c r="N205" s="2" t="s">
        <v>18</v>
      </c>
      <c r="O205" s="2" t="s">
        <v>19</v>
      </c>
      <c r="P205" s="2">
        <v>125000000</v>
      </c>
      <c r="Q205" s="2">
        <v>5.8</v>
      </c>
      <c r="R205" s="2" t="s">
        <v>482</v>
      </c>
      <c r="S205" s="2"/>
      <c r="U205" s="2" t="s">
        <v>348</v>
      </c>
      <c r="V205">
        <f ca="1" t="shared" si="5"/>
        <v>7.3</v>
      </c>
      <c r="AC205" s="2"/>
      <c r="AD205" t="str">
        <f>IFERROR(__xludf.DUMMYFUNCTION("""COMPUTED_VALUE"""),"Wreck-It Ralph ")</f>
        <v>Wreck-It Ralph </v>
      </c>
      <c r="AE205">
        <f t="shared" si="6"/>
        <v>189412576</v>
      </c>
    </row>
    <row r="206" customHeight="1" spans="1:31">
      <c r="A206" s="2" t="s">
        <v>483</v>
      </c>
      <c r="B206" s="2">
        <v>113</v>
      </c>
      <c r="C206" s="2">
        <v>119412921</v>
      </c>
      <c r="D206" s="2" t="s">
        <v>256</v>
      </c>
      <c r="E206" s="2" t="s">
        <v>12</v>
      </c>
      <c r="F206" t="s">
        <v>13</v>
      </c>
      <c r="G206" t="s">
        <v>14</v>
      </c>
      <c r="H206" t="s">
        <v>29</v>
      </c>
      <c r="I206" t="s">
        <v>24</v>
      </c>
      <c r="N206" s="2" t="s">
        <v>18</v>
      </c>
      <c r="O206" s="2" t="s">
        <v>19</v>
      </c>
      <c r="P206" s="2">
        <v>65000000</v>
      </c>
      <c r="Q206" s="2">
        <v>7.5</v>
      </c>
      <c r="R206" s="2" t="s">
        <v>484</v>
      </c>
      <c r="S206" s="2"/>
      <c r="U206" s="2" t="s">
        <v>350</v>
      </c>
      <c r="V206">
        <f ca="1" t="shared" si="5"/>
        <v>4.2</v>
      </c>
      <c r="AC206" s="2"/>
      <c r="AD206" t="str">
        <f>IFERROR(__xludf.DUMMYFUNCTION("""COMPUTED_VALUE"""),"The Polar Express ")</f>
        <v>The Polar Express </v>
      </c>
      <c r="AE206">
        <f t="shared" si="6"/>
        <v>665326</v>
      </c>
    </row>
    <row r="207" customHeight="1" spans="1:31">
      <c r="A207" s="2" t="s">
        <v>485</v>
      </c>
      <c r="B207" s="2">
        <v>102</v>
      </c>
      <c r="C207" s="2">
        <v>32694788</v>
      </c>
      <c r="D207" s="2" t="s">
        <v>486</v>
      </c>
      <c r="E207" s="2" t="s">
        <v>12</v>
      </c>
      <c r="F207" t="s">
        <v>13</v>
      </c>
      <c r="G207" t="s">
        <v>14</v>
      </c>
      <c r="H207" t="s">
        <v>16</v>
      </c>
      <c r="I207" t="s">
        <v>15</v>
      </c>
      <c r="N207" s="2" t="s">
        <v>18</v>
      </c>
      <c r="O207" s="2" t="s">
        <v>19</v>
      </c>
      <c r="P207" s="2">
        <v>85000000</v>
      </c>
      <c r="Q207" s="2">
        <v>6.6</v>
      </c>
      <c r="R207" s="2" t="s">
        <v>487</v>
      </c>
      <c r="S207" s="2"/>
      <c r="U207" s="2" t="s">
        <v>352</v>
      </c>
      <c r="V207">
        <f ca="1" t="shared" si="5"/>
        <v>6.48888888888889</v>
      </c>
      <c r="AC207" s="2"/>
      <c r="AD207" t="str">
        <f>IFERROR(__xludf.DUMMYFUNCTION("""COMPUTED_VALUE"""),"Independence Day: Resurgence ")</f>
        <v>Independence Day: Resurgence </v>
      </c>
      <c r="AE207">
        <f t="shared" si="6"/>
        <v>102315425</v>
      </c>
    </row>
    <row r="208" customHeight="1" spans="1:31">
      <c r="A208" s="2" t="s">
        <v>488</v>
      </c>
      <c r="B208" s="2">
        <v>135</v>
      </c>
      <c r="C208" s="2">
        <v>113165635</v>
      </c>
      <c r="D208" s="2" t="s">
        <v>27</v>
      </c>
      <c r="E208" s="2" t="s">
        <v>12</v>
      </c>
      <c r="F208" t="s">
        <v>23</v>
      </c>
      <c r="G208" t="s">
        <v>40</v>
      </c>
      <c r="H208" t="s">
        <v>24</v>
      </c>
      <c r="I208" t="s">
        <v>28</v>
      </c>
      <c r="N208" s="2" t="s">
        <v>18</v>
      </c>
      <c r="O208" s="2" t="s">
        <v>19</v>
      </c>
      <c r="P208" s="2">
        <v>125000000</v>
      </c>
      <c r="Q208" s="2">
        <v>6.7</v>
      </c>
      <c r="R208" s="2" t="s">
        <v>489</v>
      </c>
      <c r="S208" s="2"/>
      <c r="U208" s="2" t="s">
        <v>357</v>
      </c>
      <c r="V208">
        <f ca="1" t="shared" si="5"/>
        <v>6.15</v>
      </c>
      <c r="AC208" s="2"/>
      <c r="AD208" t="str">
        <f>IFERROR(__xludf.DUMMYFUNCTION("""COMPUTED_VALUE"""),"How to Train Your Dragon ")</f>
        <v>How to Train Your Dragon </v>
      </c>
      <c r="AE208">
        <f t="shared" si="6"/>
        <v>217387899</v>
      </c>
    </row>
    <row r="209" customHeight="1" spans="1:31">
      <c r="A209" s="2" t="s">
        <v>490</v>
      </c>
      <c r="B209" s="2">
        <v>125</v>
      </c>
      <c r="C209" s="2">
        <v>107285004</v>
      </c>
      <c r="D209" s="2" t="s">
        <v>12</v>
      </c>
      <c r="E209" s="2" t="s">
        <v>12</v>
      </c>
      <c r="F209" t="s">
        <v>13</v>
      </c>
      <c r="G209" t="s">
        <v>15</v>
      </c>
      <c r="H209" t="s">
        <v>83</v>
      </c>
      <c r="I209" t="s">
        <v>23</v>
      </c>
      <c r="N209" s="2" t="s">
        <v>18</v>
      </c>
      <c r="O209" s="2" t="s">
        <v>19</v>
      </c>
      <c r="P209" s="2">
        <v>125000000</v>
      </c>
      <c r="Q209" s="2">
        <v>3.7</v>
      </c>
      <c r="R209" s="2" t="s">
        <v>491</v>
      </c>
      <c r="S209" s="2"/>
      <c r="U209" s="2" t="s">
        <v>359</v>
      </c>
      <c r="V209">
        <f ca="1" t="shared" si="5"/>
        <v>7.075</v>
      </c>
      <c r="AC209" s="2"/>
      <c r="AD209" t="str">
        <f>IFERROR(__xludf.DUMMYFUNCTION("""COMPUTED_VALUE"""),"Terminator 3: Rise of the Machines ")</f>
        <v>Terminator 3: Rise of the Machines </v>
      </c>
      <c r="AE209">
        <f t="shared" si="6"/>
        <v>150350083</v>
      </c>
    </row>
    <row r="210" customHeight="1" spans="1:31">
      <c r="A210" s="2" t="s">
        <v>327</v>
      </c>
      <c r="B210" s="2">
        <v>110</v>
      </c>
      <c r="C210" s="2">
        <v>260031035</v>
      </c>
      <c r="D210" s="2" t="s">
        <v>214</v>
      </c>
      <c r="E210" s="2" t="s">
        <v>40</v>
      </c>
      <c r="F210" t="s">
        <v>13</v>
      </c>
      <c r="G210" t="s">
        <v>14</v>
      </c>
      <c r="H210" t="s">
        <v>24</v>
      </c>
      <c r="I210" t="s">
        <v>24</v>
      </c>
      <c r="N210" s="2" t="s">
        <v>18</v>
      </c>
      <c r="O210" s="2" t="s">
        <v>19</v>
      </c>
      <c r="P210" s="2">
        <v>123000000</v>
      </c>
      <c r="Q210" s="2">
        <v>6</v>
      </c>
      <c r="R210" s="2" t="s">
        <v>492</v>
      </c>
      <c r="S210" s="2"/>
      <c r="U210" s="2" t="s">
        <v>361</v>
      </c>
      <c r="V210">
        <f ca="1" t="shared" si="5"/>
        <v>6.4</v>
      </c>
      <c r="AC210" s="2"/>
      <c r="AD210" t="str">
        <f>IFERROR(__xludf.DUMMYFUNCTION("""COMPUTED_VALUE"""),"Guardians of the Galaxy ")</f>
        <v>Guardians of the Galaxy </v>
      </c>
      <c r="AE210">
        <f t="shared" si="6"/>
        <v>333130575</v>
      </c>
    </row>
    <row r="211" customHeight="1" spans="1:31">
      <c r="A211" s="2" t="s">
        <v>176</v>
      </c>
      <c r="B211" s="2">
        <v>124</v>
      </c>
      <c r="C211" s="2">
        <v>186739919</v>
      </c>
      <c r="D211" s="2" t="s">
        <v>108</v>
      </c>
      <c r="E211" s="2" t="s">
        <v>12</v>
      </c>
      <c r="F211" t="s">
        <v>13</v>
      </c>
      <c r="G211" t="s">
        <v>40</v>
      </c>
      <c r="H211" t="s">
        <v>14</v>
      </c>
      <c r="I211" t="s">
        <v>23</v>
      </c>
      <c r="N211" s="2" t="s">
        <v>18</v>
      </c>
      <c r="O211" s="2" t="s">
        <v>19</v>
      </c>
      <c r="P211" s="2">
        <v>125000000</v>
      </c>
      <c r="Q211" s="2">
        <v>6.4</v>
      </c>
      <c r="R211" s="2" t="s">
        <v>493</v>
      </c>
      <c r="S211" s="2"/>
      <c r="U211" s="2" t="s">
        <v>363</v>
      </c>
      <c r="V211">
        <f ca="1" t="shared" si="5"/>
        <v>6.84</v>
      </c>
      <c r="AC211" s="2"/>
      <c r="AD211" t="str">
        <f>IFERROR(__xludf.DUMMYFUNCTION("""COMPUTED_VALUE"""),"Interstellar ")</f>
        <v>Interstellar </v>
      </c>
      <c r="AE211">
        <f t="shared" si="6"/>
        <v>187991270</v>
      </c>
    </row>
    <row r="212" customHeight="1" spans="1:31">
      <c r="A212" s="2" t="s">
        <v>494</v>
      </c>
      <c r="B212" s="2">
        <v>123</v>
      </c>
      <c r="C212" s="2">
        <v>215397307</v>
      </c>
      <c r="D212" s="2" t="s">
        <v>27</v>
      </c>
      <c r="E212" s="2" t="s">
        <v>12</v>
      </c>
      <c r="F212" t="s">
        <v>13</v>
      </c>
      <c r="G212" t="s">
        <v>29</v>
      </c>
      <c r="H212" t="s">
        <v>14</v>
      </c>
      <c r="I212" t="s">
        <v>24</v>
      </c>
      <c r="N212" s="2" t="s">
        <v>18</v>
      </c>
      <c r="O212" s="2" t="s">
        <v>19</v>
      </c>
      <c r="P212" s="2">
        <v>125000000</v>
      </c>
      <c r="Q212" s="2">
        <v>6.1</v>
      </c>
      <c r="R212" s="2" t="s">
        <v>495</v>
      </c>
      <c r="S212" s="2"/>
      <c r="U212" s="2" t="s">
        <v>367</v>
      </c>
      <c r="V212">
        <f ca="1" t="shared" si="5"/>
        <v>5.3</v>
      </c>
      <c r="AC212" s="2"/>
      <c r="AD212" t="str">
        <f>IFERROR(__xludf.DUMMYFUNCTION("""COMPUTED_VALUE"""),"Inception ")</f>
        <v>Inception </v>
      </c>
      <c r="AE212">
        <f t="shared" si="6"/>
        <v>292568703</v>
      </c>
    </row>
    <row r="213" customHeight="1" spans="1:31">
      <c r="A213" s="2" t="s">
        <v>275</v>
      </c>
      <c r="B213" s="2">
        <v>130</v>
      </c>
      <c r="C213" s="2">
        <v>182618434</v>
      </c>
      <c r="D213" s="2" t="s">
        <v>276</v>
      </c>
      <c r="E213" s="2" t="s">
        <v>12</v>
      </c>
      <c r="F213" t="s">
        <v>30</v>
      </c>
      <c r="G213" t="s">
        <v>30</v>
      </c>
      <c r="H213" t="s">
        <v>24</v>
      </c>
      <c r="I213" t="s">
        <v>17</v>
      </c>
      <c r="N213" s="2" t="s">
        <v>18</v>
      </c>
      <c r="O213" s="2" t="s">
        <v>19</v>
      </c>
      <c r="P213" s="2">
        <v>140000000</v>
      </c>
      <c r="Q213" s="2">
        <v>6.4</v>
      </c>
      <c r="R213" s="2" t="s">
        <v>496</v>
      </c>
      <c r="S213" s="2"/>
      <c r="U213" s="2" t="s">
        <v>369</v>
      </c>
      <c r="V213">
        <f ca="1" t="shared" si="5"/>
        <v>6.475</v>
      </c>
      <c r="AC213" s="2"/>
      <c r="AD213" t="str">
        <f>IFERROR(__xludf.DUMMYFUNCTION("""COMPUTED_VALUE"""),"The Hobbit: An Unexpected Journey ")</f>
        <v>The Hobbit: An Unexpected Journey </v>
      </c>
      <c r="AE213">
        <f t="shared" si="6"/>
        <v>303001047</v>
      </c>
    </row>
    <row r="214" customHeight="1" spans="1:31">
      <c r="A214" s="2" t="s">
        <v>497</v>
      </c>
      <c r="B214" s="2">
        <v>92</v>
      </c>
      <c r="C214" s="2">
        <v>131920333</v>
      </c>
      <c r="D214" s="2" t="s">
        <v>108</v>
      </c>
      <c r="E214" s="2" t="s">
        <v>12</v>
      </c>
      <c r="F214" t="s">
        <v>14</v>
      </c>
      <c r="G214" t="s">
        <v>40</v>
      </c>
      <c r="H214" t="s">
        <v>28</v>
      </c>
      <c r="I214" t="s">
        <v>24</v>
      </c>
      <c r="N214" s="2" t="s">
        <v>18</v>
      </c>
      <c r="O214" s="2" t="s">
        <v>19</v>
      </c>
      <c r="P214" s="2">
        <v>130000000</v>
      </c>
      <c r="Q214" s="2">
        <v>5.6</v>
      </c>
      <c r="R214" s="2" t="s">
        <v>498</v>
      </c>
      <c r="S214" s="2"/>
      <c r="U214" s="2" t="s">
        <v>377</v>
      </c>
      <c r="V214">
        <f ca="1" t="shared" si="5"/>
        <v>7.4</v>
      </c>
      <c r="AC214" s="2"/>
      <c r="AD214" t="str">
        <f>IFERROR(__xludf.DUMMYFUNCTION("""COMPUTED_VALUE"""),"The Fast and the Furious ")</f>
        <v>The Fast and the Furious </v>
      </c>
      <c r="AE214">
        <f t="shared" si="6"/>
        <v>144512204</v>
      </c>
    </row>
    <row r="215" customHeight="1" spans="1:31">
      <c r="A215" s="2" t="s">
        <v>401</v>
      </c>
      <c r="B215" s="2">
        <v>127</v>
      </c>
      <c r="C215" s="2">
        <v>124976634</v>
      </c>
      <c r="D215" s="2" t="s">
        <v>499</v>
      </c>
      <c r="E215" s="2" t="s">
        <v>13</v>
      </c>
      <c r="F215" t="s">
        <v>24</v>
      </c>
      <c r="G215" t="s">
        <v>15</v>
      </c>
      <c r="H215" t="s">
        <v>23</v>
      </c>
      <c r="I215" t="s">
        <v>24</v>
      </c>
      <c r="N215" s="2" t="s">
        <v>18</v>
      </c>
      <c r="O215" s="2" t="s">
        <v>19</v>
      </c>
      <c r="P215" s="2">
        <v>120000000</v>
      </c>
      <c r="Q215" s="2">
        <v>8</v>
      </c>
      <c r="R215" s="2" t="s">
        <v>500</v>
      </c>
      <c r="S215" s="2"/>
      <c r="U215" s="2" t="s">
        <v>380</v>
      </c>
      <c r="V215">
        <f ca="1" t="shared" si="5"/>
        <v>6.1</v>
      </c>
      <c r="AC215" s="2"/>
      <c r="AD215" t="str">
        <f>IFERROR(__xludf.DUMMYFUNCTION("""COMPUTED_VALUE"""),"The Curious Case of Benjamin Button ")</f>
        <v>The Curious Case of Benjamin Button </v>
      </c>
      <c r="AE215">
        <f t="shared" si="6"/>
        <v>127490636</v>
      </c>
    </row>
    <row r="216" customHeight="1" spans="1:31">
      <c r="A216" s="2" t="s">
        <v>501</v>
      </c>
      <c r="B216" s="2">
        <v>123</v>
      </c>
      <c r="C216" s="2">
        <v>115802596</v>
      </c>
      <c r="D216" s="2" t="s">
        <v>502</v>
      </c>
      <c r="E216" s="2" t="s">
        <v>12</v>
      </c>
      <c r="F216" t="s">
        <v>13</v>
      </c>
      <c r="G216" t="s">
        <v>24</v>
      </c>
      <c r="H216" t="s">
        <v>24</v>
      </c>
      <c r="I216" t="s">
        <v>29</v>
      </c>
      <c r="N216" s="2" t="s">
        <v>18</v>
      </c>
      <c r="O216" s="2" t="s">
        <v>19</v>
      </c>
      <c r="P216" s="2">
        <v>110000000</v>
      </c>
      <c r="Q216" s="2">
        <v>5.2</v>
      </c>
      <c r="R216" s="2" t="s">
        <v>503</v>
      </c>
      <c r="S216" s="2"/>
      <c r="U216" s="2" t="s">
        <v>382</v>
      </c>
      <c r="V216">
        <f ca="1" t="shared" si="5"/>
        <v>6.1</v>
      </c>
      <c r="AC216" s="2"/>
      <c r="AD216" t="str">
        <f>IFERROR(__xludf.DUMMYFUNCTION("""COMPUTED_VALUE"""),"X-Men: First Class ")</f>
        <v>X-Men: First Class </v>
      </c>
      <c r="AE216">
        <f t="shared" si="6"/>
        <v>146405239</v>
      </c>
    </row>
    <row r="217" customHeight="1" spans="1:31">
      <c r="A217" s="2" t="s">
        <v>432</v>
      </c>
      <c r="B217" s="2">
        <v>123</v>
      </c>
      <c r="C217" s="2">
        <v>108521835</v>
      </c>
      <c r="D217" s="2" t="s">
        <v>34</v>
      </c>
      <c r="E217" s="2" t="s">
        <v>12</v>
      </c>
      <c r="F217" t="s">
        <v>28</v>
      </c>
      <c r="G217" t="s">
        <v>40</v>
      </c>
      <c r="H217" t="s">
        <v>14</v>
      </c>
      <c r="I217" t="s">
        <v>29</v>
      </c>
      <c r="N217" s="2" t="s">
        <v>18</v>
      </c>
      <c r="O217" s="2" t="s">
        <v>31</v>
      </c>
      <c r="P217" s="2">
        <v>120000000</v>
      </c>
      <c r="Q217" s="2">
        <v>7.1</v>
      </c>
      <c r="R217" s="2" t="s">
        <v>504</v>
      </c>
      <c r="S217" s="2"/>
      <c r="U217" s="2" t="s">
        <v>385</v>
      </c>
      <c r="V217">
        <f ca="1" t="shared" si="5"/>
        <v>7.21428571428571</v>
      </c>
      <c r="AC217" s="2"/>
      <c r="AD217" t="str">
        <f>IFERROR(__xludf.DUMMYFUNCTION("""COMPUTED_VALUE"""),"The Hunger Games: Mockingjay - Part 2 ")</f>
        <v>The Hunger Games: Mockingjay - Part 2 </v>
      </c>
      <c r="AE217">
        <f t="shared" si="6"/>
        <v>281665921</v>
      </c>
    </row>
    <row r="218" customHeight="1" spans="1:31">
      <c r="A218" s="2" t="s">
        <v>147</v>
      </c>
      <c r="B218" s="2">
        <v>107</v>
      </c>
      <c r="C218" s="2">
        <v>100685880</v>
      </c>
      <c r="D218" s="2" t="s">
        <v>505</v>
      </c>
      <c r="E218" s="2" t="s">
        <v>12</v>
      </c>
      <c r="F218" t="s">
        <v>35</v>
      </c>
      <c r="G218" t="s">
        <v>15</v>
      </c>
      <c r="H218" t="s">
        <v>23</v>
      </c>
      <c r="I218" t="s">
        <v>15</v>
      </c>
      <c r="N218" s="2" t="s">
        <v>18</v>
      </c>
      <c r="O218" s="2" t="s">
        <v>19</v>
      </c>
      <c r="P218" s="2">
        <v>120000000</v>
      </c>
      <c r="Q218" s="2">
        <v>4.8</v>
      </c>
      <c r="R218" s="2" t="s">
        <v>506</v>
      </c>
      <c r="S218" s="2"/>
      <c r="U218" s="2" t="s">
        <v>394</v>
      </c>
      <c r="V218">
        <f ca="1" t="shared" si="5"/>
        <v>6.62</v>
      </c>
      <c r="AC218" s="2"/>
      <c r="AD218" t="str">
        <f>IFERROR(__xludf.DUMMYFUNCTION("""COMPUTED_VALUE"""),"The Sorcerer's Apprentice ")</f>
        <v>The Sorcerer's Apprentice </v>
      </c>
      <c r="AE218">
        <f t="shared" si="6"/>
        <v>63143703</v>
      </c>
    </row>
    <row r="219" customHeight="1" spans="1:31">
      <c r="A219" s="2" t="s">
        <v>94</v>
      </c>
      <c r="B219" s="2">
        <v>124</v>
      </c>
      <c r="C219" s="2">
        <v>126464904</v>
      </c>
      <c r="D219" s="2" t="s">
        <v>507</v>
      </c>
      <c r="E219" s="2" t="s">
        <v>13</v>
      </c>
      <c r="F219" t="s">
        <v>30</v>
      </c>
      <c r="G219" t="s">
        <v>40</v>
      </c>
      <c r="H219" t="s">
        <v>23</v>
      </c>
      <c r="I219" t="s">
        <v>29</v>
      </c>
      <c r="N219" s="2" t="s">
        <v>18</v>
      </c>
      <c r="O219" s="2" t="s">
        <v>19</v>
      </c>
      <c r="P219" s="2">
        <v>130000000</v>
      </c>
      <c r="Q219" s="2">
        <v>7</v>
      </c>
      <c r="R219" s="2" t="s">
        <v>508</v>
      </c>
      <c r="S219" s="2"/>
      <c r="U219" s="2" t="s">
        <v>399</v>
      </c>
      <c r="V219">
        <f ca="1" t="shared" si="5"/>
        <v>6.45555555555556</v>
      </c>
      <c r="AC219" s="2"/>
      <c r="AD219" t="str">
        <f>IFERROR(__xludf.DUMMYFUNCTION("""COMPUTED_VALUE"""),"Poseidon ")</f>
        <v>Poseidon </v>
      </c>
      <c r="AE219">
        <f t="shared" si="6"/>
        <v>60655405</v>
      </c>
    </row>
    <row r="220" customHeight="1" spans="1:31">
      <c r="A220" s="2" t="s">
        <v>363</v>
      </c>
      <c r="B220" s="2">
        <v>77</v>
      </c>
      <c r="C220" s="2">
        <v>64736114</v>
      </c>
      <c r="D220" s="2" t="s">
        <v>124</v>
      </c>
      <c r="E220" s="2" t="s">
        <v>13</v>
      </c>
      <c r="F220" t="s">
        <v>13</v>
      </c>
      <c r="G220" t="s">
        <v>30</v>
      </c>
      <c r="H220" t="s">
        <v>17</v>
      </c>
      <c r="I220" t="s">
        <v>15</v>
      </c>
      <c r="N220" s="2" t="s">
        <v>18</v>
      </c>
      <c r="O220" s="2" t="s">
        <v>19</v>
      </c>
      <c r="P220" s="2">
        <v>120000000</v>
      </c>
      <c r="Q220" s="2">
        <v>5.4</v>
      </c>
      <c r="R220" s="2" t="s">
        <v>509</v>
      </c>
      <c r="S220" s="2"/>
      <c r="U220" s="2" t="s">
        <v>401</v>
      </c>
      <c r="V220">
        <f ca="1" t="shared" si="5"/>
        <v>6.6625</v>
      </c>
      <c r="AC220" s="2"/>
      <c r="AD220" t="str">
        <f>IFERROR(__xludf.DUMMYFUNCTION("""COMPUTED_VALUE"""),"Alice Through the Looking Glass ")</f>
        <v>Alice Through the Looking Glass </v>
      </c>
      <c r="AE220">
        <f t="shared" si="6"/>
        <v>76846511</v>
      </c>
    </row>
    <row r="221" customHeight="1" spans="1:31">
      <c r="A221" s="2" t="s">
        <v>510</v>
      </c>
      <c r="B221" s="2">
        <v>109</v>
      </c>
      <c r="C221" s="2">
        <v>93050117</v>
      </c>
      <c r="D221" s="2" t="s">
        <v>511</v>
      </c>
      <c r="E221" s="2" t="s">
        <v>12</v>
      </c>
      <c r="F221" t="s">
        <v>56</v>
      </c>
      <c r="G221" t="s">
        <v>24</v>
      </c>
      <c r="H221" t="s">
        <v>24</v>
      </c>
      <c r="I221" t="s">
        <v>24</v>
      </c>
      <c r="N221" s="2" t="s">
        <v>18</v>
      </c>
      <c r="O221" s="2" t="s">
        <v>19</v>
      </c>
      <c r="P221" s="2">
        <v>115000000</v>
      </c>
      <c r="Q221" s="2">
        <v>6.6</v>
      </c>
      <c r="R221" s="2" t="s">
        <v>512</v>
      </c>
      <c r="S221" s="2"/>
      <c r="U221" s="2" t="s">
        <v>403</v>
      </c>
      <c r="V221">
        <f ca="1" t="shared" si="5"/>
        <v>6.46</v>
      </c>
      <c r="AC221" s="2"/>
      <c r="AD221" t="str">
        <f>IFERROR(__xludf.DUMMYFUNCTION("""COMPUTED_VALUE"""),"Shrek the Third ")</f>
        <v>Shrek the Third </v>
      </c>
      <c r="AE221">
        <f t="shared" si="6"/>
        <v>320706572</v>
      </c>
    </row>
    <row r="222" customHeight="1" spans="1:31">
      <c r="A222" s="2" t="s">
        <v>513</v>
      </c>
      <c r="B222" s="2">
        <v>134</v>
      </c>
      <c r="C222" s="2">
        <v>57637485</v>
      </c>
      <c r="D222" s="2" t="s">
        <v>108</v>
      </c>
      <c r="E222" s="2" t="s">
        <v>12</v>
      </c>
      <c r="F222" t="s">
        <v>23</v>
      </c>
      <c r="G222" t="s">
        <v>55</v>
      </c>
      <c r="H222" t="s">
        <v>17</v>
      </c>
      <c r="I222" t="s">
        <v>71</v>
      </c>
      <c r="N222" s="2" t="s">
        <v>18</v>
      </c>
      <c r="O222" s="2" t="s">
        <v>19</v>
      </c>
      <c r="P222" s="2">
        <v>105000000</v>
      </c>
      <c r="Q222" s="2">
        <v>6.7</v>
      </c>
      <c r="R222" s="2" t="s">
        <v>514</v>
      </c>
      <c r="S222" s="2"/>
      <c r="U222" s="2" t="s">
        <v>405</v>
      </c>
      <c r="V222">
        <f ca="1" t="shared" si="5"/>
        <v>6.9</v>
      </c>
      <c r="AC222" s="2"/>
      <c r="AD222" t="str">
        <f>IFERROR(__xludf.DUMMYFUNCTION("""COMPUTED_VALUE"""),"Warcraft ")</f>
        <v>Warcraft </v>
      </c>
      <c r="AE222">
        <f t="shared" si="6"/>
        <v>46978872</v>
      </c>
    </row>
    <row r="223" customHeight="1" spans="1:31">
      <c r="A223" s="2" t="s">
        <v>515</v>
      </c>
      <c r="B223" s="2">
        <v>117</v>
      </c>
      <c r="C223" s="2">
        <v>58607007</v>
      </c>
      <c r="D223" s="2" t="s">
        <v>516</v>
      </c>
      <c r="E223" s="2" t="s">
        <v>12</v>
      </c>
      <c r="F223" t="s">
        <v>30</v>
      </c>
      <c r="G223" t="s">
        <v>56</v>
      </c>
      <c r="H223" t="s">
        <v>14</v>
      </c>
      <c r="I223" t="s">
        <v>24</v>
      </c>
      <c r="N223" s="2" t="s">
        <v>18</v>
      </c>
      <c r="O223" s="2" t="s">
        <v>19</v>
      </c>
      <c r="P223" s="2">
        <v>100000000</v>
      </c>
      <c r="Q223" s="2">
        <v>6.2</v>
      </c>
      <c r="R223" s="2" t="s">
        <v>517</v>
      </c>
      <c r="S223" s="2"/>
      <c r="U223" s="2" t="s">
        <v>408</v>
      </c>
      <c r="V223">
        <f ca="1" t="shared" si="5"/>
        <v>6.9</v>
      </c>
      <c r="AC223" s="2"/>
      <c r="AD223" t="str">
        <f>IFERROR(__xludf.DUMMYFUNCTION("""COMPUTED_VALUE"""),"Terminator Genisys ")</f>
        <v>Terminator Genisys </v>
      </c>
      <c r="AE223">
        <f t="shared" si="6"/>
        <v>89731909</v>
      </c>
    </row>
    <row r="224" customHeight="1" spans="1:31">
      <c r="A224" s="2" t="s">
        <v>181</v>
      </c>
      <c r="B224" s="2">
        <v>135</v>
      </c>
      <c r="C224" s="2">
        <v>43929341</v>
      </c>
      <c r="D224" s="2" t="s">
        <v>518</v>
      </c>
      <c r="E224" s="2" t="s">
        <v>12</v>
      </c>
      <c r="F224" t="s">
        <v>40</v>
      </c>
      <c r="G224" t="s">
        <v>24</v>
      </c>
      <c r="H224" t="s">
        <v>24</v>
      </c>
      <c r="I224" t="s">
        <v>23</v>
      </c>
      <c r="N224" s="2" t="s">
        <v>18</v>
      </c>
      <c r="O224" s="2" t="s">
        <v>19</v>
      </c>
      <c r="P224" s="2">
        <v>120000000</v>
      </c>
      <c r="Q224" s="2">
        <v>6.1</v>
      </c>
      <c r="R224" s="2" t="s">
        <v>519</v>
      </c>
      <c r="S224" s="2"/>
      <c r="U224" s="2" t="s">
        <v>413</v>
      </c>
      <c r="V224">
        <f ca="1" t="shared" si="5"/>
        <v>6.575</v>
      </c>
      <c r="AC224" s="2"/>
      <c r="AD224" t="str">
        <f>IFERROR(__xludf.DUMMYFUNCTION("""COMPUTED_VALUE"""),"The Chronicles of Narnia: The Voyage of the Dawn Treader ")</f>
        <v>The Chronicles of Narnia: The Voyage of the Dawn Treader </v>
      </c>
      <c r="AE224">
        <f t="shared" si="6"/>
        <v>104383511</v>
      </c>
    </row>
    <row r="225" customHeight="1" spans="1:31">
      <c r="A225" s="2" t="s">
        <v>520</v>
      </c>
      <c r="B225" s="2">
        <v>121</v>
      </c>
      <c r="C225" s="2">
        <v>30212620</v>
      </c>
      <c r="D225" s="2" t="s">
        <v>521</v>
      </c>
      <c r="E225" s="2" t="s">
        <v>40</v>
      </c>
      <c r="F225" t="s">
        <v>13</v>
      </c>
      <c r="G225" t="s">
        <v>23</v>
      </c>
      <c r="H225" t="s">
        <v>72</v>
      </c>
      <c r="I225" t="s">
        <v>15</v>
      </c>
      <c r="N225" s="2" t="s">
        <v>18</v>
      </c>
      <c r="O225" s="2" t="s">
        <v>19</v>
      </c>
      <c r="P225" s="2">
        <v>120000000</v>
      </c>
      <c r="Q225" s="2">
        <v>5.3</v>
      </c>
      <c r="R225" s="2" t="s">
        <v>522</v>
      </c>
      <c r="S225" s="2"/>
      <c r="U225" s="2" t="s">
        <v>416</v>
      </c>
      <c r="V225">
        <f ca="1" t="shared" si="5"/>
        <v>6.46</v>
      </c>
      <c r="AC225" s="2"/>
      <c r="AD225" t="str">
        <f>IFERROR(__xludf.DUMMYFUNCTION("""COMPUTED_VALUE"""),"Pearl Harbor ")</f>
        <v>Pearl Harbor </v>
      </c>
      <c r="AE225">
        <f t="shared" si="6"/>
        <v>198539671</v>
      </c>
    </row>
    <row r="226" customHeight="1" spans="1:31">
      <c r="A226" s="2" t="s">
        <v>523</v>
      </c>
      <c r="B226" s="2">
        <v>117</v>
      </c>
      <c r="C226" s="2">
        <v>76418654</v>
      </c>
      <c r="D226" s="2" t="s">
        <v>524</v>
      </c>
      <c r="E226" s="2" t="s">
        <v>12</v>
      </c>
      <c r="F226" t="s">
        <v>13</v>
      </c>
      <c r="G226" t="s">
        <v>56</v>
      </c>
      <c r="H226" t="s">
        <v>28</v>
      </c>
      <c r="I226" t="s">
        <v>15</v>
      </c>
      <c r="N226" s="2" t="s">
        <v>18</v>
      </c>
      <c r="O226" s="2" t="s">
        <v>19</v>
      </c>
      <c r="P226" s="2">
        <v>117000000</v>
      </c>
      <c r="Q226" s="2">
        <v>6.3</v>
      </c>
      <c r="R226" s="2" t="s">
        <v>525</v>
      </c>
      <c r="S226" s="2"/>
      <c r="U226" s="2" t="s">
        <v>421</v>
      </c>
      <c r="V226">
        <f ca="1" t="shared" si="5"/>
        <v>6.4</v>
      </c>
      <c r="AC226" s="2"/>
      <c r="AD226" t="str">
        <f>IFERROR(__xludf.DUMMYFUNCTION("""COMPUTED_VALUE"""),"Transformers ")</f>
        <v>Transformers </v>
      </c>
      <c r="AE226">
        <f t="shared" si="6"/>
        <v>318759770</v>
      </c>
    </row>
    <row r="227" customHeight="1" spans="1:31">
      <c r="A227" s="2" t="s">
        <v>136</v>
      </c>
      <c r="B227" s="2">
        <v>124</v>
      </c>
      <c r="C227" s="2">
        <v>89021735</v>
      </c>
      <c r="D227" s="2" t="s">
        <v>526</v>
      </c>
      <c r="E227" s="2" t="s">
        <v>12</v>
      </c>
      <c r="F227" t="s">
        <v>13</v>
      </c>
      <c r="G227" t="s">
        <v>14</v>
      </c>
      <c r="H227" t="s">
        <v>24</v>
      </c>
      <c r="I227" t="s">
        <v>39</v>
      </c>
      <c r="N227" s="2" t="s">
        <v>18</v>
      </c>
      <c r="O227" s="2" t="s">
        <v>19</v>
      </c>
      <c r="P227" s="2">
        <v>120000000</v>
      </c>
      <c r="Q227" s="2">
        <v>7</v>
      </c>
      <c r="R227" s="2" t="s">
        <v>527</v>
      </c>
      <c r="S227" s="2"/>
      <c r="U227" s="2" t="s">
        <v>424</v>
      </c>
      <c r="V227">
        <f ca="1" t="shared" si="5"/>
        <v>6.6</v>
      </c>
      <c r="AC227" s="2"/>
      <c r="AD227" t="str">
        <f>IFERROR(__xludf.DUMMYFUNCTION("""COMPUTED_VALUE"""),"Alexander ")</f>
        <v>Alexander </v>
      </c>
      <c r="AE227">
        <f t="shared" si="6"/>
        <v>34293565</v>
      </c>
    </row>
    <row r="228" customHeight="1" spans="1:31">
      <c r="A228" s="2" t="s">
        <v>528</v>
      </c>
      <c r="B228" s="2">
        <v>140</v>
      </c>
      <c r="C228" s="2">
        <v>380262555</v>
      </c>
      <c r="D228" s="2" t="s">
        <v>11</v>
      </c>
      <c r="E228" s="2" t="s">
        <v>12</v>
      </c>
      <c r="F228" t="s">
        <v>35</v>
      </c>
      <c r="G228" t="s">
        <v>40</v>
      </c>
      <c r="H228" t="s">
        <v>24</v>
      </c>
      <c r="I228" t="s">
        <v>23</v>
      </c>
      <c r="N228" s="2" t="s">
        <v>18</v>
      </c>
      <c r="O228" s="2" t="s">
        <v>19</v>
      </c>
      <c r="P228" s="2">
        <v>113000000</v>
      </c>
      <c r="Q228" s="2">
        <v>7.6</v>
      </c>
      <c r="R228" s="2" t="s">
        <v>529</v>
      </c>
      <c r="S228" s="2"/>
      <c r="U228" s="2" t="s">
        <v>427</v>
      </c>
      <c r="V228">
        <f ca="1" t="shared" si="5"/>
        <v>7.2</v>
      </c>
      <c r="AC228" s="2"/>
      <c r="AD228" t="str">
        <f>IFERROR(__xludf.DUMMYFUNCTION("""COMPUTED_VALUE"""),"Harry Potter and the Order of the Phoenix ")</f>
        <v>Harry Potter and the Order of the Phoenix </v>
      </c>
      <c r="AE228">
        <f t="shared" si="6"/>
        <v>292000728</v>
      </c>
    </row>
    <row r="229" customHeight="1" spans="1:31">
      <c r="A229" s="2" t="s">
        <v>528</v>
      </c>
      <c r="B229" s="2">
        <v>142</v>
      </c>
      <c r="C229" s="2">
        <v>310675583</v>
      </c>
      <c r="D229" s="2" t="s">
        <v>11</v>
      </c>
      <c r="E229" s="2" t="s">
        <v>12</v>
      </c>
      <c r="F229" t="s">
        <v>13</v>
      </c>
      <c r="G229" t="s">
        <v>23</v>
      </c>
      <c r="H229" t="s">
        <v>23</v>
      </c>
      <c r="I229" t="s">
        <v>83</v>
      </c>
      <c r="N229" s="2" t="s">
        <v>18</v>
      </c>
      <c r="O229" s="2" t="s">
        <v>19</v>
      </c>
      <c r="P229" s="2">
        <v>115000000</v>
      </c>
      <c r="Q229" s="2">
        <v>6.7</v>
      </c>
      <c r="R229" s="2" t="s">
        <v>530</v>
      </c>
      <c r="S229" s="2"/>
      <c r="U229" s="2" t="s">
        <v>432</v>
      </c>
      <c r="V229">
        <f ca="1" t="shared" si="5"/>
        <v>6.38571428571429</v>
      </c>
      <c r="AC229" s="2"/>
      <c r="AD229" t="str">
        <f>IFERROR(__xludf.DUMMYFUNCTION("""COMPUTED_VALUE"""),"Harry Potter and the Goblet of Fire ")</f>
        <v>Harry Potter and the Goblet of Fire </v>
      </c>
      <c r="AE229">
        <f t="shared" si="6"/>
        <v>289994240</v>
      </c>
    </row>
    <row r="230" customHeight="1" spans="1:31">
      <c r="A230" s="2" t="s">
        <v>188</v>
      </c>
      <c r="B230" s="2">
        <v>92</v>
      </c>
      <c r="C230" s="2">
        <v>289907418</v>
      </c>
      <c r="D230" s="2" t="s">
        <v>124</v>
      </c>
      <c r="E230" s="2" t="s">
        <v>13</v>
      </c>
      <c r="F230" t="s">
        <v>13</v>
      </c>
      <c r="G230" t="s">
        <v>28</v>
      </c>
      <c r="H230" t="s">
        <v>30</v>
      </c>
      <c r="I230" t="s">
        <v>24</v>
      </c>
      <c r="N230" s="2" t="s">
        <v>18</v>
      </c>
      <c r="O230" s="2" t="s">
        <v>19</v>
      </c>
      <c r="P230" s="2">
        <v>115000000</v>
      </c>
      <c r="Q230" s="2">
        <v>8.1</v>
      </c>
      <c r="R230" s="2" t="s">
        <v>531</v>
      </c>
      <c r="S230" s="2"/>
      <c r="U230" s="2" t="s">
        <v>435</v>
      </c>
      <c r="V230">
        <f ca="1" t="shared" si="5"/>
        <v>6.65</v>
      </c>
      <c r="AC230" s="2"/>
      <c r="AD230" t="str">
        <f>IFERROR(__xludf.DUMMYFUNCTION("""COMPUTED_VALUE"""),"Hancock ")</f>
        <v>Hancock </v>
      </c>
      <c r="AE230">
        <f t="shared" si="6"/>
        <v>227946172</v>
      </c>
    </row>
    <row r="231" customHeight="1" spans="1:31">
      <c r="A231" s="2" t="s">
        <v>523</v>
      </c>
      <c r="B231" s="2">
        <v>138</v>
      </c>
      <c r="C231" s="2">
        <v>132550960</v>
      </c>
      <c r="D231" s="2" t="s">
        <v>108</v>
      </c>
      <c r="E231" s="2" t="s">
        <v>12</v>
      </c>
      <c r="F231" t="s">
        <v>35</v>
      </c>
      <c r="G231" t="s">
        <v>15</v>
      </c>
      <c r="H231" t="s">
        <v>15</v>
      </c>
      <c r="I231" t="s">
        <v>24</v>
      </c>
      <c r="N231" s="2" t="s">
        <v>18</v>
      </c>
      <c r="O231" s="2" t="s">
        <v>19</v>
      </c>
      <c r="P231" s="2">
        <v>120000000</v>
      </c>
      <c r="Q231" s="2">
        <v>6.7</v>
      </c>
      <c r="R231" s="2" t="s">
        <v>532</v>
      </c>
      <c r="S231" s="2"/>
      <c r="U231" s="2" t="s">
        <v>437</v>
      </c>
      <c r="V231">
        <f ca="1" t="shared" si="5"/>
        <v>6.65</v>
      </c>
      <c r="AC231" s="2"/>
      <c r="AD231" t="str">
        <f>IFERROR(__xludf.DUMMYFUNCTION("""COMPUTED_VALUE"""),"I Am Legend ")</f>
        <v>I Am Legend </v>
      </c>
      <c r="AE231">
        <f t="shared" si="6"/>
        <v>256386112</v>
      </c>
    </row>
    <row r="232" customHeight="1" spans="1:31">
      <c r="A232" s="2" t="s">
        <v>528</v>
      </c>
      <c r="B232" s="2">
        <v>136</v>
      </c>
      <c r="C232" s="2">
        <v>474544677</v>
      </c>
      <c r="D232" s="2" t="s">
        <v>11</v>
      </c>
      <c r="E232" s="2" t="s">
        <v>12</v>
      </c>
      <c r="F232" t="s">
        <v>30</v>
      </c>
      <c r="G232" t="s">
        <v>40</v>
      </c>
      <c r="H232" t="s">
        <v>24</v>
      </c>
      <c r="I232" t="s">
        <v>29</v>
      </c>
      <c r="N232" s="2" t="s">
        <v>18</v>
      </c>
      <c r="O232" s="2" t="s">
        <v>19</v>
      </c>
      <c r="P232" s="2">
        <v>115000000</v>
      </c>
      <c r="Q232" s="2">
        <v>6.5</v>
      </c>
      <c r="R232" s="2" t="s">
        <v>533</v>
      </c>
      <c r="S232" s="2"/>
      <c r="U232" s="2" t="s">
        <v>441</v>
      </c>
      <c r="V232">
        <f ca="1" t="shared" si="5"/>
        <v>6.85</v>
      </c>
      <c r="AC232" s="2"/>
      <c r="AD232" t="str">
        <f>IFERROR(__xludf.DUMMYFUNCTION("""COMPUTED_VALUE"""),"Charlie and the Chocolate Factory ")</f>
        <v>Charlie and the Chocolate Factory </v>
      </c>
      <c r="AE232">
        <f t="shared" si="6"/>
        <v>206456316</v>
      </c>
    </row>
    <row r="233" customHeight="1" spans="1:31">
      <c r="A233" s="2" t="s">
        <v>534</v>
      </c>
      <c r="B233" s="2">
        <v>98</v>
      </c>
      <c r="C233" s="2">
        <v>187165546</v>
      </c>
      <c r="D233" s="2" t="s">
        <v>124</v>
      </c>
      <c r="E233" s="2" t="s">
        <v>13</v>
      </c>
      <c r="F233" t="s">
        <v>13</v>
      </c>
      <c r="G233" t="s">
        <v>17</v>
      </c>
      <c r="H233" t="s">
        <v>23</v>
      </c>
      <c r="I233" t="s">
        <v>24</v>
      </c>
      <c r="N233" s="2" t="s">
        <v>18</v>
      </c>
      <c r="O233" s="2" t="s">
        <v>19</v>
      </c>
      <c r="P233" s="2">
        <v>135000000</v>
      </c>
      <c r="Q233" s="2">
        <v>7.3</v>
      </c>
      <c r="R233" s="2" t="s">
        <v>535</v>
      </c>
      <c r="S233" s="2"/>
      <c r="U233" s="2" t="s">
        <v>447</v>
      </c>
      <c r="V233">
        <f ca="1" t="shared" si="5"/>
        <v>5.5</v>
      </c>
      <c r="AC233" s="2"/>
      <c r="AD233" t="str">
        <f>IFERROR(__xludf.DUMMYFUNCTION("""COMPUTED_VALUE"""),"Ratatouille ")</f>
        <v>Ratatouille </v>
      </c>
      <c r="AE233">
        <f t="shared" si="6"/>
        <v>206435382</v>
      </c>
    </row>
    <row r="234" customHeight="1" spans="1:31">
      <c r="A234" s="2" t="s">
        <v>494</v>
      </c>
      <c r="B234" s="2">
        <v>153</v>
      </c>
      <c r="C234" s="2">
        <v>40911830</v>
      </c>
      <c r="D234" s="2" t="s">
        <v>536</v>
      </c>
      <c r="E234" s="2" t="s">
        <v>12</v>
      </c>
      <c r="F234" t="s">
        <v>13</v>
      </c>
      <c r="G234" t="s">
        <v>24</v>
      </c>
      <c r="H234" t="s">
        <v>23</v>
      </c>
      <c r="I234" t="s">
        <v>24</v>
      </c>
      <c r="N234" s="2" t="s">
        <v>18</v>
      </c>
      <c r="O234" s="2" t="s">
        <v>19</v>
      </c>
      <c r="P234" s="2">
        <v>115000000</v>
      </c>
      <c r="Q234" s="2">
        <v>6</v>
      </c>
      <c r="R234" s="2" t="s">
        <v>537</v>
      </c>
      <c r="S234" s="2"/>
      <c r="U234" s="2" t="s">
        <v>450</v>
      </c>
      <c r="V234">
        <f ca="1" t="shared" si="5"/>
        <v>6.83333333333333</v>
      </c>
      <c r="AC234" s="2"/>
      <c r="AD234" t="str">
        <f>IFERROR(__xludf.DUMMYFUNCTION("""COMPUTED_VALUE"""),"Batman Begins ")</f>
        <v>Batman Begins </v>
      </c>
      <c r="AE234">
        <f t="shared" si="6"/>
        <v>205343646</v>
      </c>
    </row>
    <row r="235" customHeight="1" spans="1:31">
      <c r="A235" s="2" t="s">
        <v>538</v>
      </c>
      <c r="B235" s="2">
        <v>120</v>
      </c>
      <c r="C235" s="2">
        <v>47952020</v>
      </c>
      <c r="D235" s="2" t="s">
        <v>228</v>
      </c>
      <c r="E235" s="2" t="s">
        <v>12</v>
      </c>
      <c r="F235" t="s">
        <v>30</v>
      </c>
      <c r="G235" t="s">
        <v>30</v>
      </c>
      <c r="H235" t="s">
        <v>24</v>
      </c>
      <c r="I235" t="s">
        <v>14</v>
      </c>
      <c r="N235" s="2" t="s">
        <v>18</v>
      </c>
      <c r="O235" s="2" t="s">
        <v>19</v>
      </c>
      <c r="P235" s="2">
        <v>115000000</v>
      </c>
      <c r="Q235" s="2">
        <v>6.1</v>
      </c>
      <c r="R235" s="2" t="s">
        <v>539</v>
      </c>
      <c r="S235" s="2"/>
      <c r="U235" s="2" t="s">
        <v>454</v>
      </c>
      <c r="V235">
        <f ca="1" t="shared" si="5"/>
        <v>6.95</v>
      </c>
      <c r="AC235" s="2"/>
      <c r="AD235" t="str">
        <f>IFERROR(__xludf.DUMMYFUNCTION("""COMPUTED_VALUE"""),"Madagascar: Escape 2 Africa ")</f>
        <v>Madagascar: Escape 2 Africa </v>
      </c>
      <c r="AE235">
        <f t="shared" si="6"/>
        <v>179982879</v>
      </c>
    </row>
    <row r="236" customHeight="1" spans="1:31">
      <c r="A236" s="2" t="s">
        <v>338</v>
      </c>
      <c r="B236" s="2">
        <v>101</v>
      </c>
      <c r="C236" s="2">
        <v>190871240</v>
      </c>
      <c r="D236" s="2" t="s">
        <v>211</v>
      </c>
      <c r="E236" s="2" t="s">
        <v>12</v>
      </c>
      <c r="F236" t="s">
        <v>13</v>
      </c>
      <c r="G236" t="s">
        <v>40</v>
      </c>
      <c r="H236" t="s">
        <v>17</v>
      </c>
      <c r="I236" t="s">
        <v>24</v>
      </c>
      <c r="N236" s="2" t="s">
        <v>18</v>
      </c>
      <c r="O236" s="2" t="s">
        <v>19</v>
      </c>
      <c r="P236" s="2">
        <v>125000000</v>
      </c>
      <c r="Q236" s="2">
        <v>5.9</v>
      </c>
      <c r="R236" s="2" t="s">
        <v>540</v>
      </c>
      <c r="S236" s="2"/>
      <c r="U236" s="2" t="s">
        <v>459</v>
      </c>
      <c r="V236">
        <f ca="1" t="shared" si="5"/>
        <v>6.2</v>
      </c>
      <c r="AC236" s="2"/>
      <c r="AD236" t="str">
        <f>IFERROR(__xludf.DUMMYFUNCTION("""COMPUTED_VALUE"""),"Night at the Museum: Battle of the Smithsonian ")</f>
        <v>Night at the Museum: Battle of the Smithsonian </v>
      </c>
      <c r="AE236">
        <f t="shared" si="6"/>
        <v>177243616</v>
      </c>
    </row>
    <row r="237" customHeight="1" spans="1:31">
      <c r="A237" s="2" t="s">
        <v>454</v>
      </c>
      <c r="B237" s="2">
        <v>91</v>
      </c>
      <c r="C237" s="2">
        <v>274084951</v>
      </c>
      <c r="D237" s="2" t="s">
        <v>541</v>
      </c>
      <c r="E237" s="2" t="s">
        <v>13</v>
      </c>
      <c r="F237" t="s">
        <v>13</v>
      </c>
      <c r="G237" t="s">
        <v>39</v>
      </c>
      <c r="H237" t="s">
        <v>17</v>
      </c>
      <c r="I237" t="s">
        <v>24</v>
      </c>
      <c r="N237" s="2" t="s">
        <v>18</v>
      </c>
      <c r="O237" s="2" t="s">
        <v>31</v>
      </c>
      <c r="P237" s="2">
        <v>100000000</v>
      </c>
      <c r="Q237" s="2">
        <v>7.8</v>
      </c>
      <c r="R237" s="2" t="s">
        <v>542</v>
      </c>
      <c r="S237" s="2"/>
      <c r="U237" s="2" t="s">
        <v>463</v>
      </c>
      <c r="V237">
        <f ca="1" t="shared" si="5"/>
        <v>7.5</v>
      </c>
      <c r="AC237" s="2"/>
      <c r="AD237" t="str">
        <f>IFERROR(__xludf.DUMMYFUNCTION("""COMPUTED_VALUE"""),"X-Men Origins: Wolverine ")</f>
        <v>X-Men Origins: Wolverine </v>
      </c>
      <c r="AE237">
        <f t="shared" si="6"/>
        <v>179882897</v>
      </c>
    </row>
    <row r="238" customHeight="1" spans="1:31">
      <c r="A238" s="2" t="s">
        <v>543</v>
      </c>
      <c r="B238" s="2">
        <v>108</v>
      </c>
      <c r="C238" s="2">
        <v>67155742</v>
      </c>
      <c r="D238" s="2" t="s">
        <v>27</v>
      </c>
      <c r="E238" s="2" t="s">
        <v>12</v>
      </c>
      <c r="F238" t="s">
        <v>13</v>
      </c>
      <c r="G238" t="s">
        <v>23</v>
      </c>
      <c r="H238" t="s">
        <v>24</v>
      </c>
      <c r="I238" t="s">
        <v>24</v>
      </c>
      <c r="N238" s="2" t="s">
        <v>18</v>
      </c>
      <c r="O238" s="2" t="s">
        <v>19</v>
      </c>
      <c r="P238" s="2">
        <v>116000000</v>
      </c>
      <c r="Q238" s="2">
        <v>5.8</v>
      </c>
      <c r="R238" s="2" t="s">
        <v>544</v>
      </c>
      <c r="S238" s="2"/>
      <c r="U238" s="2" t="s">
        <v>466</v>
      </c>
      <c r="V238">
        <f ca="1" t="shared" si="5"/>
        <v>6.60909090909091</v>
      </c>
      <c r="AC238" s="2"/>
      <c r="AD238" t="str">
        <f>IFERROR(__xludf.DUMMYFUNCTION("""COMPUTED_VALUE"""),"The Matrix Revolutions ")</f>
        <v>The Matrix Revolutions </v>
      </c>
      <c r="AE238">
        <f t="shared" si="6"/>
        <v>139259630</v>
      </c>
    </row>
    <row r="239" customHeight="1" spans="1:31">
      <c r="A239" s="2" t="s">
        <v>545</v>
      </c>
      <c r="B239" s="2">
        <v>112</v>
      </c>
      <c r="C239" s="2">
        <v>81638674</v>
      </c>
      <c r="D239" s="2" t="s">
        <v>211</v>
      </c>
      <c r="E239" s="2" t="s">
        <v>12</v>
      </c>
      <c r="F239" t="s">
        <v>13</v>
      </c>
      <c r="G239" t="s">
        <v>15</v>
      </c>
      <c r="H239" t="s">
        <v>24</v>
      </c>
      <c r="I239" t="s">
        <v>16</v>
      </c>
      <c r="N239" s="2" t="s">
        <v>18</v>
      </c>
      <c r="O239" s="2" t="s">
        <v>19</v>
      </c>
      <c r="P239" s="2">
        <v>135000000</v>
      </c>
      <c r="Q239" s="2">
        <v>6.3</v>
      </c>
      <c r="R239" s="2" t="s">
        <v>546</v>
      </c>
      <c r="S239" s="2"/>
      <c r="U239" s="2" t="s">
        <v>468</v>
      </c>
      <c r="V239">
        <f ca="1" t="shared" si="5"/>
        <v>7.08333333333333</v>
      </c>
      <c r="AC239" s="2"/>
      <c r="AD239" t="str">
        <f>IFERROR(__xludf.DUMMYFUNCTION("""COMPUTED_VALUE"""),"Frozen ")</f>
        <v>Frozen </v>
      </c>
      <c r="AE239">
        <f t="shared" si="6"/>
        <v>400736498</v>
      </c>
    </row>
    <row r="240" customHeight="1" spans="1:31">
      <c r="A240" s="2" t="s">
        <v>547</v>
      </c>
      <c r="B240" s="2">
        <v>100</v>
      </c>
      <c r="C240" s="2">
        <v>56114221</v>
      </c>
      <c r="D240" s="2" t="s">
        <v>38</v>
      </c>
      <c r="E240" s="2" t="s">
        <v>12</v>
      </c>
      <c r="F240" t="s">
        <v>13</v>
      </c>
      <c r="G240" t="s">
        <v>30</v>
      </c>
      <c r="H240" t="s">
        <v>23</v>
      </c>
      <c r="I240" t="s">
        <v>15</v>
      </c>
      <c r="N240" s="2" t="s">
        <v>18</v>
      </c>
      <c r="O240" s="2" t="s">
        <v>19</v>
      </c>
      <c r="P240" s="2">
        <v>120000000</v>
      </c>
      <c r="Q240" s="2">
        <v>4.3</v>
      </c>
      <c r="R240" s="2" t="s">
        <v>548</v>
      </c>
      <c r="S240" s="2"/>
      <c r="U240" s="2" t="s">
        <v>474</v>
      </c>
      <c r="V240">
        <f ca="1" t="shared" si="5"/>
        <v>7.1</v>
      </c>
      <c r="AC240" s="2"/>
      <c r="AD240" t="str">
        <f>IFERROR(__xludf.DUMMYFUNCTION("""COMPUTED_VALUE"""),"The Matrix Reloaded ")</f>
        <v>The Matrix Reloaded </v>
      </c>
      <c r="AE240">
        <f t="shared" si="6"/>
        <v>281492341</v>
      </c>
    </row>
    <row r="241" customHeight="1" spans="1:31">
      <c r="A241" s="2" t="s">
        <v>315</v>
      </c>
      <c r="B241" s="2">
        <v>108</v>
      </c>
      <c r="C241" s="2">
        <v>250863268</v>
      </c>
      <c r="D241" s="2" t="s">
        <v>549</v>
      </c>
      <c r="E241" s="2" t="s">
        <v>12</v>
      </c>
      <c r="F241" t="s">
        <v>13</v>
      </c>
      <c r="G241" t="s">
        <v>23</v>
      </c>
      <c r="H241" t="s">
        <v>23</v>
      </c>
      <c r="I241" t="s">
        <v>24</v>
      </c>
      <c r="N241" s="2" t="s">
        <v>18</v>
      </c>
      <c r="O241" s="2" t="s">
        <v>19</v>
      </c>
      <c r="P241" s="2">
        <v>110000000</v>
      </c>
      <c r="Q241" s="2">
        <v>6.4</v>
      </c>
      <c r="R241" s="2" t="s">
        <v>550</v>
      </c>
      <c r="S241" s="2"/>
      <c r="U241" s="2" t="s">
        <v>479</v>
      </c>
      <c r="V241">
        <f ca="1" t="shared" si="5"/>
        <v>6.14285714285714</v>
      </c>
      <c r="AC241" s="2"/>
      <c r="AD241" t="str">
        <f>IFERROR(__xludf.DUMMYFUNCTION("""COMPUTED_VALUE"""),"Thor: The Dark World ")</f>
        <v>Thor: The Dark World </v>
      </c>
      <c r="AE241">
        <f t="shared" si="6"/>
        <v>206359906</v>
      </c>
    </row>
    <row r="242" customHeight="1" spans="1:31">
      <c r="A242" s="2" t="s">
        <v>551</v>
      </c>
      <c r="B242" s="2">
        <v>114</v>
      </c>
      <c r="C242" s="2">
        <v>155181732</v>
      </c>
      <c r="D242" s="2" t="s">
        <v>276</v>
      </c>
      <c r="E242" s="2" t="s">
        <v>12</v>
      </c>
      <c r="F242" t="s">
        <v>30</v>
      </c>
      <c r="G242" t="s">
        <v>14</v>
      </c>
      <c r="H242" t="s">
        <v>17</v>
      </c>
      <c r="I242" t="s">
        <v>14</v>
      </c>
      <c r="N242" s="2" t="s">
        <v>18</v>
      </c>
      <c r="O242" s="2" t="s">
        <v>19</v>
      </c>
      <c r="P242" s="2">
        <v>110000000</v>
      </c>
      <c r="Q242" s="2">
        <v>6.1</v>
      </c>
      <c r="R242" s="2" t="s">
        <v>552</v>
      </c>
      <c r="S242" s="2"/>
      <c r="U242" s="2" t="s">
        <v>483</v>
      </c>
      <c r="V242">
        <f ca="1" t="shared" si="5"/>
        <v>6.94</v>
      </c>
      <c r="AC242" s="2"/>
      <c r="AD242" t="str">
        <f>IFERROR(__xludf.DUMMYFUNCTION("""COMPUTED_VALUE"""),"Mad Max: Fury Road ")</f>
        <v>Mad Max: Fury Road </v>
      </c>
      <c r="AE242">
        <f t="shared" si="6"/>
        <v>153629365</v>
      </c>
    </row>
    <row r="243" customHeight="1" spans="1:31">
      <c r="A243" s="2" t="s">
        <v>553</v>
      </c>
      <c r="B243" s="2">
        <v>119</v>
      </c>
      <c r="C243" s="2">
        <v>125332007</v>
      </c>
      <c r="D243" s="2" t="s">
        <v>27</v>
      </c>
      <c r="E243" s="2" t="s">
        <v>12</v>
      </c>
      <c r="F243" t="s">
        <v>24</v>
      </c>
      <c r="G243" t="s">
        <v>15</v>
      </c>
      <c r="H243" t="s">
        <v>17</v>
      </c>
      <c r="I243" t="s">
        <v>14</v>
      </c>
      <c r="N243" s="2" t="s">
        <v>18</v>
      </c>
      <c r="O243" s="2" t="s">
        <v>31</v>
      </c>
      <c r="P243" s="2">
        <v>110000000</v>
      </c>
      <c r="Q243" s="2">
        <v>6.5</v>
      </c>
      <c r="R243" s="2" t="s">
        <v>554</v>
      </c>
      <c r="S243" s="2"/>
      <c r="U243" s="2" t="s">
        <v>485</v>
      </c>
      <c r="V243">
        <f ca="1" t="shared" si="5"/>
        <v>6.51</v>
      </c>
      <c r="AC243" s="2"/>
      <c r="AD243" t="str">
        <f>IFERROR(__xludf.DUMMYFUNCTION("""COMPUTED_VALUE"""),"Angels &amp; Demons ")</f>
        <v>Angels &amp; Demons </v>
      </c>
      <c r="AE243">
        <f t="shared" si="6"/>
        <v>133375700</v>
      </c>
    </row>
    <row r="244" customHeight="1" spans="1:31">
      <c r="A244" s="2" t="s">
        <v>176</v>
      </c>
      <c r="B244" s="2">
        <v>142</v>
      </c>
      <c r="C244" s="2">
        <v>113330342</v>
      </c>
      <c r="D244" s="2" t="s">
        <v>386</v>
      </c>
      <c r="E244" s="2" t="s">
        <v>12</v>
      </c>
      <c r="F244" t="s">
        <v>40</v>
      </c>
      <c r="G244" t="s">
        <v>17</v>
      </c>
      <c r="H244" t="s">
        <v>23</v>
      </c>
      <c r="I244" t="s">
        <v>17</v>
      </c>
      <c r="N244" s="2" t="s">
        <v>18</v>
      </c>
      <c r="O244" s="2" t="s">
        <v>19</v>
      </c>
      <c r="P244" s="2">
        <v>110000000</v>
      </c>
      <c r="Q244" s="2">
        <v>7.1</v>
      </c>
      <c r="R244" s="2" t="s">
        <v>555</v>
      </c>
      <c r="S244" s="2"/>
      <c r="U244" s="2" t="s">
        <v>488</v>
      </c>
      <c r="V244">
        <f ca="1" t="shared" si="5"/>
        <v>5.03333333333333</v>
      </c>
      <c r="AC244" s="2"/>
      <c r="AD244" t="str">
        <f>IFERROR(__xludf.DUMMYFUNCTION("""COMPUTED_VALUE"""),"Thor ")</f>
        <v>Thor </v>
      </c>
      <c r="AE244">
        <f t="shared" si="6"/>
        <v>181015026</v>
      </c>
    </row>
    <row r="245" customHeight="1" spans="1:31">
      <c r="A245" s="2" t="s">
        <v>556</v>
      </c>
      <c r="B245" s="2">
        <v>125</v>
      </c>
      <c r="C245" s="2">
        <v>125531634</v>
      </c>
      <c r="D245" s="2" t="s">
        <v>557</v>
      </c>
      <c r="E245" s="2" t="s">
        <v>56</v>
      </c>
      <c r="F245" t="s">
        <v>15</v>
      </c>
      <c r="G245" t="s">
        <v>24</v>
      </c>
      <c r="H245" t="s">
        <v>71</v>
      </c>
      <c r="I245" t="s">
        <v>17</v>
      </c>
      <c r="N245" s="2" t="s">
        <v>18</v>
      </c>
      <c r="O245" s="2" t="s">
        <v>19</v>
      </c>
      <c r="P245" s="2">
        <v>110000000</v>
      </c>
      <c r="Q245" s="2">
        <v>6.4</v>
      </c>
      <c r="R245" s="2" t="s">
        <v>558</v>
      </c>
      <c r="S245" s="2"/>
      <c r="U245" s="2" t="s">
        <v>490</v>
      </c>
      <c r="V245">
        <f ca="1" t="shared" si="5"/>
        <v>6.71666666666667</v>
      </c>
      <c r="AC245" s="2"/>
      <c r="AD245" t="str">
        <f>IFERROR(__xludf.DUMMYFUNCTION("""COMPUTED_VALUE"""),"Bolt ")</f>
        <v>Bolt </v>
      </c>
      <c r="AE245">
        <f t="shared" si="6"/>
        <v>114053483</v>
      </c>
    </row>
    <row r="246" customHeight="1" spans="1:31">
      <c r="A246" s="2" t="s">
        <v>216</v>
      </c>
      <c r="B246" s="2">
        <v>126</v>
      </c>
      <c r="C246" s="2">
        <v>186336103</v>
      </c>
      <c r="D246" s="2" t="s">
        <v>559</v>
      </c>
      <c r="E246" s="2" t="s">
        <v>12</v>
      </c>
      <c r="F246" t="s">
        <v>30</v>
      </c>
      <c r="G246" t="s">
        <v>17</v>
      </c>
      <c r="H246" t="s">
        <v>15</v>
      </c>
      <c r="I246" t="s">
        <v>24</v>
      </c>
      <c r="N246" s="2" t="s">
        <v>18</v>
      </c>
      <c r="O246" s="2" t="s">
        <v>19</v>
      </c>
      <c r="P246" s="2">
        <v>120000000</v>
      </c>
      <c r="Q246" s="2">
        <v>6.5</v>
      </c>
      <c r="R246" s="2" t="s">
        <v>560</v>
      </c>
      <c r="S246" s="2"/>
      <c r="U246" s="2" t="s">
        <v>494</v>
      </c>
      <c r="V246">
        <f ca="1" t="shared" si="5"/>
        <v>6.15</v>
      </c>
      <c r="AC246" s="2"/>
      <c r="AD246" t="str">
        <f>IFERROR(__xludf.DUMMYFUNCTION("""COMPUTED_VALUE"""),"G-Force ")</f>
        <v>G-Force </v>
      </c>
      <c r="AE246">
        <f t="shared" si="6"/>
        <v>119420164</v>
      </c>
    </row>
    <row r="247" customHeight="1" spans="1:31">
      <c r="A247" s="2" t="s">
        <v>468</v>
      </c>
      <c r="B247" s="2">
        <v>119</v>
      </c>
      <c r="C247" s="2">
        <v>129995817</v>
      </c>
      <c r="D247" s="2" t="s">
        <v>439</v>
      </c>
      <c r="E247" s="2" t="s">
        <v>13</v>
      </c>
      <c r="F247" t="s">
        <v>40</v>
      </c>
      <c r="G247" t="s">
        <v>15</v>
      </c>
      <c r="H247" t="s">
        <v>24</v>
      </c>
      <c r="I247" t="s">
        <v>24</v>
      </c>
      <c r="N247" s="2" t="s">
        <v>18</v>
      </c>
      <c r="O247" s="2" t="s">
        <v>19</v>
      </c>
      <c r="P247" s="2">
        <v>110000000</v>
      </c>
      <c r="Q247" s="2">
        <v>6.3</v>
      </c>
      <c r="R247" s="2" t="s">
        <v>561</v>
      </c>
      <c r="S247" s="2"/>
      <c r="U247" s="2" t="s">
        <v>497</v>
      </c>
      <c r="V247">
        <f ca="1" t="shared" ref="V247:V310" si="7">AVERAGEIF(A131:A3916,U247,Q132:Q3916)</f>
        <v>7.2</v>
      </c>
      <c r="AC247" s="2"/>
      <c r="AD247" t="str">
        <f>IFERROR(__xludf.DUMMYFUNCTION("""COMPUTED_VALUE"""),"Wrath of the Titans ")</f>
        <v>Wrath of the Titans </v>
      </c>
      <c r="AE247">
        <f t="shared" ref="AE247:AE310" si="8">C131-B131</f>
        <v>83640327</v>
      </c>
    </row>
    <row r="248" customHeight="1" spans="1:31">
      <c r="A248" s="2" t="s">
        <v>196</v>
      </c>
      <c r="B248" s="2">
        <v>170</v>
      </c>
      <c r="C248" s="2">
        <v>102608827</v>
      </c>
      <c r="D248" s="2" t="s">
        <v>562</v>
      </c>
      <c r="E248" s="2" t="s">
        <v>59</v>
      </c>
      <c r="F248" t="s">
        <v>40</v>
      </c>
      <c r="G248" t="s">
        <v>14</v>
      </c>
      <c r="H248" t="s">
        <v>14</v>
      </c>
      <c r="I248" t="s">
        <v>15</v>
      </c>
      <c r="N248" s="2" t="s">
        <v>18</v>
      </c>
      <c r="O248" s="2" t="s">
        <v>19</v>
      </c>
      <c r="P248" s="2">
        <v>110000000</v>
      </c>
      <c r="Q248" s="2">
        <v>7.5</v>
      </c>
      <c r="R248" s="2" t="s">
        <v>563</v>
      </c>
      <c r="S248" s="2"/>
      <c r="U248" s="2" t="s">
        <v>501</v>
      </c>
      <c r="V248">
        <f ca="1" t="shared" si="7"/>
        <v>7.3</v>
      </c>
      <c r="AC248" s="2"/>
      <c r="AD248" t="str">
        <f>IFERROR(__xludf.DUMMYFUNCTION("""COMPUTED_VALUE"""),"Dark Shadows ")</f>
        <v>Dark Shadows </v>
      </c>
      <c r="AE248">
        <f t="shared" si="8"/>
        <v>79711565</v>
      </c>
    </row>
    <row r="249" customHeight="1" spans="1:31">
      <c r="A249" s="2" t="s">
        <v>191</v>
      </c>
      <c r="B249" s="2">
        <v>85</v>
      </c>
      <c r="C249" s="2">
        <v>42776259</v>
      </c>
      <c r="D249" s="2" t="s">
        <v>301</v>
      </c>
      <c r="E249" s="2" t="s">
        <v>13</v>
      </c>
      <c r="F249" t="s">
        <v>30</v>
      </c>
      <c r="G249" t="s">
        <v>24</v>
      </c>
      <c r="H249" t="s">
        <v>83</v>
      </c>
      <c r="I249" t="s">
        <v>16</v>
      </c>
      <c r="N249" s="2" t="s">
        <v>18</v>
      </c>
      <c r="O249" s="2" t="s">
        <v>19</v>
      </c>
      <c r="P249" s="2">
        <v>112000000</v>
      </c>
      <c r="Q249" s="2">
        <v>4.9</v>
      </c>
      <c r="R249" s="2" t="s">
        <v>564</v>
      </c>
      <c r="S249" s="2"/>
      <c r="U249" s="2" t="s">
        <v>510</v>
      </c>
      <c r="V249">
        <f ca="1" t="shared" si="7"/>
        <v>6.8</v>
      </c>
      <c r="AC249" s="2"/>
      <c r="AD249" t="str">
        <f>IFERROR(__xludf.DUMMYFUNCTION("""COMPUTED_VALUE"""),"Mission: Impossible - Rogue Nation ")</f>
        <v>Mission: Impossible - Rogue Nation </v>
      </c>
      <c r="AE249">
        <f t="shared" si="8"/>
        <v>195000743</v>
      </c>
    </row>
    <row r="250" customHeight="1" spans="1:31">
      <c r="A250" s="2" t="s">
        <v>565</v>
      </c>
      <c r="B250" s="2">
        <v>119</v>
      </c>
      <c r="C250" s="2">
        <v>98780042</v>
      </c>
      <c r="D250" s="2" t="s">
        <v>566</v>
      </c>
      <c r="E250" s="2" t="s">
        <v>12</v>
      </c>
      <c r="F250" t="s">
        <v>35</v>
      </c>
      <c r="G250" t="s">
        <v>15</v>
      </c>
      <c r="H250" t="s">
        <v>14</v>
      </c>
      <c r="I250" t="s">
        <v>24</v>
      </c>
      <c r="N250" s="2" t="s">
        <v>18</v>
      </c>
      <c r="O250" s="2" t="s">
        <v>19</v>
      </c>
      <c r="P250" s="2">
        <v>120000000</v>
      </c>
      <c r="Q250" s="2">
        <v>5.8</v>
      </c>
      <c r="R250" s="2" t="s">
        <v>567</v>
      </c>
      <c r="S250" s="2"/>
      <c r="U250" s="2" t="s">
        <v>513</v>
      </c>
      <c r="V250">
        <f ca="1" t="shared" si="7"/>
        <v>5.9</v>
      </c>
      <c r="AC250" s="2"/>
      <c r="AD250" t="str">
        <f>IFERROR(__xludf.DUMMYFUNCTION("""COMPUTED_VALUE"""),"The Wolfman ")</f>
        <v>The Wolfman </v>
      </c>
      <c r="AE250">
        <f t="shared" si="8"/>
        <v>61937376</v>
      </c>
    </row>
    <row r="251" customHeight="1" spans="1:31">
      <c r="A251" s="2" t="s">
        <v>568</v>
      </c>
      <c r="B251" s="2">
        <v>102</v>
      </c>
      <c r="C251" s="2">
        <v>106369117</v>
      </c>
      <c r="D251" s="2" t="s">
        <v>569</v>
      </c>
      <c r="E251" s="2" t="s">
        <v>12</v>
      </c>
      <c r="F251" t="s">
        <v>40</v>
      </c>
      <c r="G251" t="s">
        <v>30</v>
      </c>
      <c r="H251" t="s">
        <v>14</v>
      </c>
      <c r="I251" t="s">
        <v>24</v>
      </c>
      <c r="N251" s="2" t="s">
        <v>18</v>
      </c>
      <c r="O251" s="2" t="s">
        <v>19</v>
      </c>
      <c r="P251" s="2">
        <v>110000000</v>
      </c>
      <c r="Q251" s="2">
        <v>6.2</v>
      </c>
      <c r="R251" s="2" t="s">
        <v>570</v>
      </c>
      <c r="S251" s="2"/>
      <c r="U251" s="2" t="s">
        <v>515</v>
      </c>
      <c r="V251">
        <f ca="1" t="shared" si="7"/>
        <v>5.75</v>
      </c>
      <c r="AC251" s="2"/>
      <c r="AD251" t="str">
        <f>IFERROR(__xludf.DUMMYFUNCTION("""COMPUTED_VALUE"""),"Bee Movie ")</f>
        <v>Bee Movie </v>
      </c>
      <c r="AE251">
        <f t="shared" si="8"/>
        <v>126597030</v>
      </c>
    </row>
    <row r="252" customHeight="1" spans="1:31">
      <c r="A252" s="2" t="s">
        <v>571</v>
      </c>
      <c r="B252" s="2">
        <v>103</v>
      </c>
      <c r="C252" s="2">
        <v>142614158</v>
      </c>
      <c r="D252" s="2" t="s">
        <v>124</v>
      </c>
      <c r="E252" s="2" t="s">
        <v>13</v>
      </c>
      <c r="F252" t="s">
        <v>13</v>
      </c>
      <c r="G252" t="s">
        <v>30</v>
      </c>
      <c r="H252" t="s">
        <v>24</v>
      </c>
      <c r="I252" t="s">
        <v>28</v>
      </c>
      <c r="N252" s="2" t="s">
        <v>18</v>
      </c>
      <c r="O252" s="2" t="s">
        <v>19</v>
      </c>
      <c r="P252" s="2">
        <v>110000000</v>
      </c>
      <c r="Q252" s="2">
        <v>5.5</v>
      </c>
      <c r="R252" s="2" t="s">
        <v>572</v>
      </c>
      <c r="S252" s="2"/>
      <c r="U252" s="2" t="s">
        <v>520</v>
      </c>
      <c r="V252">
        <f ca="1" t="shared" si="7"/>
        <v>6.53333333333333</v>
      </c>
      <c r="AC252" s="2"/>
      <c r="AD252" t="str">
        <f>IFERROR(__xludf.DUMMYFUNCTION("""COMPUTED_VALUE"""),"Kung Fu Panda 2 ")</f>
        <v>Kung Fu Panda 2 </v>
      </c>
      <c r="AE252">
        <f t="shared" si="8"/>
        <v>165230171</v>
      </c>
    </row>
    <row r="253" customHeight="1" spans="1:31">
      <c r="A253" s="2" t="s">
        <v>573</v>
      </c>
      <c r="B253" s="2">
        <v>76</v>
      </c>
      <c r="C253" s="2">
        <v>50026353</v>
      </c>
      <c r="D253" s="2" t="s">
        <v>574</v>
      </c>
      <c r="E253" s="2" t="s">
        <v>35</v>
      </c>
      <c r="F253" t="s">
        <v>30</v>
      </c>
      <c r="G253" t="s">
        <v>24</v>
      </c>
      <c r="H253" t="s">
        <v>23</v>
      </c>
      <c r="I253" t="s">
        <v>16</v>
      </c>
      <c r="N253" s="2" t="s">
        <v>18</v>
      </c>
      <c r="O253" s="2" t="s">
        <v>19</v>
      </c>
      <c r="P253" s="2">
        <v>110000000</v>
      </c>
      <c r="Q253" s="2">
        <v>5.4</v>
      </c>
      <c r="R253" s="2" t="s">
        <v>575</v>
      </c>
      <c r="S253" s="2"/>
      <c r="U253" s="2" t="s">
        <v>523</v>
      </c>
      <c r="V253">
        <f ca="1" t="shared" si="7"/>
        <v>6.225</v>
      </c>
      <c r="AC253" s="2"/>
      <c r="AD253" t="str">
        <f>IFERROR(__xludf.DUMMYFUNCTION("""COMPUTED_VALUE"""),"The Last Airbender ")</f>
        <v>The Last Airbender </v>
      </c>
      <c r="AE253">
        <f t="shared" si="8"/>
        <v>131564628</v>
      </c>
    </row>
    <row r="254" customHeight="1" spans="1:31">
      <c r="A254" s="2" t="s">
        <v>468</v>
      </c>
      <c r="B254" s="2">
        <v>120</v>
      </c>
      <c r="C254" s="2">
        <v>66002193</v>
      </c>
      <c r="D254" s="2" t="s">
        <v>576</v>
      </c>
      <c r="E254" s="2" t="s">
        <v>12</v>
      </c>
      <c r="F254" t="s">
        <v>35</v>
      </c>
      <c r="G254" t="s">
        <v>24</v>
      </c>
      <c r="H254" t="s">
        <v>15</v>
      </c>
      <c r="I254" t="s">
        <v>17</v>
      </c>
      <c r="N254" s="2" t="s">
        <v>18</v>
      </c>
      <c r="O254" s="2" t="s">
        <v>19</v>
      </c>
      <c r="P254" s="2">
        <v>110000000</v>
      </c>
      <c r="Q254" s="2">
        <v>5.8</v>
      </c>
      <c r="R254" s="2" t="s">
        <v>577</v>
      </c>
      <c r="S254" s="2"/>
      <c r="U254" s="2" t="s">
        <v>528</v>
      </c>
      <c r="V254">
        <f ca="1" t="shared" si="7"/>
        <v>7</v>
      </c>
      <c r="AC254" s="2"/>
      <c r="AD254" t="str">
        <f>IFERROR(__xludf.DUMMYFUNCTION("""COMPUTED_VALUE"""),"Mission: Impossible III ")</f>
        <v>Mission: Impossible III </v>
      </c>
      <c r="AE254">
        <f t="shared" si="8"/>
        <v>133382185</v>
      </c>
    </row>
    <row r="255" customHeight="1" spans="1:31">
      <c r="A255" s="2" t="s">
        <v>315</v>
      </c>
      <c r="B255" s="2">
        <v>127</v>
      </c>
      <c r="C255" s="2">
        <v>85463309</v>
      </c>
      <c r="D255" s="2" t="s">
        <v>578</v>
      </c>
      <c r="E255" s="2" t="s">
        <v>12</v>
      </c>
      <c r="F255" t="s">
        <v>56</v>
      </c>
      <c r="G255" t="s">
        <v>56</v>
      </c>
      <c r="H255" t="s">
        <v>23</v>
      </c>
      <c r="I255" t="s">
        <v>15</v>
      </c>
      <c r="N255" s="2" t="s">
        <v>18</v>
      </c>
      <c r="O255" s="2" t="s">
        <v>19</v>
      </c>
      <c r="P255" s="2">
        <v>110000000</v>
      </c>
      <c r="Q255" s="2">
        <v>7.1</v>
      </c>
      <c r="R255" s="2" t="s">
        <v>579</v>
      </c>
      <c r="S255" s="2"/>
      <c r="U255" s="2" t="s">
        <v>534</v>
      </c>
      <c r="V255">
        <f ca="1" t="shared" si="7"/>
        <v>5.7</v>
      </c>
      <c r="AC255" s="2"/>
      <c r="AD255" t="str">
        <f>IFERROR(__xludf.DUMMYFUNCTION("""COMPUTED_VALUE"""),"White House Down ")</f>
        <v>White House Down </v>
      </c>
      <c r="AE255">
        <f t="shared" si="8"/>
        <v>73103653</v>
      </c>
    </row>
    <row r="256" customHeight="1" spans="1:31">
      <c r="A256" s="2" t="s">
        <v>571</v>
      </c>
      <c r="B256" s="2">
        <v>105</v>
      </c>
      <c r="C256" s="2">
        <v>71017784</v>
      </c>
      <c r="D256" s="2" t="s">
        <v>124</v>
      </c>
      <c r="E256" s="2" t="s">
        <v>13</v>
      </c>
      <c r="F256" t="s">
        <v>15</v>
      </c>
      <c r="G256" t="s">
        <v>28</v>
      </c>
      <c r="H256" t="s">
        <v>14</v>
      </c>
      <c r="I256" t="s">
        <v>24</v>
      </c>
      <c r="N256" s="2" t="s">
        <v>18</v>
      </c>
      <c r="O256" s="2" t="s">
        <v>19</v>
      </c>
      <c r="P256" s="2">
        <v>105000000</v>
      </c>
      <c r="Q256" s="2">
        <v>5.4</v>
      </c>
      <c r="R256" s="2" t="s">
        <v>580</v>
      </c>
      <c r="S256" s="2"/>
      <c r="U256" s="2" t="s">
        <v>538</v>
      </c>
      <c r="V256">
        <f ca="1" t="shared" si="7"/>
        <v>5.9</v>
      </c>
      <c r="AC256" s="2"/>
      <c r="AD256" t="str">
        <f>IFERROR(__xludf.DUMMYFUNCTION("""COMPUTED_VALUE"""),"Mars Needs Moms ")</f>
        <v>Mars Needs Moms </v>
      </c>
      <c r="AE256">
        <f t="shared" si="8"/>
        <v>21379227</v>
      </c>
    </row>
    <row r="257" customHeight="1" spans="1:31">
      <c r="A257" s="2" t="s">
        <v>581</v>
      </c>
      <c r="B257" s="2">
        <v>121</v>
      </c>
      <c r="C257" s="2">
        <v>48068396</v>
      </c>
      <c r="D257" s="2" t="s">
        <v>582</v>
      </c>
      <c r="E257" s="2" t="s">
        <v>12</v>
      </c>
      <c r="F257" t="s">
        <v>13</v>
      </c>
      <c r="G257" t="s">
        <v>23</v>
      </c>
      <c r="H257" t="s">
        <v>15</v>
      </c>
      <c r="I257" t="s">
        <v>24</v>
      </c>
      <c r="N257" s="2" t="s">
        <v>18</v>
      </c>
      <c r="O257" s="2" t="s">
        <v>19</v>
      </c>
      <c r="P257" s="2">
        <v>160000000</v>
      </c>
      <c r="Q257" s="2">
        <v>3.7</v>
      </c>
      <c r="R257" s="2" t="s">
        <v>583</v>
      </c>
      <c r="S257" s="2"/>
      <c r="U257" s="2" t="s">
        <v>543</v>
      </c>
      <c r="V257">
        <f ca="1" t="shared" si="7"/>
        <v>6.51428571428571</v>
      </c>
      <c r="AC257" s="2"/>
      <c r="AD257" t="str">
        <f>IFERROR(__xludf.DUMMYFUNCTION("""COMPUTED_VALUE"""),"Flushed Away ")</f>
        <v>Flushed Away </v>
      </c>
      <c r="AE257">
        <f t="shared" si="8"/>
        <v>64459231</v>
      </c>
    </row>
    <row r="258" customHeight="1" spans="1:31">
      <c r="A258" s="2" t="s">
        <v>317</v>
      </c>
      <c r="B258" s="2">
        <v>114</v>
      </c>
      <c r="C258" s="2">
        <v>61656849</v>
      </c>
      <c r="D258" s="2" t="s">
        <v>256</v>
      </c>
      <c r="E258" s="2" t="s">
        <v>12</v>
      </c>
      <c r="F258" t="s">
        <v>13</v>
      </c>
      <c r="G258" t="s">
        <v>40</v>
      </c>
      <c r="H258" t="s">
        <v>55</v>
      </c>
      <c r="I258" t="s">
        <v>71</v>
      </c>
      <c r="N258" s="2" t="s">
        <v>18</v>
      </c>
      <c r="O258" s="2" t="s">
        <v>19</v>
      </c>
      <c r="P258" s="2">
        <v>110000000</v>
      </c>
      <c r="Q258" s="2">
        <v>6.7</v>
      </c>
      <c r="R258" s="2" t="s">
        <v>584</v>
      </c>
      <c r="S258" s="2"/>
      <c r="U258" s="2" t="s">
        <v>545</v>
      </c>
      <c r="V258">
        <f ca="1" t="shared" si="7"/>
        <v>5.4</v>
      </c>
      <c r="AC258" s="2"/>
      <c r="AD258" t="str">
        <f>IFERROR(__xludf.DUMMYFUNCTION("""COMPUTED_VALUE"""),"Pan ")</f>
        <v>Pan </v>
      </c>
      <c r="AE258">
        <f t="shared" si="8"/>
        <v>34964707</v>
      </c>
    </row>
    <row r="259" customHeight="1" spans="1:31">
      <c r="A259" s="2" t="s">
        <v>585</v>
      </c>
      <c r="B259" s="2">
        <v>129</v>
      </c>
      <c r="C259" s="2">
        <v>134520804</v>
      </c>
      <c r="D259" s="2" t="s">
        <v>27</v>
      </c>
      <c r="E259" s="2" t="s">
        <v>12</v>
      </c>
      <c r="F259" t="s">
        <v>13</v>
      </c>
      <c r="G259" t="s">
        <v>24</v>
      </c>
      <c r="H259" t="s">
        <v>23</v>
      </c>
      <c r="I259" t="s">
        <v>29</v>
      </c>
      <c r="N259" s="2" t="s">
        <v>18</v>
      </c>
      <c r="O259" s="2" t="s">
        <v>19</v>
      </c>
      <c r="P259" s="2">
        <v>110000000</v>
      </c>
      <c r="Q259" s="2">
        <v>7.2</v>
      </c>
      <c r="R259" s="2" t="s">
        <v>586</v>
      </c>
      <c r="S259" s="2"/>
      <c r="U259" s="2" t="s">
        <v>547</v>
      </c>
      <c r="V259">
        <f ca="1" t="shared" si="7"/>
        <v>6.5</v>
      </c>
      <c r="AC259" s="2"/>
      <c r="AD259" t="str">
        <f>IFERROR(__xludf.DUMMYFUNCTION("""COMPUTED_VALUE"""),"Mr. Peabody &amp; Sherman ")</f>
        <v>Mr. Peabody &amp; Sherman </v>
      </c>
      <c r="AE259">
        <f t="shared" si="8"/>
        <v>111505550</v>
      </c>
    </row>
    <row r="260" customHeight="1" spans="1:31">
      <c r="A260" s="2" t="s">
        <v>88</v>
      </c>
      <c r="B260" s="2">
        <v>171</v>
      </c>
      <c r="C260" s="2">
        <v>313837577</v>
      </c>
      <c r="D260" s="2" t="s">
        <v>228</v>
      </c>
      <c r="E260" s="2" t="s">
        <v>12</v>
      </c>
      <c r="F260" t="s">
        <v>30</v>
      </c>
      <c r="G260" t="s">
        <v>40</v>
      </c>
      <c r="H260" t="s">
        <v>23</v>
      </c>
      <c r="I260" t="s">
        <v>14</v>
      </c>
      <c r="N260" s="2" t="s">
        <v>18</v>
      </c>
      <c r="O260" s="2" t="s">
        <v>90</v>
      </c>
      <c r="P260" s="2">
        <v>93000000</v>
      </c>
      <c r="Q260" s="2">
        <v>8.8</v>
      </c>
      <c r="R260" s="2" t="s">
        <v>587</v>
      </c>
      <c r="S260" s="2"/>
      <c r="U260" s="2" t="s">
        <v>551</v>
      </c>
      <c r="V260">
        <f ca="1" t="shared" si="7"/>
        <v>6.36666666666667</v>
      </c>
      <c r="AC260" s="2"/>
      <c r="AD260" t="str">
        <f>IFERROR(__xludf.DUMMYFUNCTION("""COMPUTED_VALUE"""),"Troy ")</f>
        <v>Troy </v>
      </c>
      <c r="AE260">
        <f t="shared" si="8"/>
        <v>133228152</v>
      </c>
    </row>
    <row r="261" customHeight="1" spans="1:31">
      <c r="A261" s="2" t="s">
        <v>588</v>
      </c>
      <c r="B261" s="2">
        <v>120</v>
      </c>
      <c r="C261" s="2">
        <v>24004159</v>
      </c>
      <c r="D261" s="2" t="s">
        <v>589</v>
      </c>
      <c r="E261" s="2" t="s">
        <v>12</v>
      </c>
      <c r="F261" t="s">
        <v>40</v>
      </c>
      <c r="G261" t="s">
        <v>23</v>
      </c>
      <c r="H261" t="s">
        <v>14</v>
      </c>
      <c r="I261" t="s">
        <v>83</v>
      </c>
      <c r="N261" s="2" t="s">
        <v>18</v>
      </c>
      <c r="O261" s="2" t="s">
        <v>19</v>
      </c>
      <c r="P261" s="2">
        <v>110000000</v>
      </c>
      <c r="Q261" s="2">
        <v>5.8</v>
      </c>
      <c r="R261" s="2" t="s">
        <v>590</v>
      </c>
      <c r="S261" s="2"/>
      <c r="U261" s="2" t="s">
        <v>553</v>
      </c>
      <c r="V261">
        <f ca="1" t="shared" si="7"/>
        <v>6.73333333333333</v>
      </c>
      <c r="AC261" s="2"/>
      <c r="AD261" t="str">
        <f>IFERROR(__xludf.DUMMYFUNCTION("""COMPUTED_VALUE"""),"Madagascar 3: Europe's Most Wanted ")</f>
        <v>Madagascar 3: Europe's Most Wanted </v>
      </c>
      <c r="AE261">
        <f t="shared" si="8"/>
        <v>216366640</v>
      </c>
    </row>
    <row r="262" customHeight="1" spans="1:31">
      <c r="A262" s="2" t="s">
        <v>591</v>
      </c>
      <c r="B262" s="2">
        <v>165</v>
      </c>
      <c r="C262" s="2">
        <v>58183966</v>
      </c>
      <c r="D262" s="2" t="s">
        <v>592</v>
      </c>
      <c r="E262" s="2" t="s">
        <v>59</v>
      </c>
      <c r="F262" t="s">
        <v>28</v>
      </c>
      <c r="G262" t="s">
        <v>23</v>
      </c>
      <c r="H262" t="s">
        <v>23</v>
      </c>
      <c r="I262" t="s">
        <v>23</v>
      </c>
      <c r="N262" s="2" t="s">
        <v>18</v>
      </c>
      <c r="O262" s="2" t="s">
        <v>19</v>
      </c>
      <c r="P262" s="2">
        <v>107000000</v>
      </c>
      <c r="Q262" s="2">
        <v>6.8</v>
      </c>
      <c r="R262" s="2" t="s">
        <v>593</v>
      </c>
      <c r="S262" s="2"/>
      <c r="U262" s="2" t="s">
        <v>556</v>
      </c>
      <c r="V262">
        <f ca="1" t="shared" si="7"/>
        <v>6.38666666666667</v>
      </c>
      <c r="AC262" s="2"/>
      <c r="AD262" t="str">
        <f>IFERROR(__xludf.DUMMYFUNCTION("""COMPUTED_VALUE"""),"Die Another Day ")</f>
        <v>Die Another Day </v>
      </c>
      <c r="AE262">
        <f t="shared" si="8"/>
        <v>160200973</v>
      </c>
    </row>
    <row r="263" customHeight="1" spans="1:31">
      <c r="A263" s="2" t="s">
        <v>594</v>
      </c>
      <c r="B263" s="2">
        <v>82</v>
      </c>
      <c r="C263" s="2">
        <v>100446895</v>
      </c>
      <c r="D263" s="2" t="s">
        <v>301</v>
      </c>
      <c r="E263" s="2" t="s">
        <v>13</v>
      </c>
      <c r="F263" t="s">
        <v>13</v>
      </c>
      <c r="G263" t="s">
        <v>23</v>
      </c>
      <c r="H263" t="s">
        <v>23</v>
      </c>
      <c r="I263" t="s">
        <v>15</v>
      </c>
      <c r="N263" s="2" t="s">
        <v>18</v>
      </c>
      <c r="O263" s="2" t="s">
        <v>19</v>
      </c>
      <c r="P263" s="2">
        <v>109000000</v>
      </c>
      <c r="Q263" s="2">
        <v>3.8</v>
      </c>
      <c r="R263" s="2" t="s">
        <v>595</v>
      </c>
      <c r="S263" s="2"/>
      <c r="U263" s="2" t="s">
        <v>565</v>
      </c>
      <c r="V263">
        <f ca="1" t="shared" si="7"/>
        <v>6.25</v>
      </c>
      <c r="AC263" s="2"/>
      <c r="AD263" t="str">
        <f>IFERROR(__xludf.DUMMYFUNCTION("""COMPUTED_VALUE"""),"Ghostbusters ")</f>
        <v>Ghostbusters </v>
      </c>
      <c r="AE263">
        <f t="shared" si="8"/>
        <v>118099543</v>
      </c>
    </row>
    <row r="264" customHeight="1" spans="1:31">
      <c r="A264" s="2" t="s">
        <v>394</v>
      </c>
      <c r="B264" s="2">
        <v>115</v>
      </c>
      <c r="C264" s="2">
        <v>144795350</v>
      </c>
      <c r="D264" s="2" t="s">
        <v>596</v>
      </c>
      <c r="E264" s="2" t="s">
        <v>12</v>
      </c>
      <c r="F264" t="s">
        <v>40</v>
      </c>
      <c r="G264" t="s">
        <v>24</v>
      </c>
      <c r="H264" t="s">
        <v>15</v>
      </c>
      <c r="I264" t="s">
        <v>71</v>
      </c>
      <c r="N264" s="2" t="s">
        <v>18</v>
      </c>
      <c r="O264" s="2" t="s">
        <v>19</v>
      </c>
      <c r="P264" s="2">
        <v>120000000</v>
      </c>
      <c r="Q264" s="2">
        <v>7.1</v>
      </c>
      <c r="R264" s="2" t="s">
        <v>597</v>
      </c>
      <c r="S264" s="2"/>
      <c r="U264" s="2" t="s">
        <v>568</v>
      </c>
      <c r="V264">
        <f ca="1" t="shared" si="7"/>
        <v>5.5</v>
      </c>
      <c r="AC264" s="2"/>
      <c r="AD264" t="str">
        <f>IFERROR(__xludf.DUMMYFUNCTION("""COMPUTED_VALUE"""),"Armageddon ")</f>
        <v>Armageddon </v>
      </c>
      <c r="AE264">
        <f t="shared" si="8"/>
        <v>201573238</v>
      </c>
    </row>
    <row r="265" customHeight="1" spans="1:31">
      <c r="A265" s="2" t="s">
        <v>94</v>
      </c>
      <c r="B265" s="2">
        <v>194</v>
      </c>
      <c r="C265" s="2">
        <v>47396698</v>
      </c>
      <c r="D265" s="2" t="s">
        <v>414</v>
      </c>
      <c r="E265" s="2" t="s">
        <v>12</v>
      </c>
      <c r="F265" t="s">
        <v>23</v>
      </c>
      <c r="G265" t="s">
        <v>72</v>
      </c>
      <c r="H265" t="s">
        <v>15</v>
      </c>
      <c r="I265" t="s">
        <v>15</v>
      </c>
      <c r="N265" s="2" t="s">
        <v>18</v>
      </c>
      <c r="O265" s="2" t="s">
        <v>19</v>
      </c>
      <c r="P265" s="2">
        <v>130000000</v>
      </c>
      <c r="Q265" s="2">
        <v>7.2</v>
      </c>
      <c r="R265" s="2" t="s">
        <v>598</v>
      </c>
      <c r="S265" s="2"/>
      <c r="U265" s="2" t="s">
        <v>571</v>
      </c>
      <c r="V265">
        <f ca="1" t="shared" si="7"/>
        <v>5.96666666666667</v>
      </c>
      <c r="AC265" s="2"/>
      <c r="AD265" t="str">
        <f>IFERROR(__xludf.DUMMYFUNCTION("""COMPUTED_VALUE"""),"Men in Black II ")</f>
        <v>Men in Black II </v>
      </c>
      <c r="AE265">
        <f t="shared" si="8"/>
        <v>190418715</v>
      </c>
    </row>
    <row r="266" customHeight="1" spans="1:31">
      <c r="A266" s="2" t="s">
        <v>363</v>
      </c>
      <c r="B266" s="2">
        <v>84</v>
      </c>
      <c r="C266" s="2">
        <v>140015224</v>
      </c>
      <c r="D266" s="2" t="s">
        <v>301</v>
      </c>
      <c r="E266" s="2" t="s">
        <v>13</v>
      </c>
      <c r="F266" t="s">
        <v>30</v>
      </c>
      <c r="G266" t="s">
        <v>24</v>
      </c>
      <c r="H266" t="s">
        <v>23</v>
      </c>
      <c r="I266" t="s">
        <v>17</v>
      </c>
      <c r="N266" s="2" t="s">
        <v>18</v>
      </c>
      <c r="O266" s="2" t="s">
        <v>293</v>
      </c>
      <c r="P266" s="2">
        <v>133000000</v>
      </c>
      <c r="Q266" s="2">
        <v>5.9</v>
      </c>
      <c r="R266" s="2" t="s">
        <v>599</v>
      </c>
      <c r="S266" s="2"/>
      <c r="U266" s="2" t="s">
        <v>573</v>
      </c>
      <c r="V266">
        <f ca="1" t="shared" si="7"/>
        <v>5.6</v>
      </c>
      <c r="AC266" s="2"/>
      <c r="AD266" t="str">
        <f>IFERROR(__xludf.DUMMYFUNCTION("""COMPUTED_VALUE"""),"Beowulf ")</f>
        <v>Beowulf </v>
      </c>
      <c r="AE266">
        <f t="shared" si="8"/>
        <v>82161854</v>
      </c>
    </row>
    <row r="267" customHeight="1" spans="1:31">
      <c r="A267" s="2" t="s">
        <v>600</v>
      </c>
      <c r="B267" s="2">
        <v>97</v>
      </c>
      <c r="C267" s="2">
        <v>104374107</v>
      </c>
      <c r="D267" s="2" t="s">
        <v>601</v>
      </c>
      <c r="E267" s="2" t="s">
        <v>35</v>
      </c>
      <c r="F267" t="s">
        <v>13</v>
      </c>
      <c r="G267" t="s">
        <v>56</v>
      </c>
      <c r="H267" t="s">
        <v>24</v>
      </c>
      <c r="I267" t="s">
        <v>24</v>
      </c>
      <c r="N267" s="2" t="s">
        <v>18</v>
      </c>
      <c r="O267" s="2" t="s">
        <v>19</v>
      </c>
      <c r="P267" s="2">
        <v>105000000</v>
      </c>
      <c r="Q267" s="2">
        <v>7.1</v>
      </c>
      <c r="R267" s="2" t="s">
        <v>602</v>
      </c>
      <c r="S267" s="2"/>
      <c r="U267" s="2" t="s">
        <v>581</v>
      </c>
      <c r="V267">
        <f ca="1" t="shared" si="7"/>
        <v>6.88</v>
      </c>
      <c r="AC267" s="2"/>
      <c r="AD267" t="str">
        <f>IFERROR(__xludf.DUMMYFUNCTION("""COMPUTED_VALUE"""),"Kung Fu Panda 3 ")</f>
        <v>Kung Fu Panda 3 </v>
      </c>
      <c r="AE267">
        <f t="shared" si="8"/>
        <v>143523368</v>
      </c>
    </row>
    <row r="268" customHeight="1" spans="1:31">
      <c r="A268" s="2" t="s">
        <v>94</v>
      </c>
      <c r="B268" s="2">
        <v>151</v>
      </c>
      <c r="C268" s="2">
        <v>228430993</v>
      </c>
      <c r="D268" s="2" t="s">
        <v>260</v>
      </c>
      <c r="E268" s="2" t="s">
        <v>13</v>
      </c>
      <c r="F268" t="s">
        <v>17</v>
      </c>
      <c r="G268" t="s">
        <v>14</v>
      </c>
      <c r="H268" t="s">
        <v>40</v>
      </c>
      <c r="I268" t="s">
        <v>17</v>
      </c>
      <c r="N268" s="2" t="s">
        <v>18</v>
      </c>
      <c r="O268" s="2" t="s">
        <v>19</v>
      </c>
      <c r="P268" s="2">
        <v>108000000</v>
      </c>
      <c r="Q268" s="2">
        <v>8.1</v>
      </c>
      <c r="R268" s="2" t="s">
        <v>603</v>
      </c>
      <c r="S268" s="2"/>
      <c r="U268" s="2" t="s">
        <v>585</v>
      </c>
      <c r="V268">
        <f ca="1" t="shared" si="7"/>
        <v>7.13333333333333</v>
      </c>
      <c r="AC268" s="2"/>
      <c r="AD268" t="str">
        <f>IFERROR(__xludf.DUMMYFUNCTION("""COMPUTED_VALUE"""),"Mission: Impossible - Ghost Protocol ")</f>
        <v>Mission: Impossible - Ghost Protocol </v>
      </c>
      <c r="AE268">
        <f t="shared" si="8"/>
        <v>209364788</v>
      </c>
    </row>
    <row r="269" customHeight="1" spans="1:31">
      <c r="A269" s="2" t="s">
        <v>126</v>
      </c>
      <c r="B269" s="2">
        <v>136</v>
      </c>
      <c r="C269" s="2">
        <v>35799026</v>
      </c>
      <c r="D269" s="2" t="s">
        <v>604</v>
      </c>
      <c r="E269" s="2" t="s">
        <v>12</v>
      </c>
      <c r="F269" t="s">
        <v>56</v>
      </c>
      <c r="G269" t="s">
        <v>29</v>
      </c>
      <c r="H269" t="s">
        <v>83</v>
      </c>
      <c r="I269" t="s">
        <v>72</v>
      </c>
      <c r="N269" s="2" t="s">
        <v>18</v>
      </c>
      <c r="O269" s="2" t="s">
        <v>19</v>
      </c>
      <c r="P269" s="2">
        <v>126000000</v>
      </c>
      <c r="Q269" s="2">
        <v>6.9</v>
      </c>
      <c r="R269" s="2" t="s">
        <v>605</v>
      </c>
      <c r="S269" s="2"/>
      <c r="U269" s="2" t="s">
        <v>588</v>
      </c>
      <c r="V269">
        <f ca="1" t="shared" si="7"/>
        <v>6.28333333333333</v>
      </c>
      <c r="AC269" s="2"/>
      <c r="AD269" t="str">
        <f>IFERROR(__xludf.DUMMYFUNCTION("""COMPUTED_VALUE"""),"Rise of the Guardians ")</f>
        <v>Rise of the Guardians </v>
      </c>
      <c r="AE269">
        <f t="shared" si="8"/>
        <v>103400595</v>
      </c>
    </row>
    <row r="270" customHeight="1" spans="1:31">
      <c r="A270" s="2" t="s">
        <v>606</v>
      </c>
      <c r="B270" s="2">
        <v>104</v>
      </c>
      <c r="C270" s="2">
        <v>6712451</v>
      </c>
      <c r="D270" s="2" t="s">
        <v>607</v>
      </c>
      <c r="E270" s="2" t="s">
        <v>40</v>
      </c>
      <c r="F270" t="s">
        <v>30</v>
      </c>
      <c r="G270" t="s">
        <v>35</v>
      </c>
      <c r="H270" t="s">
        <v>23</v>
      </c>
      <c r="I270" t="s">
        <v>23</v>
      </c>
      <c r="N270" s="2" t="s">
        <v>18</v>
      </c>
      <c r="O270" s="2" t="s">
        <v>608</v>
      </c>
      <c r="P270" s="2">
        <v>90000000</v>
      </c>
      <c r="Q270" s="2">
        <v>4.4</v>
      </c>
      <c r="R270" s="2" t="s">
        <v>609</v>
      </c>
      <c r="S270" s="2"/>
      <c r="U270" s="2" t="s">
        <v>591</v>
      </c>
      <c r="V270">
        <f ca="1" t="shared" si="7"/>
        <v>6.33333333333333</v>
      </c>
      <c r="AC270" s="2"/>
      <c r="AD270" t="str">
        <f>IFERROR(__xludf.DUMMYFUNCTION("""COMPUTED_VALUE"""),"Fun with Dick and Jane ")</f>
        <v>Fun with Dick and Jane </v>
      </c>
      <c r="AE270">
        <f t="shared" si="8"/>
        <v>110332647</v>
      </c>
    </row>
    <row r="271" customHeight="1" spans="1:31">
      <c r="A271" s="2" t="s">
        <v>610</v>
      </c>
      <c r="B271" s="2">
        <v>127</v>
      </c>
      <c r="C271" s="2">
        <v>101643008</v>
      </c>
      <c r="D271" s="2" t="s">
        <v>150</v>
      </c>
      <c r="E271" s="2" t="s">
        <v>12</v>
      </c>
      <c r="F271" t="s">
        <v>28</v>
      </c>
      <c r="G271" t="s">
        <v>14</v>
      </c>
      <c r="H271" t="s">
        <v>24</v>
      </c>
      <c r="I271" t="s">
        <v>15</v>
      </c>
      <c r="N271" s="2" t="s">
        <v>18</v>
      </c>
      <c r="O271" s="2" t="s">
        <v>19</v>
      </c>
      <c r="P271" s="2">
        <v>90000000</v>
      </c>
      <c r="Q271" s="2">
        <v>6.5</v>
      </c>
      <c r="R271" s="2" t="s">
        <v>611</v>
      </c>
      <c r="S271" s="2"/>
      <c r="U271" s="2" t="s">
        <v>594</v>
      </c>
      <c r="V271">
        <f ca="1" t="shared" si="7"/>
        <v>7.1</v>
      </c>
      <c r="AC271" s="2"/>
      <c r="AD271" t="str">
        <f>IFERROR(__xludf.DUMMYFUNCTION("""COMPUTED_VALUE"""),"The Last Samurai ")</f>
        <v>The Last Samurai </v>
      </c>
      <c r="AE271">
        <f t="shared" si="8"/>
        <v>111110421</v>
      </c>
    </row>
    <row r="272" customHeight="1" spans="1:31">
      <c r="A272" s="2" t="s">
        <v>94</v>
      </c>
      <c r="B272" s="2">
        <v>171</v>
      </c>
      <c r="C272" s="2">
        <v>187670866</v>
      </c>
      <c r="D272" s="2" t="s">
        <v>612</v>
      </c>
      <c r="E272" s="2" t="s">
        <v>12</v>
      </c>
      <c r="F272" t="s">
        <v>23</v>
      </c>
      <c r="G272" t="s">
        <v>23</v>
      </c>
      <c r="H272" t="s">
        <v>55</v>
      </c>
      <c r="I272" t="s">
        <v>17</v>
      </c>
      <c r="N272" s="2" t="s">
        <v>18</v>
      </c>
      <c r="O272" s="2" t="s">
        <v>19</v>
      </c>
      <c r="P272" s="2">
        <v>103000000</v>
      </c>
      <c r="Q272" s="2">
        <v>8.5</v>
      </c>
      <c r="R272" s="2" t="s">
        <v>613</v>
      </c>
      <c r="S272" s="2"/>
      <c r="U272" s="2" t="s">
        <v>600</v>
      </c>
      <c r="V272">
        <f ca="1" t="shared" si="7"/>
        <v>7.13333333333333</v>
      </c>
      <c r="AC272" s="2"/>
      <c r="AD272" t="str">
        <f>IFERROR(__xludf.DUMMYFUNCTION("""COMPUTED_VALUE"""),"Exodus: Gods and Kings ")</f>
        <v>Exodus: Gods and Kings </v>
      </c>
      <c r="AE272">
        <f t="shared" si="8"/>
        <v>65006895</v>
      </c>
    </row>
    <row r="273" customHeight="1" spans="1:31">
      <c r="A273" s="2" t="s">
        <v>166</v>
      </c>
      <c r="B273" s="2">
        <v>145</v>
      </c>
      <c r="C273" s="2">
        <v>132014112</v>
      </c>
      <c r="D273" s="2" t="s">
        <v>596</v>
      </c>
      <c r="E273" s="2" t="s">
        <v>12</v>
      </c>
      <c r="F273" t="s">
        <v>13</v>
      </c>
      <c r="G273" t="s">
        <v>15</v>
      </c>
      <c r="H273" t="s">
        <v>23</v>
      </c>
      <c r="I273" t="s">
        <v>23</v>
      </c>
      <c r="N273" s="2" t="s">
        <v>18</v>
      </c>
      <c r="O273" s="2" t="s">
        <v>19</v>
      </c>
      <c r="P273" s="2">
        <v>102000000</v>
      </c>
      <c r="Q273" s="2">
        <v>7.7</v>
      </c>
      <c r="R273" s="2" t="s">
        <v>614</v>
      </c>
      <c r="S273" s="2"/>
      <c r="U273" s="2" t="s">
        <v>606</v>
      </c>
      <c r="V273">
        <f ca="1" t="shared" si="7"/>
        <v>6.125</v>
      </c>
      <c r="AC273" s="2"/>
      <c r="AD273" t="str">
        <f>IFERROR(__xludf.DUMMYFUNCTION("""COMPUTED_VALUE"""),"Star Trek ")</f>
        <v>Star Trek </v>
      </c>
      <c r="AE273">
        <f t="shared" si="8"/>
        <v>257703972</v>
      </c>
    </row>
    <row r="274" customHeight="1" spans="1:31">
      <c r="A274" s="2" t="s">
        <v>466</v>
      </c>
      <c r="B274" s="2">
        <v>174</v>
      </c>
      <c r="C274" s="2">
        <v>261970615</v>
      </c>
      <c r="D274" s="2" t="s">
        <v>62</v>
      </c>
      <c r="E274" s="2" t="s">
        <v>13</v>
      </c>
      <c r="F274" t="s">
        <v>13</v>
      </c>
      <c r="G274" t="s">
        <v>24</v>
      </c>
      <c r="H274" t="s">
        <v>29</v>
      </c>
      <c r="I274" t="s">
        <v>14</v>
      </c>
      <c r="N274" s="2" t="s">
        <v>18</v>
      </c>
      <c r="O274" s="2" t="s">
        <v>31</v>
      </c>
      <c r="P274" s="2">
        <v>100000000</v>
      </c>
      <c r="Q274" s="2">
        <v>7.4</v>
      </c>
      <c r="R274" s="2" t="s">
        <v>615</v>
      </c>
      <c r="S274" s="2"/>
      <c r="U274" s="2" t="s">
        <v>610</v>
      </c>
      <c r="V274">
        <f ca="1" t="shared" si="7"/>
        <v>7.03333333333333</v>
      </c>
      <c r="AC274" s="2"/>
      <c r="AD274" t="str">
        <f>IFERROR(__xludf.DUMMYFUNCTION("""COMPUTED_VALUE"""),"Spider-Man ")</f>
        <v>Spider-Man </v>
      </c>
      <c r="AE274">
        <f t="shared" si="8"/>
        <v>403706254</v>
      </c>
    </row>
    <row r="275" customHeight="1" spans="1:31">
      <c r="A275" s="2" t="s">
        <v>143</v>
      </c>
      <c r="B275" s="2">
        <v>144</v>
      </c>
      <c r="C275" s="2">
        <v>167007184</v>
      </c>
      <c r="D275" s="2" t="s">
        <v>27</v>
      </c>
      <c r="E275" s="2" t="s">
        <v>12</v>
      </c>
      <c r="F275" t="s">
        <v>15</v>
      </c>
      <c r="G275" t="s">
        <v>39</v>
      </c>
      <c r="H275" t="s">
        <v>24</v>
      </c>
      <c r="I275" t="s">
        <v>14</v>
      </c>
      <c r="N275" s="2" t="s">
        <v>18</v>
      </c>
      <c r="O275" s="2" t="s">
        <v>31</v>
      </c>
      <c r="P275" s="2">
        <v>150000000</v>
      </c>
      <c r="Q275" s="2">
        <v>8</v>
      </c>
      <c r="R275" s="2" t="s">
        <v>616</v>
      </c>
      <c r="S275" s="2"/>
      <c r="U275" s="2" t="s">
        <v>617</v>
      </c>
      <c r="V275">
        <f ca="1" t="shared" si="7"/>
        <v>6.31666666666667</v>
      </c>
      <c r="AC275" s="2"/>
      <c r="AD275" t="str">
        <f>IFERROR(__xludf.DUMMYFUNCTION("""COMPUTED_VALUE"""),"How to Train Your Dragon 2 ")</f>
        <v>How to Train Your Dragon 2 </v>
      </c>
      <c r="AE275">
        <f t="shared" si="8"/>
        <v>176997005</v>
      </c>
    </row>
    <row r="276" customHeight="1" spans="1:31">
      <c r="A276" s="2" t="s">
        <v>117</v>
      </c>
      <c r="B276" s="2">
        <v>119</v>
      </c>
      <c r="C276" s="2">
        <v>180011740</v>
      </c>
      <c r="D276" s="2" t="s">
        <v>108</v>
      </c>
      <c r="E276" s="2" t="s">
        <v>12</v>
      </c>
      <c r="F276" t="s">
        <v>56</v>
      </c>
      <c r="G276" t="s">
        <v>14</v>
      </c>
      <c r="H276" t="s">
        <v>14</v>
      </c>
      <c r="I276" t="s">
        <v>24</v>
      </c>
      <c r="N276" s="2" t="s">
        <v>18</v>
      </c>
      <c r="O276" s="2" t="s">
        <v>19</v>
      </c>
      <c r="P276" s="2">
        <v>100000000</v>
      </c>
      <c r="Q276" s="2">
        <v>5.7</v>
      </c>
      <c r="R276" s="2" t="s">
        <v>618</v>
      </c>
      <c r="S276" s="2"/>
      <c r="U276" s="2" t="s">
        <v>619</v>
      </c>
      <c r="V276">
        <f ca="1" t="shared" si="7"/>
        <v>6.08333333333333</v>
      </c>
      <c r="AC276" s="2"/>
      <c r="AD276" t="str">
        <f>IFERROR(__xludf.DUMMYFUNCTION("""COMPUTED_VALUE"""),"Gods of Egypt ")</f>
        <v>Gods of Egypt </v>
      </c>
      <c r="AE276">
        <f t="shared" si="8"/>
        <v>31140948</v>
      </c>
    </row>
    <row r="277" customHeight="1" spans="1:31">
      <c r="A277" s="2" t="s">
        <v>10</v>
      </c>
      <c r="B277" s="2">
        <v>153</v>
      </c>
      <c r="C277" s="2">
        <v>204843350</v>
      </c>
      <c r="D277" s="2" t="s">
        <v>256</v>
      </c>
      <c r="E277" s="2" t="s">
        <v>12</v>
      </c>
      <c r="F277" t="s">
        <v>56</v>
      </c>
      <c r="G277" t="s">
        <v>59</v>
      </c>
      <c r="H277" t="s">
        <v>17</v>
      </c>
      <c r="I277" t="s">
        <v>24</v>
      </c>
      <c r="N277" s="2" t="s">
        <v>18</v>
      </c>
      <c r="O277" s="2" t="s">
        <v>19</v>
      </c>
      <c r="P277" s="2">
        <v>102000000</v>
      </c>
      <c r="Q277" s="2">
        <v>8.5</v>
      </c>
      <c r="R277" s="2" t="s">
        <v>620</v>
      </c>
      <c r="S277" s="2"/>
      <c r="U277" s="2" t="s">
        <v>621</v>
      </c>
      <c r="V277">
        <f ca="1" t="shared" si="7"/>
        <v>6.43333333333333</v>
      </c>
      <c r="AC277" s="2"/>
      <c r="AD277" t="str">
        <f>IFERROR(__xludf.DUMMYFUNCTION("""COMPUTED_VALUE"""),"Stealth ")</f>
        <v>Stealth </v>
      </c>
      <c r="AE277">
        <f t="shared" si="8"/>
        <v>31704295</v>
      </c>
    </row>
    <row r="278" customHeight="1" spans="1:31">
      <c r="A278" s="2" t="s">
        <v>591</v>
      </c>
      <c r="B278" s="2">
        <v>140</v>
      </c>
      <c r="C278" s="2">
        <v>97030725</v>
      </c>
      <c r="D278" s="2" t="s">
        <v>622</v>
      </c>
      <c r="E278" s="2" t="s">
        <v>59</v>
      </c>
      <c r="F278" t="s">
        <v>40</v>
      </c>
      <c r="G278" t="s">
        <v>15</v>
      </c>
      <c r="H278" t="s">
        <v>24</v>
      </c>
      <c r="I278" t="s">
        <v>24</v>
      </c>
      <c r="N278" s="2" t="s">
        <v>18</v>
      </c>
      <c r="O278" s="2" t="s">
        <v>19</v>
      </c>
      <c r="P278" s="2">
        <v>100000000</v>
      </c>
      <c r="Q278" s="2">
        <v>7</v>
      </c>
      <c r="R278" s="2" t="s">
        <v>623</v>
      </c>
      <c r="S278" s="2"/>
      <c r="U278" s="2" t="s">
        <v>624</v>
      </c>
      <c r="V278">
        <f ca="1" t="shared" si="7"/>
        <v>7.04</v>
      </c>
      <c r="AC278" s="2"/>
      <c r="AD278" t="str">
        <f>IFERROR(__xludf.DUMMYFUNCTION("""COMPUTED_VALUE"""),"Watchmen ")</f>
        <v>Watchmen </v>
      </c>
      <c r="AE278">
        <f t="shared" si="8"/>
        <v>107503101</v>
      </c>
    </row>
    <row r="279" customHeight="1" spans="1:31">
      <c r="A279" s="2" t="s">
        <v>94</v>
      </c>
      <c r="B279" s="2">
        <v>176</v>
      </c>
      <c r="C279" s="2">
        <v>130127620</v>
      </c>
      <c r="D279" s="2" t="s">
        <v>625</v>
      </c>
      <c r="E279" s="2" t="s">
        <v>59</v>
      </c>
      <c r="F279" t="s">
        <v>56</v>
      </c>
      <c r="G279" t="s">
        <v>24</v>
      </c>
      <c r="H279" t="s">
        <v>17</v>
      </c>
      <c r="I279" t="s">
        <v>24</v>
      </c>
      <c r="N279" s="2" t="s">
        <v>18</v>
      </c>
      <c r="O279" s="2" t="s">
        <v>19</v>
      </c>
      <c r="P279" s="2">
        <v>100000000</v>
      </c>
      <c r="Q279" s="2">
        <v>7.8</v>
      </c>
      <c r="R279" s="2" t="s">
        <v>626</v>
      </c>
      <c r="S279" s="2"/>
      <c r="U279" s="2" t="s">
        <v>627</v>
      </c>
      <c r="V279">
        <f ca="1" t="shared" si="7"/>
        <v>7</v>
      </c>
      <c r="AC279" s="2"/>
      <c r="AD279" t="str">
        <f>IFERROR(__xludf.DUMMYFUNCTION("""COMPUTED_VALUE"""),"Lethal Weapon 4 ")</f>
        <v>Lethal Weapon 4 </v>
      </c>
      <c r="AE279">
        <f t="shared" si="8"/>
        <v>129734676</v>
      </c>
    </row>
    <row r="280" customHeight="1" spans="1:31">
      <c r="A280" s="2" t="s">
        <v>10</v>
      </c>
      <c r="B280" s="2">
        <v>141</v>
      </c>
      <c r="C280" s="2">
        <v>146282411</v>
      </c>
      <c r="D280" s="2" t="s">
        <v>628</v>
      </c>
      <c r="E280" s="2" t="s">
        <v>12</v>
      </c>
      <c r="F280" t="s">
        <v>17</v>
      </c>
      <c r="G280" t="s">
        <v>40</v>
      </c>
      <c r="H280" t="s">
        <v>28</v>
      </c>
      <c r="I280" t="s">
        <v>24</v>
      </c>
      <c r="N280" s="2" t="s">
        <v>18</v>
      </c>
      <c r="O280" s="2" t="s">
        <v>19</v>
      </c>
      <c r="P280" s="2">
        <v>115000000</v>
      </c>
      <c r="Q280" s="2">
        <v>7.2</v>
      </c>
      <c r="R280" s="2" t="s">
        <v>629</v>
      </c>
      <c r="S280" s="2"/>
      <c r="U280" s="2" t="s">
        <v>630</v>
      </c>
      <c r="V280">
        <f ca="1" t="shared" si="7"/>
        <v>6.15</v>
      </c>
      <c r="AC280" s="2"/>
      <c r="AD280" t="str">
        <f>IFERROR(__xludf.DUMMYFUNCTION("""COMPUTED_VALUE"""),"Hulk ")</f>
        <v>Hulk </v>
      </c>
      <c r="AE280">
        <f t="shared" si="8"/>
        <v>132122857</v>
      </c>
    </row>
    <row r="281" customHeight="1" spans="1:31">
      <c r="A281" s="2" t="s">
        <v>617</v>
      </c>
      <c r="B281" s="2">
        <v>106</v>
      </c>
      <c r="C281" s="2">
        <v>65452312</v>
      </c>
      <c r="D281" s="2" t="s">
        <v>150</v>
      </c>
      <c r="E281" s="2" t="s">
        <v>12</v>
      </c>
      <c r="F281" t="s">
        <v>40</v>
      </c>
      <c r="G281" t="s">
        <v>24</v>
      </c>
      <c r="H281" t="s">
        <v>23</v>
      </c>
      <c r="I281" t="s">
        <v>83</v>
      </c>
      <c r="N281" s="2" t="s">
        <v>18</v>
      </c>
      <c r="O281" s="2" t="s">
        <v>19</v>
      </c>
      <c r="P281" s="2">
        <v>100000000</v>
      </c>
      <c r="Q281" s="2">
        <v>6.4</v>
      </c>
      <c r="R281" s="2" t="s">
        <v>631</v>
      </c>
      <c r="S281" s="2"/>
      <c r="U281" s="2" t="s">
        <v>632</v>
      </c>
      <c r="V281">
        <f ca="1" t="shared" si="7"/>
        <v>7.23333333333333</v>
      </c>
      <c r="AC281" s="2"/>
      <c r="AD281" t="str">
        <f>IFERROR(__xludf.DUMMYFUNCTION("""COMPUTED_VALUE"""),"G.I. Joe: Retaliation ")</f>
        <v>G.I. Joe: Retaliation </v>
      </c>
      <c r="AE281">
        <f t="shared" si="8"/>
        <v>122511930</v>
      </c>
    </row>
    <row r="282" customHeight="1" spans="1:31">
      <c r="A282" s="2" t="s">
        <v>619</v>
      </c>
      <c r="B282" s="2">
        <v>98</v>
      </c>
      <c r="C282" s="2">
        <v>148383780</v>
      </c>
      <c r="D282" s="2" t="s">
        <v>607</v>
      </c>
      <c r="E282" s="2" t="s">
        <v>40</v>
      </c>
      <c r="F282" t="s">
        <v>30</v>
      </c>
      <c r="G282" t="s">
        <v>14</v>
      </c>
      <c r="H282" t="s">
        <v>24</v>
      </c>
      <c r="I282" t="s">
        <v>16</v>
      </c>
      <c r="N282" s="2" t="s">
        <v>18</v>
      </c>
      <c r="O282" s="2" t="s">
        <v>19</v>
      </c>
      <c r="P282" s="2">
        <v>100000000</v>
      </c>
      <c r="Q282" s="2">
        <v>5.5</v>
      </c>
      <c r="R282" s="2" t="s">
        <v>633</v>
      </c>
      <c r="S282" s="2"/>
      <c r="U282" s="2" t="s">
        <v>634</v>
      </c>
      <c r="V282">
        <f ca="1" t="shared" si="7"/>
        <v>6.88571428571429</v>
      </c>
      <c r="AC282" s="2"/>
      <c r="AD282" t="str">
        <f>IFERROR(__xludf.DUMMYFUNCTION("""COMPUTED_VALUE"""),"Sahara ")</f>
        <v>Sahara </v>
      </c>
      <c r="AE282">
        <f t="shared" si="8"/>
        <v>68642328</v>
      </c>
    </row>
    <row r="283" customHeight="1" spans="1:31">
      <c r="A283" s="2" t="s">
        <v>621</v>
      </c>
      <c r="B283" s="2">
        <v>116</v>
      </c>
      <c r="C283" s="2">
        <v>119219978</v>
      </c>
      <c r="D283" s="2" t="s">
        <v>635</v>
      </c>
      <c r="E283" s="2" t="s">
        <v>12</v>
      </c>
      <c r="F283" t="s">
        <v>71</v>
      </c>
      <c r="G283" t="s">
        <v>17</v>
      </c>
      <c r="H283" t="s">
        <v>24</v>
      </c>
      <c r="I283" t="s">
        <v>14</v>
      </c>
      <c r="N283" s="2" t="s">
        <v>18</v>
      </c>
      <c r="O283" s="2" t="s">
        <v>19</v>
      </c>
      <c r="P283" s="2">
        <v>100000000</v>
      </c>
      <c r="Q283" s="2">
        <v>6.7</v>
      </c>
      <c r="R283" s="2" t="s">
        <v>636</v>
      </c>
      <c r="S283" s="2"/>
      <c r="U283" s="2" t="s">
        <v>637</v>
      </c>
      <c r="V283">
        <f ca="1" t="shared" si="7"/>
        <v>6.8</v>
      </c>
      <c r="AC283" s="2"/>
      <c r="AD283" t="str">
        <f>IFERROR(__xludf.DUMMYFUNCTION("""COMPUTED_VALUE"""),"Final Fantasy: The Spirits Within ")</f>
        <v>Final Fantasy: The Spirits Within </v>
      </c>
      <c r="AE283">
        <f t="shared" si="8"/>
        <v>32131724</v>
      </c>
    </row>
    <row r="284" customHeight="1" spans="1:31">
      <c r="A284" s="2" t="s">
        <v>624</v>
      </c>
      <c r="B284" s="2">
        <v>115</v>
      </c>
      <c r="C284" s="2">
        <v>101228120</v>
      </c>
      <c r="D284" s="2" t="s">
        <v>638</v>
      </c>
      <c r="E284" s="2" t="s">
        <v>12</v>
      </c>
      <c r="F284" t="s">
        <v>30</v>
      </c>
      <c r="G284" t="s">
        <v>23</v>
      </c>
      <c r="H284" t="s">
        <v>24</v>
      </c>
      <c r="I284" t="s">
        <v>24</v>
      </c>
      <c r="N284" s="2" t="s">
        <v>18</v>
      </c>
      <c r="O284" s="2" t="s">
        <v>19</v>
      </c>
      <c r="P284" s="2">
        <v>100000000</v>
      </c>
      <c r="Q284" s="2">
        <v>6.1</v>
      </c>
      <c r="R284" s="2" t="s">
        <v>639</v>
      </c>
      <c r="S284" s="2"/>
      <c r="U284" s="2" t="s">
        <v>640</v>
      </c>
      <c r="V284">
        <f ca="1" t="shared" si="7"/>
        <v>6.4</v>
      </c>
      <c r="AC284" s="2"/>
      <c r="AD284" t="str">
        <f>IFERROR(__xludf.DUMMYFUNCTION("""COMPUTED_VALUE"""),"Captain America: The First Avenger ")</f>
        <v>Captain America: The First Avenger </v>
      </c>
      <c r="AE284">
        <f t="shared" si="8"/>
        <v>176636692</v>
      </c>
    </row>
    <row r="285" customHeight="1" spans="1:31">
      <c r="A285" s="2" t="s">
        <v>627</v>
      </c>
      <c r="B285" s="2">
        <v>165</v>
      </c>
      <c r="C285" s="2">
        <v>162804648</v>
      </c>
      <c r="D285" s="2" t="s">
        <v>641</v>
      </c>
      <c r="E285" s="2" t="s">
        <v>30</v>
      </c>
      <c r="F285" t="s">
        <v>35</v>
      </c>
      <c r="G285" t="s">
        <v>24</v>
      </c>
      <c r="H285" t="s">
        <v>23</v>
      </c>
      <c r="I285" t="s">
        <v>39</v>
      </c>
      <c r="N285" s="2" t="s">
        <v>18</v>
      </c>
      <c r="O285" s="2" t="s">
        <v>19</v>
      </c>
      <c r="P285" s="2">
        <v>100000000</v>
      </c>
      <c r="Q285" s="2">
        <v>8.5</v>
      </c>
      <c r="R285" s="2" t="s">
        <v>642</v>
      </c>
      <c r="S285" s="2"/>
      <c r="U285" s="2" t="s">
        <v>643</v>
      </c>
      <c r="V285">
        <f ca="1" t="shared" si="7"/>
        <v>6.26666666666667</v>
      </c>
      <c r="AC285" s="2"/>
      <c r="AD285" t="str">
        <f>IFERROR(__xludf.DUMMYFUNCTION("""COMPUTED_VALUE"""),"The World Is Not Enough ")</f>
        <v>The World Is Not Enough </v>
      </c>
      <c r="AE285">
        <f t="shared" si="8"/>
        <v>126930532</v>
      </c>
    </row>
    <row r="286" customHeight="1" spans="1:31">
      <c r="A286" s="2" t="s">
        <v>630</v>
      </c>
      <c r="B286" s="2">
        <v>91</v>
      </c>
      <c r="C286" s="2">
        <v>100117603</v>
      </c>
      <c r="D286" s="2" t="s">
        <v>644</v>
      </c>
      <c r="E286" s="2" t="s">
        <v>35</v>
      </c>
      <c r="F286" t="s">
        <v>13</v>
      </c>
      <c r="G286" t="s">
        <v>29</v>
      </c>
      <c r="H286" t="s">
        <v>24</v>
      </c>
      <c r="I286" t="s">
        <v>71</v>
      </c>
      <c r="N286" s="2" t="s">
        <v>18</v>
      </c>
      <c r="O286" s="2" t="s">
        <v>19</v>
      </c>
      <c r="P286" s="2">
        <v>100000000</v>
      </c>
      <c r="Q286" s="2">
        <v>6.9</v>
      </c>
      <c r="R286" s="2" t="s">
        <v>645</v>
      </c>
      <c r="S286" s="2"/>
      <c r="U286" s="2" t="s">
        <v>646</v>
      </c>
      <c r="V286">
        <f ca="1" t="shared" si="7"/>
        <v>6.35</v>
      </c>
      <c r="AC286" s="2"/>
      <c r="AD286" t="str">
        <f>IFERROR(__xludf.DUMMYFUNCTION("""COMPUTED_VALUE"""),"Master and Commander: The Far Side of the World ")</f>
        <v>Master and Commander: The Far Side of the World </v>
      </c>
      <c r="AE286">
        <f t="shared" si="8"/>
        <v>93926248</v>
      </c>
    </row>
    <row r="287" customHeight="1" spans="1:31">
      <c r="A287" s="2" t="s">
        <v>632</v>
      </c>
      <c r="B287" s="2">
        <v>78</v>
      </c>
      <c r="C287" s="2">
        <v>89296573</v>
      </c>
      <c r="D287" s="2" t="s">
        <v>124</v>
      </c>
      <c r="E287" s="2" t="s">
        <v>13</v>
      </c>
      <c r="F287" t="s">
        <v>13</v>
      </c>
      <c r="G287" t="s">
        <v>15</v>
      </c>
      <c r="H287" t="s">
        <v>23</v>
      </c>
      <c r="I287" t="s">
        <v>24</v>
      </c>
      <c r="N287" s="2" t="s">
        <v>18</v>
      </c>
      <c r="O287" s="2" t="s">
        <v>19</v>
      </c>
      <c r="P287" s="2">
        <v>100000000</v>
      </c>
      <c r="Q287" s="2">
        <v>7.3</v>
      </c>
      <c r="R287" s="2" t="s">
        <v>647</v>
      </c>
      <c r="S287" s="2"/>
      <c r="U287" s="2" t="s">
        <v>648</v>
      </c>
      <c r="V287">
        <f ca="1" t="shared" si="7"/>
        <v>6.56</v>
      </c>
      <c r="AC287" s="2"/>
      <c r="AD287" t="str">
        <f>IFERROR(__xludf.DUMMYFUNCTION("""COMPUTED_VALUE"""),"The Twilight Saga: Breaking Dawn - Part 2 ")</f>
        <v>The Twilight Saga: Breaking Dawn - Part 2 </v>
      </c>
      <c r="AE287">
        <f t="shared" si="8"/>
        <v>292298808</v>
      </c>
    </row>
    <row r="288" customHeight="1" spans="1:31">
      <c r="A288" s="2" t="s">
        <v>634</v>
      </c>
      <c r="B288" s="2">
        <v>103</v>
      </c>
      <c r="C288" s="2">
        <v>85017401</v>
      </c>
      <c r="D288" s="2" t="s">
        <v>27</v>
      </c>
      <c r="E288" s="2" t="s">
        <v>12</v>
      </c>
      <c r="F288" t="s">
        <v>13</v>
      </c>
      <c r="G288" t="s">
        <v>17</v>
      </c>
      <c r="H288" t="s">
        <v>17</v>
      </c>
      <c r="I288" t="s">
        <v>24</v>
      </c>
      <c r="N288" s="2" t="s">
        <v>18</v>
      </c>
      <c r="O288" s="2" t="s">
        <v>19</v>
      </c>
      <c r="P288" s="2">
        <v>92000000</v>
      </c>
      <c r="Q288" s="2">
        <v>6.7</v>
      </c>
      <c r="R288" s="2" t="s">
        <v>649</v>
      </c>
      <c r="S288" s="2"/>
      <c r="U288" s="2" t="s">
        <v>650</v>
      </c>
      <c r="V288">
        <f ca="1" t="shared" si="7"/>
        <v>6.4</v>
      </c>
      <c r="AC288" s="2"/>
      <c r="AD288" t="str">
        <f>IFERROR(__xludf.DUMMYFUNCTION("""COMPUTED_VALUE"""),"Happy Feet 2 ")</f>
        <v>Happy Feet 2 </v>
      </c>
      <c r="AE288">
        <f t="shared" si="8"/>
        <v>63992228</v>
      </c>
    </row>
    <row r="289" customHeight="1" spans="1:31">
      <c r="A289" s="2" t="s">
        <v>273</v>
      </c>
      <c r="B289" s="2">
        <v>131</v>
      </c>
      <c r="C289" s="2">
        <v>173005002</v>
      </c>
      <c r="D289" s="2" t="s">
        <v>651</v>
      </c>
      <c r="E289" s="2" t="s">
        <v>12</v>
      </c>
      <c r="F289" t="s">
        <v>30</v>
      </c>
      <c r="G289" t="s">
        <v>40</v>
      </c>
      <c r="H289" t="s">
        <v>29</v>
      </c>
      <c r="I289" t="s">
        <v>29</v>
      </c>
      <c r="N289" s="2" t="s">
        <v>18</v>
      </c>
      <c r="O289" s="2" t="s">
        <v>19</v>
      </c>
      <c r="P289" s="2">
        <v>100000000</v>
      </c>
      <c r="Q289" s="2">
        <v>6.9</v>
      </c>
      <c r="R289" s="2" t="s">
        <v>652</v>
      </c>
      <c r="S289" s="2"/>
      <c r="U289" s="2" t="s">
        <v>653</v>
      </c>
      <c r="V289">
        <f ca="1" t="shared" si="7"/>
        <v>6</v>
      </c>
      <c r="AC289" s="2"/>
      <c r="AD289" t="str">
        <f>IFERROR(__xludf.DUMMYFUNCTION("""COMPUTED_VALUE"""),"The Incredible Hulk ")</f>
        <v>The Incredible Hulk </v>
      </c>
      <c r="AE289">
        <f t="shared" si="8"/>
        <v>134518255</v>
      </c>
    </row>
    <row r="290" customHeight="1" spans="1:31">
      <c r="A290" s="2" t="s">
        <v>637</v>
      </c>
      <c r="B290" s="2">
        <v>104</v>
      </c>
      <c r="C290" s="2">
        <v>75030163</v>
      </c>
      <c r="D290" s="2" t="s">
        <v>79</v>
      </c>
      <c r="E290" s="2" t="s">
        <v>12</v>
      </c>
      <c r="F290" t="s">
        <v>35</v>
      </c>
      <c r="G290" t="s">
        <v>40</v>
      </c>
      <c r="H290" t="s">
        <v>24</v>
      </c>
      <c r="I290" t="s">
        <v>29</v>
      </c>
      <c r="N290" s="2" t="s">
        <v>18</v>
      </c>
      <c r="O290" s="2" t="s">
        <v>19</v>
      </c>
      <c r="P290" s="2">
        <v>100000000</v>
      </c>
      <c r="Q290" s="2">
        <v>5.1</v>
      </c>
      <c r="R290" s="2" t="s">
        <v>654</v>
      </c>
      <c r="S290" s="2"/>
      <c r="U290" s="2" t="s">
        <v>655</v>
      </c>
      <c r="V290">
        <f ca="1" t="shared" si="7"/>
        <v>7.125</v>
      </c>
      <c r="AC290" s="2"/>
      <c r="AD290" t="str">
        <f>IFERROR(__xludf.DUMMYFUNCTION("""COMPUTED_VALUE"""),"The BFG ")</f>
        <v>The BFG </v>
      </c>
      <c r="AE290">
        <f t="shared" si="8"/>
        <v>52792190</v>
      </c>
    </row>
    <row r="291" customHeight="1" spans="1:31">
      <c r="A291" s="2" t="s">
        <v>640</v>
      </c>
      <c r="B291" s="2">
        <v>101</v>
      </c>
      <c r="C291" s="2">
        <v>77222184</v>
      </c>
      <c r="D291" s="2" t="s">
        <v>224</v>
      </c>
      <c r="E291" s="2" t="s">
        <v>13</v>
      </c>
      <c r="F291" t="s">
        <v>17</v>
      </c>
      <c r="G291" t="s">
        <v>14</v>
      </c>
      <c r="H291" t="s">
        <v>23</v>
      </c>
      <c r="I291" t="s">
        <v>14</v>
      </c>
      <c r="N291" s="2" t="s">
        <v>18</v>
      </c>
      <c r="O291" s="2" t="s">
        <v>293</v>
      </c>
      <c r="P291" s="2">
        <v>100000000</v>
      </c>
      <c r="Q291" s="2">
        <v>6.8</v>
      </c>
      <c r="R291" s="2" t="s">
        <v>656</v>
      </c>
      <c r="S291" s="2"/>
      <c r="U291" s="2" t="s">
        <v>657</v>
      </c>
      <c r="V291">
        <f ca="1" t="shared" si="7"/>
        <v>5.3</v>
      </c>
      <c r="AC291" s="2"/>
      <c r="AD291" t="str">
        <f>IFERROR(__xludf.DUMMYFUNCTION("""COMPUTED_VALUE"""),"The Revenant ")</f>
        <v>The Revenant </v>
      </c>
      <c r="AE291">
        <f t="shared" si="8"/>
        <v>183635766</v>
      </c>
    </row>
    <row r="292" customHeight="1" spans="1:31">
      <c r="A292" s="2" t="s">
        <v>643</v>
      </c>
      <c r="B292" s="2">
        <v>102</v>
      </c>
      <c r="C292" s="2">
        <v>107515297</v>
      </c>
      <c r="D292" s="2" t="s">
        <v>250</v>
      </c>
      <c r="E292" s="2" t="s">
        <v>13</v>
      </c>
      <c r="F292" t="s">
        <v>14</v>
      </c>
      <c r="G292" t="s">
        <v>24</v>
      </c>
      <c r="H292" t="s">
        <v>23</v>
      </c>
      <c r="I292" t="s">
        <v>17</v>
      </c>
      <c r="N292" s="2" t="s">
        <v>18</v>
      </c>
      <c r="O292" s="2" t="s">
        <v>19</v>
      </c>
      <c r="P292" s="2">
        <v>100000000</v>
      </c>
      <c r="Q292" s="2">
        <v>6.7</v>
      </c>
      <c r="R292" s="2" t="s">
        <v>658</v>
      </c>
      <c r="S292" s="2"/>
      <c r="U292" s="2" t="s">
        <v>659</v>
      </c>
      <c r="V292">
        <f ca="1" t="shared" si="7"/>
        <v>2.2</v>
      </c>
      <c r="AC292" s="2"/>
      <c r="AD292" t="str">
        <f>IFERROR(__xludf.DUMMYFUNCTION("""COMPUTED_VALUE"""),"Turbo ")</f>
        <v>Turbo </v>
      </c>
      <c r="AE292">
        <f t="shared" si="8"/>
        <v>83024804</v>
      </c>
    </row>
    <row r="293" customHeight="1" spans="1:31">
      <c r="A293" s="2" t="s">
        <v>646</v>
      </c>
      <c r="B293" s="2">
        <v>103</v>
      </c>
      <c r="C293" s="2">
        <v>67631157</v>
      </c>
      <c r="D293" s="2" t="s">
        <v>660</v>
      </c>
      <c r="E293" s="2" t="s">
        <v>12</v>
      </c>
      <c r="F293" t="s">
        <v>30</v>
      </c>
      <c r="G293" t="s">
        <v>40</v>
      </c>
      <c r="H293" t="s">
        <v>23</v>
      </c>
      <c r="I293" t="s">
        <v>24</v>
      </c>
      <c r="N293" s="2" t="s">
        <v>18</v>
      </c>
      <c r="O293" s="2" t="s">
        <v>19</v>
      </c>
      <c r="P293" s="2">
        <v>100000000</v>
      </c>
      <c r="Q293" s="2">
        <v>6</v>
      </c>
      <c r="R293" s="2" t="s">
        <v>661</v>
      </c>
      <c r="S293" s="2"/>
      <c r="U293" s="2" t="s">
        <v>662</v>
      </c>
      <c r="V293">
        <f ca="1" t="shared" si="7"/>
        <v>7</v>
      </c>
      <c r="AC293" s="2"/>
      <c r="AD293" t="str">
        <f>IFERROR(__xludf.DUMMYFUNCTION("""COMPUTED_VALUE"""),"Rango ")</f>
        <v>Rango </v>
      </c>
      <c r="AE293">
        <f t="shared" si="8"/>
        <v>123207087</v>
      </c>
    </row>
    <row r="294" customHeight="1" spans="1:31">
      <c r="A294" s="2" t="s">
        <v>648</v>
      </c>
      <c r="B294" s="2">
        <v>121</v>
      </c>
      <c r="C294" s="2">
        <v>66862068</v>
      </c>
      <c r="D294" s="2" t="s">
        <v>663</v>
      </c>
      <c r="E294" s="2" t="s">
        <v>12</v>
      </c>
      <c r="F294" t="s">
        <v>40</v>
      </c>
      <c r="G294" t="s">
        <v>30</v>
      </c>
      <c r="H294" t="s">
        <v>14</v>
      </c>
      <c r="I294" t="s">
        <v>28</v>
      </c>
      <c r="N294" s="2" t="s">
        <v>18</v>
      </c>
      <c r="O294" s="2" t="s">
        <v>19</v>
      </c>
      <c r="P294" s="2">
        <v>83000000</v>
      </c>
      <c r="Q294" s="2">
        <v>5.7</v>
      </c>
      <c r="R294" s="2" t="s">
        <v>664</v>
      </c>
      <c r="S294" s="2"/>
      <c r="U294" s="2" t="s">
        <v>665</v>
      </c>
      <c r="V294">
        <f ca="1" t="shared" si="7"/>
        <v>6.5</v>
      </c>
      <c r="AC294" s="2"/>
      <c r="AD294" t="str">
        <f>IFERROR(__xludf.DUMMYFUNCTION("""COMPUTED_VALUE"""),"Penguins of Madagascar ")</f>
        <v>Penguins of Madagascar </v>
      </c>
      <c r="AE294">
        <f t="shared" si="8"/>
        <v>83348828</v>
      </c>
    </row>
    <row r="295" customHeight="1" spans="1:31">
      <c r="A295" s="2" t="s">
        <v>385</v>
      </c>
      <c r="B295" s="2">
        <v>143</v>
      </c>
      <c r="C295" s="2">
        <v>57366262</v>
      </c>
      <c r="D295" s="2" t="s">
        <v>666</v>
      </c>
      <c r="E295" s="2" t="s">
        <v>13</v>
      </c>
      <c r="F295" t="s">
        <v>13</v>
      </c>
      <c r="G295" t="s">
        <v>30</v>
      </c>
      <c r="H295" t="s">
        <v>24</v>
      </c>
      <c r="I295" t="s">
        <v>16</v>
      </c>
      <c r="N295" s="2" t="s">
        <v>18</v>
      </c>
      <c r="O295" s="2" t="s">
        <v>293</v>
      </c>
      <c r="P295" s="2">
        <v>100000000</v>
      </c>
      <c r="Q295" s="2">
        <v>8</v>
      </c>
      <c r="R295" s="2" t="s">
        <v>667</v>
      </c>
      <c r="S295" s="2"/>
      <c r="U295" s="2" t="s">
        <v>668</v>
      </c>
      <c r="V295">
        <f ca="1" t="shared" si="7"/>
        <v>7.15</v>
      </c>
      <c r="AC295" s="2"/>
      <c r="AD295" t="str">
        <f>IFERROR(__xludf.DUMMYFUNCTION("""COMPUTED_VALUE"""),"The Bourne Ultimatum ")</f>
        <v>The Bourne Ultimatum </v>
      </c>
      <c r="AE295">
        <f t="shared" si="8"/>
        <v>227136975</v>
      </c>
    </row>
    <row r="296" customHeight="1" spans="1:31">
      <c r="A296" s="2" t="s">
        <v>196</v>
      </c>
      <c r="B296" s="2">
        <v>240</v>
      </c>
      <c r="C296" s="2">
        <v>116866727</v>
      </c>
      <c r="D296" s="2" t="s">
        <v>669</v>
      </c>
      <c r="E296" s="2" t="s">
        <v>59</v>
      </c>
      <c r="F296" t="s">
        <v>15</v>
      </c>
      <c r="G296" t="s">
        <v>14</v>
      </c>
      <c r="H296" t="s">
        <v>15</v>
      </c>
      <c r="I296" t="s">
        <v>15</v>
      </c>
      <c r="N296" s="2" t="s">
        <v>18</v>
      </c>
      <c r="O296" s="2" t="s">
        <v>19</v>
      </c>
      <c r="P296" s="2">
        <v>100000000</v>
      </c>
      <c r="Q296" s="2">
        <v>8.2</v>
      </c>
      <c r="R296" s="2" t="s">
        <v>670</v>
      </c>
      <c r="S296" s="2"/>
      <c r="U296" s="2" t="s">
        <v>671</v>
      </c>
      <c r="V296">
        <f ca="1" t="shared" si="7"/>
        <v>6.3</v>
      </c>
      <c r="AC296" s="2"/>
      <c r="AD296" t="str">
        <f>IFERROR(__xludf.DUMMYFUNCTION("""COMPUTED_VALUE"""),"Kung Fu Panda ")</f>
        <v>Kung Fu Panda </v>
      </c>
      <c r="AE296">
        <f t="shared" si="8"/>
        <v>215394929</v>
      </c>
    </row>
    <row r="297" customHeight="1" spans="1:31">
      <c r="A297" s="2" t="s">
        <v>490</v>
      </c>
      <c r="B297" s="2">
        <v>121</v>
      </c>
      <c r="C297" s="2">
        <v>184031112</v>
      </c>
      <c r="D297" s="2" t="s">
        <v>22</v>
      </c>
      <c r="E297" s="2" t="s">
        <v>12</v>
      </c>
      <c r="F297" t="s">
        <v>15</v>
      </c>
      <c r="G297" t="s">
        <v>14</v>
      </c>
      <c r="H297" t="s">
        <v>24</v>
      </c>
      <c r="I297" t="s">
        <v>17</v>
      </c>
      <c r="N297" s="2" t="s">
        <v>18</v>
      </c>
      <c r="O297" s="2" t="s">
        <v>19</v>
      </c>
      <c r="P297" s="2">
        <v>100000000</v>
      </c>
      <c r="Q297" s="2">
        <v>5.4</v>
      </c>
      <c r="R297" s="2" t="s">
        <v>672</v>
      </c>
      <c r="S297" s="2"/>
      <c r="U297" s="2" t="s">
        <v>673</v>
      </c>
      <c r="V297">
        <f ca="1" t="shared" si="7"/>
        <v>6.025</v>
      </c>
      <c r="AC297" s="2"/>
      <c r="AD297" t="str">
        <f>IFERROR(__xludf.DUMMYFUNCTION("""COMPUTED_VALUE"""),"Ant-Man ")</f>
        <v>Ant-Man </v>
      </c>
      <c r="AE297">
        <f t="shared" si="8"/>
        <v>180191517</v>
      </c>
    </row>
    <row r="298" customHeight="1" spans="1:31">
      <c r="A298" s="2" t="s">
        <v>483</v>
      </c>
      <c r="B298" s="2">
        <v>129</v>
      </c>
      <c r="C298" s="2">
        <v>54700065</v>
      </c>
      <c r="D298" s="2" t="s">
        <v>674</v>
      </c>
      <c r="E298" s="2" t="s">
        <v>12</v>
      </c>
      <c r="F298" t="s">
        <v>13</v>
      </c>
      <c r="G298" t="s">
        <v>17</v>
      </c>
      <c r="H298" t="s">
        <v>24</v>
      </c>
      <c r="I298" t="s">
        <v>71</v>
      </c>
      <c r="N298" s="2" t="s">
        <v>18</v>
      </c>
      <c r="O298" s="2" t="s">
        <v>19</v>
      </c>
      <c r="P298" s="2">
        <v>105000000</v>
      </c>
      <c r="Q298" s="2">
        <v>7.2</v>
      </c>
      <c r="R298" s="2" t="s">
        <v>675</v>
      </c>
      <c r="S298" s="2"/>
      <c r="U298" s="2" t="s">
        <v>676</v>
      </c>
      <c r="V298">
        <f ca="1" t="shared" si="7"/>
        <v>5.2</v>
      </c>
      <c r="AC298" s="2"/>
      <c r="AD298" t="str">
        <f>IFERROR(__xludf.DUMMYFUNCTION("""COMPUTED_VALUE"""),"The Hunger Games: Catching Fire ")</f>
        <v>The Hunger Games: Catching Fire </v>
      </c>
      <c r="AE298">
        <f t="shared" si="8"/>
        <v>424645431</v>
      </c>
    </row>
    <row r="299" customHeight="1" spans="1:31">
      <c r="A299" s="2" t="s">
        <v>650</v>
      </c>
      <c r="B299" s="2">
        <v>172</v>
      </c>
      <c r="C299" s="2">
        <v>27098580</v>
      </c>
      <c r="D299" s="2" t="s">
        <v>677</v>
      </c>
      <c r="E299" s="2" t="s">
        <v>30</v>
      </c>
      <c r="F299" t="s">
        <v>56</v>
      </c>
      <c r="G299" t="s">
        <v>15</v>
      </c>
      <c r="H299" t="s">
        <v>14</v>
      </c>
      <c r="I299" t="s">
        <v>17</v>
      </c>
      <c r="N299" s="2" t="s">
        <v>18</v>
      </c>
      <c r="O299" s="2" t="s">
        <v>293</v>
      </c>
      <c r="P299" s="2">
        <v>102000000</v>
      </c>
      <c r="Q299" s="2">
        <v>7.5</v>
      </c>
      <c r="R299" s="2" t="s">
        <v>678</v>
      </c>
      <c r="S299" s="2"/>
      <c r="U299" s="2" t="s">
        <v>679</v>
      </c>
      <c r="V299">
        <f ca="1" t="shared" si="7"/>
        <v>6.75714285714286</v>
      </c>
      <c r="AC299" s="2"/>
      <c r="AD299" t="str">
        <f>IFERROR(__xludf.DUMMYFUNCTION("""COMPUTED_VALUE"""),"Home ")</f>
        <v>Home </v>
      </c>
      <c r="AE299">
        <f t="shared" si="8"/>
        <v>177343581</v>
      </c>
    </row>
    <row r="300" customHeight="1" spans="1:31">
      <c r="A300" s="2" t="s">
        <v>64</v>
      </c>
      <c r="B300" s="2">
        <v>101</v>
      </c>
      <c r="C300" s="2">
        <v>55673333</v>
      </c>
      <c r="D300" s="2" t="s">
        <v>680</v>
      </c>
      <c r="E300" s="2" t="s">
        <v>12</v>
      </c>
      <c r="F300" t="s">
        <v>13</v>
      </c>
      <c r="G300" t="s">
        <v>15</v>
      </c>
      <c r="H300" t="s">
        <v>29</v>
      </c>
      <c r="I300" t="s">
        <v>24</v>
      </c>
      <c r="N300" s="2" t="s">
        <v>18</v>
      </c>
      <c r="O300" s="2" t="s">
        <v>19</v>
      </c>
      <c r="P300" s="2">
        <v>80000000</v>
      </c>
      <c r="Q300" s="2">
        <v>7</v>
      </c>
      <c r="R300" s="2" t="s">
        <v>681</v>
      </c>
      <c r="S300" s="2"/>
      <c r="U300" s="2" t="s">
        <v>682</v>
      </c>
      <c r="V300">
        <f ca="1" t="shared" si="7"/>
        <v>6.68571428571429</v>
      </c>
      <c r="AC300" s="2"/>
      <c r="AD300" t="str">
        <f>IFERROR(__xludf.DUMMYFUNCTION("""COMPUTED_VALUE"""),"War of the Worlds ")</f>
        <v>War of the Worlds </v>
      </c>
      <c r="AE300">
        <f t="shared" si="8"/>
        <v>234276940</v>
      </c>
    </row>
    <row r="301" customHeight="1" spans="1:31">
      <c r="A301" s="2" t="s">
        <v>653</v>
      </c>
      <c r="B301" s="2">
        <v>87</v>
      </c>
      <c r="C301" s="2">
        <v>40198710</v>
      </c>
      <c r="D301" s="2" t="s">
        <v>683</v>
      </c>
      <c r="E301" s="2" t="s">
        <v>12</v>
      </c>
      <c r="F301" t="s">
        <v>35</v>
      </c>
      <c r="G301" t="s">
        <v>14</v>
      </c>
      <c r="H301" t="s">
        <v>24</v>
      </c>
      <c r="I301" t="s">
        <v>24</v>
      </c>
      <c r="N301" s="2" t="s">
        <v>18</v>
      </c>
      <c r="O301" s="2" t="s">
        <v>19</v>
      </c>
      <c r="P301" s="2">
        <v>100000000</v>
      </c>
      <c r="Q301" s="2">
        <v>3.3</v>
      </c>
      <c r="R301" s="2" t="s">
        <v>684</v>
      </c>
      <c r="S301" s="2"/>
      <c r="U301" s="2" t="s">
        <v>685</v>
      </c>
      <c r="V301">
        <f ca="1" t="shared" si="7"/>
        <v>5.45</v>
      </c>
      <c r="AC301" s="2"/>
      <c r="AD301" t="str">
        <f>IFERROR(__xludf.DUMMYFUNCTION("""COMPUTED_VALUE"""),"Bad Boys II ")</f>
        <v>Bad Boys II </v>
      </c>
      <c r="AE301">
        <f t="shared" si="8"/>
        <v>138396477</v>
      </c>
    </row>
    <row r="302" customHeight="1" spans="1:31">
      <c r="A302" s="2" t="s">
        <v>119</v>
      </c>
      <c r="B302" s="2">
        <v>101</v>
      </c>
      <c r="C302" s="2">
        <v>72660029</v>
      </c>
      <c r="D302" s="2" t="s">
        <v>70</v>
      </c>
      <c r="E302" s="2" t="s">
        <v>12</v>
      </c>
      <c r="F302" t="s">
        <v>40</v>
      </c>
      <c r="G302" t="s">
        <v>29</v>
      </c>
      <c r="H302" t="s">
        <v>24</v>
      </c>
      <c r="I302" t="s">
        <v>29</v>
      </c>
      <c r="N302" s="2" t="s">
        <v>18</v>
      </c>
      <c r="O302" s="2" t="s">
        <v>19</v>
      </c>
      <c r="P302" s="2">
        <v>100000000</v>
      </c>
      <c r="Q302" s="2">
        <v>6</v>
      </c>
      <c r="R302" s="2" t="s">
        <v>686</v>
      </c>
      <c r="S302" s="2"/>
      <c r="U302" s="2" t="s">
        <v>687</v>
      </c>
      <c r="V302">
        <f ca="1" t="shared" si="7"/>
        <v>6.9</v>
      </c>
      <c r="AC302" s="2"/>
      <c r="AD302" t="str">
        <f>IFERROR(__xludf.DUMMYFUNCTION("""COMPUTED_VALUE"""),"Puss in Boots ")</f>
        <v>Puss in Boots </v>
      </c>
      <c r="AE302">
        <f t="shared" si="8"/>
        <v>149234657</v>
      </c>
    </row>
    <row r="303" customHeight="1" spans="1:31">
      <c r="A303" s="2" t="s">
        <v>600</v>
      </c>
      <c r="B303" s="2">
        <v>95</v>
      </c>
      <c r="C303" s="2">
        <v>38120554</v>
      </c>
      <c r="D303" s="2" t="s">
        <v>172</v>
      </c>
      <c r="E303" s="2" t="s">
        <v>13</v>
      </c>
      <c r="F303" t="s">
        <v>13</v>
      </c>
      <c r="G303" t="s">
        <v>35</v>
      </c>
      <c r="H303" t="s">
        <v>24</v>
      </c>
      <c r="I303" t="s">
        <v>17</v>
      </c>
      <c r="N303" s="2" t="s">
        <v>18</v>
      </c>
      <c r="O303" s="2" t="s">
        <v>19</v>
      </c>
      <c r="P303" s="2">
        <v>140000000</v>
      </c>
      <c r="Q303" s="2">
        <v>7.1</v>
      </c>
      <c r="R303" s="2" t="s">
        <v>688</v>
      </c>
      <c r="S303" s="2"/>
      <c r="U303" s="2" t="s">
        <v>689</v>
      </c>
      <c r="V303">
        <f ca="1" t="shared" si="7"/>
        <v>6.55</v>
      </c>
      <c r="AC303" s="2"/>
      <c r="AD303" t="str">
        <f>IFERROR(__xludf.DUMMYFUNCTION("""COMPUTED_VALUE"""),"Salt ")</f>
        <v>Salt </v>
      </c>
      <c r="AE303">
        <f t="shared" si="8"/>
        <v>118311267</v>
      </c>
    </row>
    <row r="304" customHeight="1" spans="1:31">
      <c r="A304" s="2" t="s">
        <v>655</v>
      </c>
      <c r="B304" s="2">
        <v>102</v>
      </c>
      <c r="C304" s="2">
        <v>49392095</v>
      </c>
      <c r="D304" s="2" t="s">
        <v>690</v>
      </c>
      <c r="E304" s="2" t="s">
        <v>13</v>
      </c>
      <c r="F304" t="s">
        <v>56</v>
      </c>
      <c r="G304" t="s">
        <v>40</v>
      </c>
      <c r="H304" t="s">
        <v>72</v>
      </c>
      <c r="I304" t="s">
        <v>14</v>
      </c>
      <c r="N304" s="2" t="s">
        <v>18</v>
      </c>
      <c r="O304" s="2" t="s">
        <v>19</v>
      </c>
      <c r="P304" s="2">
        <v>100000000</v>
      </c>
      <c r="Q304" s="2">
        <v>5.4</v>
      </c>
      <c r="R304" s="2" t="s">
        <v>691</v>
      </c>
      <c r="S304" s="2"/>
      <c r="U304" s="2" t="s">
        <v>692</v>
      </c>
      <c r="V304">
        <f ca="1" t="shared" si="7"/>
        <v>6.66666666666667</v>
      </c>
      <c r="AC304" s="2"/>
      <c r="AD304" t="str">
        <f>IFERROR(__xludf.DUMMYFUNCTION("""COMPUTED_VALUE"""),"Noah ")</f>
        <v>Noah </v>
      </c>
      <c r="AE304">
        <f t="shared" si="8"/>
        <v>101160391</v>
      </c>
    </row>
    <row r="305" customHeight="1" spans="1:31">
      <c r="A305" s="2" t="s">
        <v>657</v>
      </c>
      <c r="B305" s="2">
        <v>131</v>
      </c>
      <c r="C305" s="2">
        <v>39292022</v>
      </c>
      <c r="D305" s="2" t="s">
        <v>27</v>
      </c>
      <c r="E305" s="2" t="s">
        <v>12</v>
      </c>
      <c r="F305" t="s">
        <v>23</v>
      </c>
      <c r="G305" t="s">
        <v>14</v>
      </c>
      <c r="H305" t="s">
        <v>17</v>
      </c>
      <c r="I305" t="s">
        <v>83</v>
      </c>
      <c r="N305" s="2" t="s">
        <v>18</v>
      </c>
      <c r="O305" s="2" t="s">
        <v>19</v>
      </c>
      <c r="P305" s="2">
        <v>90000000</v>
      </c>
      <c r="Q305" s="2">
        <v>6.1</v>
      </c>
      <c r="R305" s="2" t="s">
        <v>693</v>
      </c>
      <c r="S305" s="2"/>
      <c r="U305" s="2" t="s">
        <v>694</v>
      </c>
      <c r="V305">
        <f ca="1" t="shared" si="7"/>
        <v>5.9</v>
      </c>
      <c r="AC305" s="2"/>
      <c r="AD305" t="str">
        <f>IFERROR(__xludf.DUMMYFUNCTION("""COMPUTED_VALUE"""),"The Adventures of Tintin ")</f>
        <v>The Adventures of Tintin </v>
      </c>
      <c r="AE305">
        <f t="shared" si="8"/>
        <v>77563930</v>
      </c>
    </row>
    <row r="306" customHeight="1" spans="1:31">
      <c r="A306" s="2" t="s">
        <v>659</v>
      </c>
      <c r="B306" s="2">
        <v>114</v>
      </c>
      <c r="C306" s="2">
        <v>28772222</v>
      </c>
      <c r="D306" s="2" t="s">
        <v>695</v>
      </c>
      <c r="E306" s="2" t="s">
        <v>12</v>
      </c>
      <c r="F306" t="s">
        <v>13</v>
      </c>
      <c r="G306" t="s">
        <v>23</v>
      </c>
      <c r="H306" t="s">
        <v>55</v>
      </c>
      <c r="I306" t="s">
        <v>24</v>
      </c>
      <c r="N306" s="2" t="s">
        <v>18</v>
      </c>
      <c r="O306" s="2" t="s">
        <v>19</v>
      </c>
      <c r="P306" s="2">
        <v>105000000</v>
      </c>
      <c r="Q306" s="2">
        <v>5.3</v>
      </c>
      <c r="R306" s="2" t="s">
        <v>696</v>
      </c>
      <c r="S306" s="2"/>
      <c r="U306" s="2" t="s">
        <v>697</v>
      </c>
      <c r="V306">
        <f ca="1" t="shared" si="7"/>
        <v>6.95</v>
      </c>
      <c r="AC306" s="2"/>
      <c r="AD306" t="str">
        <f>IFERROR(__xludf.DUMMYFUNCTION("""COMPUTED_VALUE"""),"Harry Potter and the Prisoner of Azkaban ")</f>
        <v>Harry Potter and the Prisoner of Azkaban </v>
      </c>
      <c r="AE306">
        <f t="shared" si="8"/>
        <v>249358585</v>
      </c>
    </row>
    <row r="307" customHeight="1" spans="1:31">
      <c r="A307" s="2" t="s">
        <v>662</v>
      </c>
      <c r="B307" s="2">
        <v>94</v>
      </c>
      <c r="C307" s="2">
        <v>17010646</v>
      </c>
      <c r="D307" s="2" t="s">
        <v>214</v>
      </c>
      <c r="E307" s="2" t="s">
        <v>40</v>
      </c>
      <c r="F307" t="s">
        <v>40</v>
      </c>
      <c r="G307" t="s">
        <v>40</v>
      </c>
      <c r="H307" t="s">
        <v>24</v>
      </c>
      <c r="I307" t="s">
        <v>17</v>
      </c>
      <c r="N307" s="2" t="s">
        <v>18</v>
      </c>
      <c r="O307" s="2" t="s">
        <v>19</v>
      </c>
      <c r="P307" s="2">
        <v>84000000</v>
      </c>
      <c r="Q307" s="2">
        <v>2.2</v>
      </c>
      <c r="R307" s="2" t="s">
        <v>698</v>
      </c>
      <c r="S307" s="2"/>
      <c r="U307" s="2" t="s">
        <v>699</v>
      </c>
      <c r="V307">
        <f ca="1" t="shared" si="7"/>
        <v>5.78333333333333</v>
      </c>
      <c r="AC307" s="2"/>
      <c r="AD307" t="str">
        <f>IFERROR(__xludf.DUMMYFUNCTION("""COMPUTED_VALUE"""),"Australia ")</f>
        <v>Australia </v>
      </c>
      <c r="AE307">
        <f t="shared" si="8"/>
        <v>49551497</v>
      </c>
    </row>
    <row r="308" customHeight="1" spans="1:31">
      <c r="A308" s="2" t="s">
        <v>327</v>
      </c>
      <c r="B308" s="2">
        <v>122</v>
      </c>
      <c r="C308" s="2">
        <v>24985612</v>
      </c>
      <c r="D308" s="2" t="s">
        <v>700</v>
      </c>
      <c r="E308" s="2" t="s">
        <v>12</v>
      </c>
      <c r="F308" t="s">
        <v>30</v>
      </c>
      <c r="G308" t="s">
        <v>56</v>
      </c>
      <c r="H308" t="s">
        <v>15</v>
      </c>
      <c r="I308" t="s">
        <v>24</v>
      </c>
      <c r="N308" s="2" t="s">
        <v>18</v>
      </c>
      <c r="O308" s="2" t="s">
        <v>19</v>
      </c>
      <c r="P308" s="2">
        <v>100000000</v>
      </c>
      <c r="Q308" s="2">
        <v>7</v>
      </c>
      <c r="R308" s="2" t="s">
        <v>701</v>
      </c>
      <c r="S308" s="2"/>
      <c r="U308" s="2" t="s">
        <v>702</v>
      </c>
      <c r="V308">
        <f ca="1" t="shared" si="7"/>
        <v>6.5</v>
      </c>
      <c r="AC308" s="2"/>
      <c r="AD308" t="str">
        <f>IFERROR(__xludf.DUMMYFUNCTION("""COMPUTED_VALUE"""),"After Earth ")</f>
        <v>After Earth </v>
      </c>
      <c r="AE308">
        <f t="shared" si="8"/>
        <v>60521997</v>
      </c>
    </row>
    <row r="309" customHeight="1" spans="1:31">
      <c r="A309" s="2" t="s">
        <v>665</v>
      </c>
      <c r="B309" s="2">
        <v>95</v>
      </c>
      <c r="C309" s="2">
        <v>4411102</v>
      </c>
      <c r="D309" s="2" t="s">
        <v>703</v>
      </c>
      <c r="E309" s="2" t="s">
        <v>12</v>
      </c>
      <c r="F309" t="s">
        <v>35</v>
      </c>
      <c r="G309" t="s">
        <v>72</v>
      </c>
      <c r="H309" t="s">
        <v>24</v>
      </c>
      <c r="I309" t="s">
        <v>15</v>
      </c>
      <c r="N309" s="2" t="s">
        <v>18</v>
      </c>
      <c r="O309" s="2" t="s">
        <v>19</v>
      </c>
      <c r="P309" s="2">
        <v>100000000</v>
      </c>
      <c r="Q309" s="2">
        <v>3.8</v>
      </c>
      <c r="R309" s="2" t="s">
        <v>704</v>
      </c>
      <c r="S309" s="2"/>
      <c r="U309" s="2" t="s">
        <v>705</v>
      </c>
      <c r="V309">
        <f ca="1" t="shared" si="7"/>
        <v>6.825</v>
      </c>
      <c r="AC309" s="2"/>
      <c r="AD309" t="str">
        <f>IFERROR(__xludf.DUMMYFUNCTION("""COMPUTED_VALUE"""),"Dinosaur ")</f>
        <v>Dinosaur </v>
      </c>
      <c r="AE309">
        <f t="shared" si="8"/>
        <v>137747981</v>
      </c>
    </row>
    <row r="310" customHeight="1" spans="1:31">
      <c r="A310" s="2" t="s">
        <v>432</v>
      </c>
      <c r="B310" s="2">
        <v>115</v>
      </c>
      <c r="C310" s="2">
        <v>35024475</v>
      </c>
      <c r="D310" s="2" t="s">
        <v>706</v>
      </c>
      <c r="E310" s="2" t="s">
        <v>12</v>
      </c>
      <c r="F310" t="s">
        <v>28</v>
      </c>
      <c r="G310" t="s">
        <v>23</v>
      </c>
      <c r="H310" t="s">
        <v>17</v>
      </c>
      <c r="I310" t="s">
        <v>17</v>
      </c>
      <c r="N310" s="2" t="s">
        <v>18</v>
      </c>
      <c r="O310" s="2" t="s">
        <v>707</v>
      </c>
      <c r="P310" s="2">
        <v>100000000</v>
      </c>
      <c r="Q310" s="2">
        <v>6.9</v>
      </c>
      <c r="R310" s="2" t="s">
        <v>708</v>
      </c>
      <c r="S310" s="2"/>
      <c r="U310" s="2" t="s">
        <v>709</v>
      </c>
      <c r="V310">
        <f ca="1" t="shared" si="7"/>
        <v>6.33333333333333</v>
      </c>
      <c r="AC310" s="2"/>
      <c r="AD310" t="str">
        <f>IFERROR(__xludf.DUMMYFUNCTION("""COMPUTED_VALUE"""),"Night at the Museum: Secret of the Tomb ")</f>
        <v>Night at the Museum: Secret of the Tomb </v>
      </c>
      <c r="AE310">
        <f t="shared" si="8"/>
        <v>113733628</v>
      </c>
    </row>
    <row r="311" customHeight="1" spans="1:31">
      <c r="A311" s="2" t="s">
        <v>668</v>
      </c>
      <c r="B311" s="2">
        <v>88</v>
      </c>
      <c r="C311" s="2">
        <v>130174897</v>
      </c>
      <c r="D311" s="2" t="s">
        <v>189</v>
      </c>
      <c r="E311" s="2" t="s">
        <v>13</v>
      </c>
      <c r="F311" t="s">
        <v>13</v>
      </c>
      <c r="G311" t="s">
        <v>35</v>
      </c>
      <c r="H311" t="s">
        <v>24</v>
      </c>
      <c r="I311" t="s">
        <v>72</v>
      </c>
      <c r="N311" s="2" t="s">
        <v>18</v>
      </c>
      <c r="O311" s="2" t="s">
        <v>19</v>
      </c>
      <c r="P311" s="2">
        <v>99000000</v>
      </c>
      <c r="Q311" s="2">
        <v>7.2</v>
      </c>
      <c r="R311" s="2" t="s">
        <v>710</v>
      </c>
      <c r="S311" s="2"/>
      <c r="U311" s="2" t="s">
        <v>711</v>
      </c>
      <c r="V311">
        <f ca="1" t="shared" ref="V311:V374" si="9">AVERAGEIF(A195:A3980,U311,Q196:Q3980)</f>
        <v>6.65</v>
      </c>
      <c r="AC311" s="2"/>
      <c r="AD311" t="str">
        <f>IFERROR(__xludf.DUMMYFUNCTION("""COMPUTED_VALUE"""),"Megamind ")</f>
        <v>Megamind </v>
      </c>
      <c r="AE311">
        <f t="shared" ref="AE311:AE374" si="10">C195-B195</f>
        <v>148337442</v>
      </c>
    </row>
    <row r="312" customHeight="1" spans="1:31">
      <c r="A312" s="2" t="s">
        <v>671</v>
      </c>
      <c r="B312" s="2">
        <v>110</v>
      </c>
      <c r="C312" s="2">
        <v>10200000</v>
      </c>
      <c r="D312" s="2" t="s">
        <v>712</v>
      </c>
      <c r="E312" s="2" t="s">
        <v>30</v>
      </c>
      <c r="F312" t="s">
        <v>30</v>
      </c>
      <c r="G312" t="s">
        <v>30</v>
      </c>
      <c r="H312" t="s">
        <v>24</v>
      </c>
      <c r="I312" t="s">
        <v>14</v>
      </c>
      <c r="N312" s="2" t="s">
        <v>18</v>
      </c>
      <c r="O312" s="2" t="s">
        <v>19</v>
      </c>
      <c r="P312" s="2">
        <v>10000000</v>
      </c>
      <c r="Q312" s="2">
        <v>7.3</v>
      </c>
      <c r="R312" s="2" t="s">
        <v>713</v>
      </c>
      <c r="S312" s="2"/>
      <c r="U312" s="2" t="s">
        <v>714</v>
      </c>
      <c r="V312">
        <f ca="1" t="shared" si="9"/>
        <v>6.2</v>
      </c>
      <c r="AC312" s="2"/>
      <c r="AD312" t="str">
        <f>IFERROR(__xludf.DUMMYFUNCTION("""COMPUTED_VALUE"""),"Harry Potter and the Sorcerer's Stone ")</f>
        <v>Harry Potter and the Sorcerer's Stone </v>
      </c>
      <c r="AE312">
        <f t="shared" si="10"/>
        <v>317557732</v>
      </c>
    </row>
    <row r="313" customHeight="1" spans="1:31">
      <c r="A313" s="2" t="s">
        <v>220</v>
      </c>
      <c r="B313" s="2">
        <v>130</v>
      </c>
      <c r="C313" s="2">
        <v>202007640</v>
      </c>
      <c r="D313" s="2" t="s">
        <v>715</v>
      </c>
      <c r="E313" s="2" t="s">
        <v>12</v>
      </c>
      <c r="F313" t="s">
        <v>55</v>
      </c>
      <c r="G313" t="s">
        <v>40</v>
      </c>
      <c r="H313" t="s">
        <v>40</v>
      </c>
      <c r="I313" t="s">
        <v>17</v>
      </c>
      <c r="N313" s="2" t="s">
        <v>18</v>
      </c>
      <c r="O313" s="2" t="s">
        <v>19</v>
      </c>
      <c r="P313" s="2">
        <v>98000000</v>
      </c>
      <c r="Q313" s="2">
        <v>6.3</v>
      </c>
      <c r="R313" s="2" t="s">
        <v>716</v>
      </c>
      <c r="S313" s="2"/>
      <c r="U313" s="2" t="s">
        <v>717</v>
      </c>
      <c r="V313">
        <f ca="1" t="shared" si="9"/>
        <v>7</v>
      </c>
      <c r="AC313" s="2"/>
      <c r="AD313" t="str">
        <f>IFERROR(__xludf.DUMMYFUNCTION("""COMPUTED_VALUE"""),"R.I.P.D. ")</f>
        <v>R.I.P.D. </v>
      </c>
      <c r="AE313">
        <f t="shared" si="10"/>
        <v>33592319</v>
      </c>
    </row>
    <row r="314" customHeight="1" spans="1:31">
      <c r="A314" s="2" t="s">
        <v>196</v>
      </c>
      <c r="B314" s="2">
        <v>216</v>
      </c>
      <c r="C314" s="2">
        <v>77679638</v>
      </c>
      <c r="D314" s="2" t="s">
        <v>718</v>
      </c>
      <c r="E314" s="2" t="s">
        <v>56</v>
      </c>
      <c r="F314" t="s">
        <v>40</v>
      </c>
      <c r="G314" t="s">
        <v>24</v>
      </c>
      <c r="H314" t="s">
        <v>14</v>
      </c>
      <c r="I314" t="s">
        <v>17</v>
      </c>
      <c r="N314" s="2" t="s">
        <v>18</v>
      </c>
      <c r="O314" s="2" t="s">
        <v>19</v>
      </c>
      <c r="P314" s="2">
        <v>100000000</v>
      </c>
      <c r="Q314" s="2">
        <v>7.5</v>
      </c>
      <c r="R314" s="2" t="s">
        <v>719</v>
      </c>
      <c r="S314" s="2"/>
      <c r="U314" s="2" t="s">
        <v>720</v>
      </c>
      <c r="V314">
        <f ca="1" t="shared" si="9"/>
        <v>7.2</v>
      </c>
      <c r="AC314" s="2"/>
      <c r="AD314" t="str">
        <f>IFERROR(__xludf.DUMMYFUNCTION("""COMPUTED_VALUE"""),"Pirates of the Caribbean: The Curse of the Black Pearl ")</f>
        <v>Pirates of the Caribbean: The Curse of the Black Pearl </v>
      </c>
      <c r="AE314">
        <f t="shared" si="10"/>
        <v>305388542</v>
      </c>
    </row>
    <row r="315" customHeight="1" spans="1:31">
      <c r="A315" s="2" t="s">
        <v>673</v>
      </c>
      <c r="B315" s="2">
        <v>146</v>
      </c>
      <c r="C315" s="2">
        <v>9213</v>
      </c>
      <c r="D315" s="2" t="s">
        <v>721</v>
      </c>
      <c r="E315" s="2" t="s">
        <v>30</v>
      </c>
      <c r="F315" t="s">
        <v>15</v>
      </c>
      <c r="G315" t="s">
        <v>23</v>
      </c>
      <c r="H315" t="s">
        <v>28</v>
      </c>
      <c r="I315" t="s">
        <v>24</v>
      </c>
      <c r="N315" s="2" t="s">
        <v>722</v>
      </c>
      <c r="O315" s="2" t="s">
        <v>343</v>
      </c>
      <c r="P315" s="2">
        <v>94000000</v>
      </c>
      <c r="Q315" s="2">
        <v>7.6</v>
      </c>
      <c r="R315" s="2" t="s">
        <v>723</v>
      </c>
      <c r="S315" s="2"/>
      <c r="U315" s="2" t="s">
        <v>724</v>
      </c>
      <c r="V315">
        <f ca="1" t="shared" si="9"/>
        <v>6.32222222222222</v>
      </c>
      <c r="AC315" s="2"/>
      <c r="AD315" t="str">
        <f>IFERROR(__xludf.DUMMYFUNCTION("""COMPUTED_VALUE"""),"The Hunger Games: Mockingjay - Part 1 ")</f>
        <v>The Hunger Games: Mockingjay - Part 1 </v>
      </c>
      <c r="AE315">
        <f t="shared" si="10"/>
        <v>337103750</v>
      </c>
    </row>
    <row r="316" customHeight="1" spans="1:31">
      <c r="A316" s="2" t="s">
        <v>676</v>
      </c>
      <c r="B316" s="2">
        <v>85</v>
      </c>
      <c r="C316" s="2">
        <v>58867694</v>
      </c>
      <c r="D316" s="2" t="s">
        <v>725</v>
      </c>
      <c r="E316" s="2" t="s">
        <v>35</v>
      </c>
      <c r="F316" t="s">
        <v>55</v>
      </c>
      <c r="G316" t="s">
        <v>28</v>
      </c>
      <c r="H316" t="s">
        <v>15</v>
      </c>
      <c r="I316" t="s">
        <v>29</v>
      </c>
      <c r="N316" s="2" t="s">
        <v>18</v>
      </c>
      <c r="O316" s="2" t="s">
        <v>19</v>
      </c>
      <c r="P316" s="2">
        <v>100000000</v>
      </c>
      <c r="Q316" s="2">
        <v>6.8</v>
      </c>
      <c r="R316" s="2" t="s">
        <v>726</v>
      </c>
      <c r="S316" s="2"/>
      <c r="U316" s="2" t="s">
        <v>727</v>
      </c>
      <c r="V316">
        <f ca="1" t="shared" si="9"/>
        <v>6.74</v>
      </c>
      <c r="AC316" s="2"/>
      <c r="AD316" t="str">
        <f>IFERROR(__xludf.DUMMYFUNCTION("""COMPUTED_VALUE"""),"The Da Vinci Code ")</f>
        <v>The Da Vinci Code </v>
      </c>
      <c r="AE316">
        <f t="shared" si="10"/>
        <v>217535964</v>
      </c>
    </row>
    <row r="317" customHeight="1" spans="1:31">
      <c r="A317" s="2" t="s">
        <v>679</v>
      </c>
      <c r="B317" s="2">
        <v>93</v>
      </c>
      <c r="C317" s="2">
        <v>59475623</v>
      </c>
      <c r="D317" s="2" t="s">
        <v>728</v>
      </c>
      <c r="E317" s="2" t="s">
        <v>40</v>
      </c>
      <c r="F317" t="s">
        <v>13</v>
      </c>
      <c r="G317" t="s">
        <v>24</v>
      </c>
      <c r="H317" t="s">
        <v>15</v>
      </c>
      <c r="I317" t="s">
        <v>24</v>
      </c>
      <c r="N317" s="2" t="s">
        <v>18</v>
      </c>
      <c r="O317" s="2" t="s">
        <v>19</v>
      </c>
      <c r="P317" s="2">
        <v>90000000</v>
      </c>
      <c r="Q317" s="2">
        <v>5.2</v>
      </c>
      <c r="R317" s="2" t="s">
        <v>729</v>
      </c>
      <c r="S317" s="2"/>
      <c r="U317" s="2" t="s">
        <v>730</v>
      </c>
      <c r="V317">
        <f ca="1" t="shared" si="9"/>
        <v>5.86666666666667</v>
      </c>
      <c r="AC317" s="2"/>
      <c r="AD317" t="str">
        <f>IFERROR(__xludf.DUMMYFUNCTION("""COMPUTED_VALUE"""),"Rio 2 ")</f>
        <v>Rio 2 </v>
      </c>
      <c r="AE317">
        <f t="shared" si="10"/>
        <v>131535918</v>
      </c>
    </row>
    <row r="318" customHeight="1" spans="1:31">
      <c r="A318" s="2" t="s">
        <v>94</v>
      </c>
      <c r="B318" s="2">
        <v>152</v>
      </c>
      <c r="C318" s="2">
        <v>108638745</v>
      </c>
      <c r="D318" s="2" t="s">
        <v>731</v>
      </c>
      <c r="E318" s="2" t="s">
        <v>30</v>
      </c>
      <c r="F318" t="s">
        <v>30</v>
      </c>
      <c r="G318" t="s">
        <v>56</v>
      </c>
      <c r="H318" t="s">
        <v>17</v>
      </c>
      <c r="I318" t="s">
        <v>29</v>
      </c>
      <c r="N318" s="2" t="s">
        <v>18</v>
      </c>
      <c r="O318" s="2" t="s">
        <v>19</v>
      </c>
      <c r="P318" s="2">
        <v>92000000</v>
      </c>
      <c r="Q318" s="2">
        <v>7.7</v>
      </c>
      <c r="R318" s="2" t="s">
        <v>732</v>
      </c>
      <c r="S318" s="2"/>
      <c r="U318" s="2" t="s">
        <v>733</v>
      </c>
      <c r="V318">
        <f ca="1" t="shared" si="9"/>
        <v>6.35</v>
      </c>
      <c r="AC318" s="2"/>
      <c r="AD318" t="str">
        <f>IFERROR(__xludf.DUMMYFUNCTION("""COMPUTED_VALUE"""),"X-Men 2 ")</f>
        <v>X-Men 2 </v>
      </c>
      <c r="AE318">
        <f t="shared" si="10"/>
        <v>214948646</v>
      </c>
    </row>
    <row r="319" customHeight="1" spans="1:31">
      <c r="A319" s="2" t="s">
        <v>682</v>
      </c>
      <c r="B319" s="2">
        <v>85</v>
      </c>
      <c r="C319" s="2">
        <v>86897182</v>
      </c>
      <c r="D319" s="2" t="s">
        <v>40</v>
      </c>
      <c r="E319" s="2" t="s">
        <v>40</v>
      </c>
      <c r="F319" t="s">
        <v>35</v>
      </c>
      <c r="G319" t="s">
        <v>35</v>
      </c>
      <c r="H319" t="s">
        <v>30</v>
      </c>
      <c r="I319" t="s">
        <v>23</v>
      </c>
      <c r="N319" s="2" t="s">
        <v>18</v>
      </c>
      <c r="O319" s="2" t="s">
        <v>19</v>
      </c>
      <c r="P319" s="2">
        <v>95000000</v>
      </c>
      <c r="Q319" s="2">
        <v>6.2</v>
      </c>
      <c r="R319" s="2" t="s">
        <v>734</v>
      </c>
      <c r="S319" s="2"/>
      <c r="U319" s="2" t="s">
        <v>735</v>
      </c>
      <c r="V319">
        <f ca="1" t="shared" si="9"/>
        <v>7.5</v>
      </c>
      <c r="AC319" s="2"/>
      <c r="AD319" t="str">
        <f>IFERROR(__xludf.DUMMYFUNCTION("""COMPUTED_VALUE"""),"Fast Five ")</f>
        <v>Fast Five </v>
      </c>
      <c r="AE319">
        <f t="shared" si="10"/>
        <v>209804873</v>
      </c>
    </row>
    <row r="320" customHeight="1" spans="1:31">
      <c r="A320" s="2" t="s">
        <v>685</v>
      </c>
      <c r="B320" s="2">
        <v>126</v>
      </c>
      <c r="C320" s="2">
        <v>63540020</v>
      </c>
      <c r="D320" s="2" t="s">
        <v>38</v>
      </c>
      <c r="E320" s="2" t="s">
        <v>12</v>
      </c>
      <c r="F320" t="s">
        <v>35</v>
      </c>
      <c r="G320" t="s">
        <v>40</v>
      </c>
      <c r="H320" t="s">
        <v>17</v>
      </c>
      <c r="I320" t="s">
        <v>15</v>
      </c>
      <c r="N320" s="2" t="s">
        <v>18</v>
      </c>
      <c r="O320" s="2" t="s">
        <v>707</v>
      </c>
      <c r="P320" s="2">
        <v>93000000</v>
      </c>
      <c r="Q320" s="2">
        <v>7.7</v>
      </c>
      <c r="R320" s="2" t="s">
        <v>736</v>
      </c>
      <c r="S320" s="2"/>
      <c r="U320" s="2" t="s">
        <v>737</v>
      </c>
      <c r="V320">
        <f ca="1" t="shared" si="9"/>
        <v>6.7</v>
      </c>
      <c r="AC320" s="2"/>
      <c r="AD320" t="str">
        <f>IFERROR(__xludf.DUMMYFUNCTION("""COMPUTED_VALUE"""),"Sherlock Holmes: A Game of Shadows ")</f>
        <v>Sherlock Holmes: A Game of Shadows </v>
      </c>
      <c r="AE320">
        <f t="shared" si="10"/>
        <v>186830540</v>
      </c>
    </row>
    <row r="321" customHeight="1" spans="1:31">
      <c r="A321" s="2" t="s">
        <v>687</v>
      </c>
      <c r="B321" s="2">
        <v>146</v>
      </c>
      <c r="C321" s="2">
        <v>95328937</v>
      </c>
      <c r="D321" s="2" t="s">
        <v>521</v>
      </c>
      <c r="E321" s="2" t="s">
        <v>40</v>
      </c>
      <c r="F321" t="s">
        <v>23</v>
      </c>
      <c r="G321" t="s">
        <v>24</v>
      </c>
      <c r="H321" t="s">
        <v>15</v>
      </c>
      <c r="I321" t="s">
        <v>16</v>
      </c>
      <c r="N321" s="2" t="s">
        <v>18</v>
      </c>
      <c r="O321" s="2" t="s">
        <v>19</v>
      </c>
      <c r="P321" s="2">
        <v>100000000</v>
      </c>
      <c r="Q321" s="2">
        <v>4.3</v>
      </c>
      <c r="R321" s="2" t="s">
        <v>738</v>
      </c>
      <c r="S321" s="2"/>
      <c r="U321" s="2" t="s">
        <v>739</v>
      </c>
      <c r="V321">
        <f ca="1" t="shared" si="9"/>
        <v>6.23333333333333</v>
      </c>
      <c r="AC321" s="2"/>
      <c r="AD321" t="str">
        <f>IFERROR(__xludf.DUMMYFUNCTION("""COMPUTED_VALUE"""),"Clash of the Titans ")</f>
        <v>Clash of the Titans </v>
      </c>
      <c r="AE321">
        <f t="shared" si="10"/>
        <v>163192008</v>
      </c>
    </row>
    <row r="322" customHeight="1" spans="1:31">
      <c r="A322" s="2" t="s">
        <v>689</v>
      </c>
      <c r="B322" s="2">
        <v>89</v>
      </c>
      <c r="C322" s="2">
        <v>50802661</v>
      </c>
      <c r="D322" s="2" t="s">
        <v>740</v>
      </c>
      <c r="E322" s="2" t="s">
        <v>13</v>
      </c>
      <c r="F322" t="s">
        <v>14</v>
      </c>
      <c r="G322" t="s">
        <v>40</v>
      </c>
      <c r="H322" t="s">
        <v>24</v>
      </c>
      <c r="I322" t="s">
        <v>24</v>
      </c>
      <c r="N322" s="2" t="s">
        <v>18</v>
      </c>
      <c r="O322" s="2" t="s">
        <v>19</v>
      </c>
      <c r="P322" s="2">
        <v>95000000</v>
      </c>
      <c r="Q322" s="2">
        <v>6.9</v>
      </c>
      <c r="R322" s="2" t="s">
        <v>741</v>
      </c>
      <c r="S322" s="2"/>
      <c r="U322" s="2" t="s">
        <v>742</v>
      </c>
      <c r="V322">
        <f ca="1" t="shared" si="9"/>
        <v>7.35</v>
      </c>
      <c r="AC322" s="2"/>
      <c r="AD322" t="str">
        <f>IFERROR(__xludf.DUMMYFUNCTION("""COMPUTED_VALUE"""),"Total Recall ")</f>
        <v>Total Recall </v>
      </c>
      <c r="AE322">
        <f t="shared" si="10"/>
        <v>119412808</v>
      </c>
    </row>
    <row r="323" customHeight="1" spans="1:31">
      <c r="A323" s="2" t="s">
        <v>668</v>
      </c>
      <c r="B323" s="2">
        <v>88</v>
      </c>
      <c r="C323" s="2">
        <v>161317423</v>
      </c>
      <c r="D323" s="2" t="s">
        <v>189</v>
      </c>
      <c r="E323" s="2" t="s">
        <v>13</v>
      </c>
      <c r="F323" t="s">
        <v>35</v>
      </c>
      <c r="G323" t="s">
        <v>15</v>
      </c>
      <c r="H323" t="s">
        <v>24</v>
      </c>
      <c r="I323" t="s">
        <v>24</v>
      </c>
      <c r="N323" s="2" t="s">
        <v>18</v>
      </c>
      <c r="O323" s="2" t="s">
        <v>19</v>
      </c>
      <c r="P323" s="2">
        <v>95000000</v>
      </c>
      <c r="Q323" s="2">
        <v>6.6</v>
      </c>
      <c r="R323" s="2" t="s">
        <v>743</v>
      </c>
      <c r="S323" s="2"/>
      <c r="U323" s="2" t="s">
        <v>744</v>
      </c>
      <c r="V323">
        <f ca="1" t="shared" si="9"/>
        <v>6.85</v>
      </c>
      <c r="AC323" s="2"/>
      <c r="AD323" t="str">
        <f>IFERROR(__xludf.DUMMYFUNCTION("""COMPUTED_VALUE"""),"The 13th Warrior ")</f>
        <v>The 13th Warrior </v>
      </c>
      <c r="AE323">
        <f t="shared" si="10"/>
        <v>32694686</v>
      </c>
    </row>
    <row r="324" customHeight="1" spans="1:31">
      <c r="A324" s="2" t="s">
        <v>330</v>
      </c>
      <c r="B324" s="2">
        <v>105</v>
      </c>
      <c r="C324" s="2">
        <v>201148159</v>
      </c>
      <c r="D324" s="2" t="s">
        <v>745</v>
      </c>
      <c r="E324" s="2" t="s">
        <v>30</v>
      </c>
      <c r="F324" t="s">
        <v>13</v>
      </c>
      <c r="G324" t="s">
        <v>14</v>
      </c>
      <c r="H324" t="s">
        <v>29</v>
      </c>
      <c r="I324" t="s">
        <v>17</v>
      </c>
      <c r="N324" s="2" t="s">
        <v>18</v>
      </c>
      <c r="O324" s="2" t="s">
        <v>19</v>
      </c>
      <c r="P324" s="2">
        <v>95000000</v>
      </c>
      <c r="Q324" s="2">
        <v>7</v>
      </c>
      <c r="R324" s="2" t="s">
        <v>746</v>
      </c>
      <c r="S324" s="2"/>
      <c r="U324" s="2" t="s">
        <v>747</v>
      </c>
      <c r="V324">
        <f ca="1" t="shared" si="9"/>
        <v>6.76666666666667</v>
      </c>
      <c r="AC324" s="2"/>
      <c r="AD324" t="str">
        <f>IFERROR(__xludf.DUMMYFUNCTION("""COMPUTED_VALUE"""),"The Bourne Legacy ")</f>
        <v>The Bourne Legacy </v>
      </c>
      <c r="AE324">
        <f t="shared" si="10"/>
        <v>113165500</v>
      </c>
    </row>
    <row r="325" customHeight="1" spans="1:31">
      <c r="A325" s="2" t="s">
        <v>88</v>
      </c>
      <c r="B325" s="2">
        <v>135</v>
      </c>
      <c r="C325" s="2">
        <v>43982842</v>
      </c>
      <c r="D325" s="2" t="s">
        <v>748</v>
      </c>
      <c r="E325" s="2" t="s">
        <v>30</v>
      </c>
      <c r="F325" t="s">
        <v>13</v>
      </c>
      <c r="G325" t="s">
        <v>15</v>
      </c>
      <c r="H325" t="s">
        <v>24</v>
      </c>
      <c r="I325" t="s">
        <v>29</v>
      </c>
      <c r="N325" s="2" t="s">
        <v>18</v>
      </c>
      <c r="O325" s="2" t="s">
        <v>19</v>
      </c>
      <c r="P325" s="2">
        <v>65000000</v>
      </c>
      <c r="Q325" s="2">
        <v>6.7</v>
      </c>
      <c r="R325" s="2" t="s">
        <v>749</v>
      </c>
      <c r="S325" s="2"/>
      <c r="U325" s="2" t="s">
        <v>750</v>
      </c>
      <c r="V325">
        <f ca="1" t="shared" si="9"/>
        <v>6.24</v>
      </c>
      <c r="AC325" s="2"/>
      <c r="AD325" t="str">
        <f>IFERROR(__xludf.DUMMYFUNCTION("""COMPUTED_VALUE"""),"Batman &amp; Robin ")</f>
        <v>Batman &amp; Robin </v>
      </c>
      <c r="AE325">
        <f t="shared" si="10"/>
        <v>107284879</v>
      </c>
    </row>
    <row r="326" customHeight="1" spans="1:31">
      <c r="A326" s="2" t="s">
        <v>37</v>
      </c>
      <c r="B326" s="2">
        <v>100</v>
      </c>
      <c r="C326" s="2">
        <v>380838870</v>
      </c>
      <c r="D326" s="2" t="s">
        <v>189</v>
      </c>
      <c r="E326" s="2" t="s">
        <v>13</v>
      </c>
      <c r="F326" t="s">
        <v>13</v>
      </c>
      <c r="G326" t="s">
        <v>15</v>
      </c>
      <c r="H326" t="s">
        <v>23</v>
      </c>
      <c r="I326" t="s">
        <v>24</v>
      </c>
      <c r="N326" s="2" t="s">
        <v>18</v>
      </c>
      <c r="O326" s="2" t="s">
        <v>19</v>
      </c>
      <c r="P326" s="2">
        <v>94000000</v>
      </c>
      <c r="Q326" s="2">
        <v>8.2</v>
      </c>
      <c r="R326" s="2" t="s">
        <v>751</v>
      </c>
      <c r="S326" s="2"/>
      <c r="U326" s="2" t="s">
        <v>752</v>
      </c>
      <c r="V326">
        <f ca="1" t="shared" si="9"/>
        <v>7.2</v>
      </c>
      <c r="AC326" s="2"/>
      <c r="AD326" t="str">
        <f>IFERROR(__xludf.DUMMYFUNCTION("""COMPUTED_VALUE"""),"How the Grinch Stole Christmas ")</f>
        <v>How the Grinch Stole Christmas </v>
      </c>
      <c r="AE326">
        <f t="shared" si="10"/>
        <v>260030925</v>
      </c>
    </row>
    <row r="327" customHeight="1" spans="1:31">
      <c r="A327" s="2" t="s">
        <v>88</v>
      </c>
      <c r="B327" s="2">
        <v>192</v>
      </c>
      <c r="C327" s="2">
        <v>377019252</v>
      </c>
      <c r="D327" s="2" t="s">
        <v>228</v>
      </c>
      <c r="E327" s="2" t="s">
        <v>12</v>
      </c>
      <c r="F327" t="s">
        <v>13</v>
      </c>
      <c r="G327" t="s">
        <v>24</v>
      </c>
      <c r="H327" t="s">
        <v>24</v>
      </c>
      <c r="I327" t="s">
        <v>24</v>
      </c>
      <c r="N327" s="2" t="s">
        <v>18</v>
      </c>
      <c r="O327" s="2" t="s">
        <v>19</v>
      </c>
      <c r="P327" s="2">
        <v>94000000</v>
      </c>
      <c r="Q327" s="2">
        <v>8.9</v>
      </c>
      <c r="R327" s="2" t="s">
        <v>753</v>
      </c>
      <c r="S327" s="2"/>
      <c r="U327" s="2" t="s">
        <v>754</v>
      </c>
      <c r="V327">
        <f ca="1" t="shared" si="9"/>
        <v>6.5</v>
      </c>
      <c r="AC327" s="2"/>
      <c r="AD327" t="str">
        <f>IFERROR(__xludf.DUMMYFUNCTION("""COMPUTED_VALUE"""),"The Day After Tomorrow ")</f>
        <v>The Day After Tomorrow </v>
      </c>
      <c r="AE327">
        <f t="shared" si="10"/>
        <v>186739795</v>
      </c>
    </row>
    <row r="328" customHeight="1" spans="1:31">
      <c r="A328" s="2" t="s">
        <v>88</v>
      </c>
      <c r="B328" s="2">
        <v>172</v>
      </c>
      <c r="C328" s="2">
        <v>340478898</v>
      </c>
      <c r="D328" s="2" t="s">
        <v>228</v>
      </c>
      <c r="E328" s="2" t="s">
        <v>12</v>
      </c>
      <c r="F328" t="s">
        <v>28</v>
      </c>
      <c r="G328" t="s">
        <v>14</v>
      </c>
      <c r="H328" t="s">
        <v>29</v>
      </c>
      <c r="I328" t="s">
        <v>24</v>
      </c>
      <c r="N328" s="2" t="s">
        <v>18</v>
      </c>
      <c r="O328" s="2" t="s">
        <v>19</v>
      </c>
      <c r="P328" s="2">
        <v>94000000</v>
      </c>
      <c r="Q328" s="2">
        <v>8.7</v>
      </c>
      <c r="R328" s="2" t="s">
        <v>755</v>
      </c>
      <c r="S328" s="2"/>
      <c r="U328" s="2" t="s">
        <v>756</v>
      </c>
      <c r="V328">
        <f ca="1" t="shared" si="9"/>
        <v>5.6</v>
      </c>
      <c r="AC328" s="2"/>
      <c r="AD328" t="str">
        <f>IFERROR(__xludf.DUMMYFUNCTION("""COMPUTED_VALUE"""),"Mission: Impossible II ")</f>
        <v>Mission: Impossible II </v>
      </c>
      <c r="AE328">
        <f t="shared" si="10"/>
        <v>215397184</v>
      </c>
    </row>
    <row r="329" customHeight="1" spans="1:31">
      <c r="A329" s="2" t="s">
        <v>692</v>
      </c>
      <c r="B329" s="2">
        <v>102</v>
      </c>
      <c r="C329" s="2">
        <v>17176900</v>
      </c>
      <c r="D329" s="2" t="s">
        <v>22</v>
      </c>
      <c r="E329" s="2" t="s">
        <v>12</v>
      </c>
      <c r="F329" t="s">
        <v>13</v>
      </c>
      <c r="G329" t="s">
        <v>14</v>
      </c>
      <c r="H329" t="s">
        <v>17</v>
      </c>
      <c r="I329" t="s">
        <v>29</v>
      </c>
      <c r="N329" s="2" t="s">
        <v>18</v>
      </c>
      <c r="O329" s="2" t="s">
        <v>19</v>
      </c>
      <c r="P329" s="2">
        <v>95000000</v>
      </c>
      <c r="Q329" s="2">
        <v>5.5</v>
      </c>
      <c r="R329" s="2" t="s">
        <v>757</v>
      </c>
      <c r="S329" s="2"/>
      <c r="U329" s="2" t="s">
        <v>758</v>
      </c>
      <c r="V329">
        <f ca="1" t="shared" si="9"/>
        <v>7.16</v>
      </c>
      <c r="AC329" s="2"/>
      <c r="AD329" t="str">
        <f>IFERROR(__xludf.DUMMYFUNCTION("""COMPUTED_VALUE"""),"The Perfect Storm ")</f>
        <v>The Perfect Storm </v>
      </c>
      <c r="AE329">
        <f t="shared" si="10"/>
        <v>182618304</v>
      </c>
    </row>
    <row r="330" customHeight="1" spans="1:31">
      <c r="A330" s="2" t="s">
        <v>634</v>
      </c>
      <c r="B330" s="2">
        <v>100</v>
      </c>
      <c r="C330" s="2">
        <v>131144183</v>
      </c>
      <c r="D330" s="2" t="s">
        <v>715</v>
      </c>
      <c r="E330" s="2" t="s">
        <v>12</v>
      </c>
      <c r="F330" t="s">
        <v>30</v>
      </c>
      <c r="G330" t="s">
        <v>40</v>
      </c>
      <c r="H330" t="s">
        <v>29</v>
      </c>
      <c r="I330" t="s">
        <v>71</v>
      </c>
      <c r="N330" s="2" t="s">
        <v>18</v>
      </c>
      <c r="O330" s="2" t="s">
        <v>19</v>
      </c>
      <c r="P330" s="2">
        <v>115000000</v>
      </c>
      <c r="Q330" s="2">
        <v>5.7</v>
      </c>
      <c r="R330" s="2" t="s">
        <v>759</v>
      </c>
      <c r="S330" s="2"/>
      <c r="U330" s="2" t="s">
        <v>760</v>
      </c>
      <c r="V330">
        <f ca="1" t="shared" si="9"/>
        <v>6.25</v>
      </c>
      <c r="AC330" s="2"/>
      <c r="AD330" t="str">
        <f>IFERROR(__xludf.DUMMYFUNCTION("""COMPUTED_VALUE"""),"Fantastic 4: Rise of the Silver Surfer ")</f>
        <v>Fantastic 4: Rise of the Silver Surfer </v>
      </c>
      <c r="AE330">
        <f t="shared" si="10"/>
        <v>131920241</v>
      </c>
    </row>
    <row r="331" customHeight="1" spans="1:31">
      <c r="A331" s="2" t="s">
        <v>694</v>
      </c>
      <c r="B331" s="2">
        <v>119</v>
      </c>
      <c r="C331" s="2">
        <v>23014504</v>
      </c>
      <c r="D331" s="2" t="s">
        <v>761</v>
      </c>
      <c r="E331" s="2" t="s">
        <v>30</v>
      </c>
      <c r="F331" t="s">
        <v>23</v>
      </c>
      <c r="G331" t="s">
        <v>17</v>
      </c>
      <c r="H331" t="s">
        <v>16</v>
      </c>
      <c r="I331" t="s">
        <v>29</v>
      </c>
      <c r="N331" s="2" t="s">
        <v>18</v>
      </c>
      <c r="O331" s="2" t="s">
        <v>31</v>
      </c>
      <c r="P331" s="2">
        <v>100000000</v>
      </c>
      <c r="Q331" s="2">
        <v>6.3</v>
      </c>
      <c r="R331" s="2" t="s">
        <v>762</v>
      </c>
      <c r="S331" s="2"/>
      <c r="U331" s="2" t="s">
        <v>763</v>
      </c>
      <c r="V331">
        <f ca="1" t="shared" si="9"/>
        <v>6.425</v>
      </c>
      <c r="AC331" s="2"/>
      <c r="AD331" t="str">
        <f>IFERROR(__xludf.DUMMYFUNCTION("""COMPUTED_VALUE"""),"Life of Pi ")</f>
        <v>Life of Pi </v>
      </c>
      <c r="AE331">
        <f t="shared" si="10"/>
        <v>124976507</v>
      </c>
    </row>
    <row r="332" customHeight="1" spans="1:31">
      <c r="A332" s="2" t="s">
        <v>345</v>
      </c>
      <c r="B332" s="2">
        <v>92</v>
      </c>
      <c r="C332" s="2">
        <v>181166115</v>
      </c>
      <c r="D332" s="2" t="s">
        <v>108</v>
      </c>
      <c r="E332" s="2" t="s">
        <v>12</v>
      </c>
      <c r="F332" t="s">
        <v>24</v>
      </c>
      <c r="G332" t="s">
        <v>24</v>
      </c>
      <c r="H332" t="s">
        <v>17</v>
      </c>
      <c r="I332" t="s">
        <v>17</v>
      </c>
      <c r="N332" s="2" t="s">
        <v>18</v>
      </c>
      <c r="O332" s="2" t="s">
        <v>19</v>
      </c>
      <c r="P332" s="2">
        <v>93000000</v>
      </c>
      <c r="Q332" s="2">
        <v>5.9</v>
      </c>
      <c r="R332" s="2" t="s">
        <v>764</v>
      </c>
      <c r="S332" s="2"/>
      <c r="U332" s="2" t="s">
        <v>765</v>
      </c>
      <c r="V332">
        <f ca="1" t="shared" si="9"/>
        <v>6.16666666666667</v>
      </c>
      <c r="AC332" s="2"/>
      <c r="AD332" t="str">
        <f>IFERROR(__xludf.DUMMYFUNCTION("""COMPUTED_VALUE"""),"Ghost Rider ")</f>
        <v>Ghost Rider </v>
      </c>
      <c r="AE332">
        <f t="shared" si="10"/>
        <v>115802473</v>
      </c>
    </row>
    <row r="333" customHeight="1" spans="1:31">
      <c r="A333" s="2" t="s">
        <v>697</v>
      </c>
      <c r="B333" s="2">
        <v>105</v>
      </c>
      <c r="C333" s="2">
        <v>176740650</v>
      </c>
      <c r="D333" s="2" t="s">
        <v>511</v>
      </c>
      <c r="E333" s="2" t="s">
        <v>12</v>
      </c>
      <c r="F333" t="s">
        <v>55</v>
      </c>
      <c r="G333" t="s">
        <v>24</v>
      </c>
      <c r="H333" t="s">
        <v>72</v>
      </c>
      <c r="I333" t="s">
        <v>23</v>
      </c>
      <c r="N333" s="2" t="s">
        <v>18</v>
      </c>
      <c r="O333" s="2" t="s">
        <v>19</v>
      </c>
      <c r="P333" s="2">
        <v>93000000</v>
      </c>
      <c r="Q333" s="2">
        <v>7.6</v>
      </c>
      <c r="R333" s="2" t="s">
        <v>766</v>
      </c>
      <c r="S333" s="2"/>
      <c r="U333" s="2" t="s">
        <v>767</v>
      </c>
      <c r="V333">
        <f ca="1" t="shared" si="9"/>
        <v>7.1</v>
      </c>
      <c r="AC333" s="2"/>
      <c r="AD333" t="str">
        <f>IFERROR(__xludf.DUMMYFUNCTION("""COMPUTED_VALUE"""),"Jason Bourne ")</f>
        <v>Jason Bourne </v>
      </c>
      <c r="AE333">
        <f t="shared" si="10"/>
        <v>108521712</v>
      </c>
    </row>
    <row r="334" customHeight="1" spans="1:31">
      <c r="A334" s="2" t="s">
        <v>699</v>
      </c>
      <c r="B334" s="2">
        <v>107</v>
      </c>
      <c r="C334" s="2">
        <v>71148699</v>
      </c>
      <c r="D334" s="2" t="s">
        <v>99</v>
      </c>
      <c r="E334" s="2" t="s">
        <v>13</v>
      </c>
      <c r="F334" t="s">
        <v>13</v>
      </c>
      <c r="G334" t="s">
        <v>40</v>
      </c>
      <c r="H334" t="s">
        <v>24</v>
      </c>
      <c r="I334" t="s">
        <v>71</v>
      </c>
      <c r="N334" s="2" t="s">
        <v>18</v>
      </c>
      <c r="O334" s="2" t="s">
        <v>19</v>
      </c>
      <c r="P334" s="2">
        <v>90000000</v>
      </c>
      <c r="Q334" s="2">
        <v>6.6</v>
      </c>
      <c r="R334" s="2" t="s">
        <v>768</v>
      </c>
      <c r="S334" s="2"/>
      <c r="U334" s="2" t="s">
        <v>769</v>
      </c>
      <c r="V334">
        <f ca="1" t="shared" si="9"/>
        <v>6.45</v>
      </c>
      <c r="AC334" s="2"/>
      <c r="AD334" t="str">
        <f>IFERROR(__xludf.DUMMYFUNCTION("""COMPUTED_VALUE"""),"Charlie's Angels: Full Throttle ")</f>
        <v>Charlie's Angels: Full Throttle </v>
      </c>
      <c r="AE334">
        <f t="shared" si="10"/>
        <v>100685773</v>
      </c>
    </row>
    <row r="335" customHeight="1" spans="1:31">
      <c r="A335" s="2" t="s">
        <v>702</v>
      </c>
      <c r="B335" s="2">
        <v>101</v>
      </c>
      <c r="C335" s="2">
        <v>67344392</v>
      </c>
      <c r="D335" s="2" t="s">
        <v>34</v>
      </c>
      <c r="E335" s="2" t="s">
        <v>12</v>
      </c>
      <c r="F335" t="s">
        <v>13</v>
      </c>
      <c r="G335" t="s">
        <v>15</v>
      </c>
      <c r="H335" t="s">
        <v>28</v>
      </c>
      <c r="I335" t="s">
        <v>17</v>
      </c>
      <c r="N335" s="2" t="s">
        <v>18</v>
      </c>
      <c r="O335" s="2" t="s">
        <v>19</v>
      </c>
      <c r="P335" s="2">
        <v>92000000</v>
      </c>
      <c r="Q335" s="2">
        <v>5.3</v>
      </c>
      <c r="R335" s="2" t="s">
        <v>770</v>
      </c>
      <c r="S335" s="2"/>
      <c r="U335" s="2" t="s">
        <v>771</v>
      </c>
      <c r="V335">
        <f ca="1" t="shared" si="9"/>
        <v>5.675</v>
      </c>
      <c r="AC335" s="2"/>
      <c r="AD335" t="str">
        <f>IFERROR(__xludf.DUMMYFUNCTION("""COMPUTED_VALUE"""),"Prometheus ")</f>
        <v>Prometheus </v>
      </c>
      <c r="AE335">
        <f t="shared" si="10"/>
        <v>126464780</v>
      </c>
    </row>
    <row r="336" customHeight="1" spans="1:31">
      <c r="A336" s="2" t="s">
        <v>705</v>
      </c>
      <c r="B336" s="2">
        <v>137</v>
      </c>
      <c r="C336" s="2">
        <v>22406362</v>
      </c>
      <c r="D336" s="2" t="s">
        <v>772</v>
      </c>
      <c r="E336" s="2" t="s">
        <v>30</v>
      </c>
      <c r="F336" t="s">
        <v>23</v>
      </c>
      <c r="G336" t="s">
        <v>15</v>
      </c>
      <c r="H336" t="s">
        <v>23</v>
      </c>
      <c r="I336" t="s">
        <v>24</v>
      </c>
      <c r="N336" s="2" t="s">
        <v>18</v>
      </c>
      <c r="O336" s="2" t="s">
        <v>19</v>
      </c>
      <c r="P336" s="2">
        <v>107000000</v>
      </c>
      <c r="Q336" s="2">
        <v>6</v>
      </c>
      <c r="R336" s="2" t="s">
        <v>773</v>
      </c>
      <c r="S336" s="2"/>
      <c r="U336" s="2" t="s">
        <v>774</v>
      </c>
      <c r="V336">
        <f ca="1" t="shared" si="9"/>
        <v>7</v>
      </c>
      <c r="AC336" s="2"/>
      <c r="AD336" t="str">
        <f>IFERROR(__xludf.DUMMYFUNCTION("""COMPUTED_VALUE"""),"Stuart Little 2 ")</f>
        <v>Stuart Little 2 </v>
      </c>
      <c r="AE336">
        <f t="shared" si="10"/>
        <v>64736037</v>
      </c>
    </row>
    <row r="337" customHeight="1" spans="1:31">
      <c r="A337" s="2" t="s">
        <v>241</v>
      </c>
      <c r="B337" s="2">
        <v>115</v>
      </c>
      <c r="C337" s="2">
        <v>261437578</v>
      </c>
      <c r="D337" s="2" t="s">
        <v>775</v>
      </c>
      <c r="E337" s="2" t="s">
        <v>12</v>
      </c>
      <c r="F337" t="s">
        <v>40</v>
      </c>
      <c r="G337" t="s">
        <v>30</v>
      </c>
      <c r="H337" t="s">
        <v>24</v>
      </c>
      <c r="I337" t="s">
        <v>23</v>
      </c>
      <c r="N337" s="2" t="s">
        <v>18</v>
      </c>
      <c r="O337" s="2" t="s">
        <v>19</v>
      </c>
      <c r="P337" s="2">
        <v>92000000</v>
      </c>
      <c r="Q337" s="2">
        <v>8</v>
      </c>
      <c r="R337" s="2" t="s">
        <v>776</v>
      </c>
      <c r="S337" s="2"/>
      <c r="U337" s="2" t="s">
        <v>777</v>
      </c>
      <c r="V337">
        <f ca="1" t="shared" si="9"/>
        <v>5</v>
      </c>
      <c r="AC337" s="2"/>
      <c r="AD337" t="str">
        <f>IFERROR(__xludf.DUMMYFUNCTION("""COMPUTED_VALUE"""),"Elysium ")</f>
        <v>Elysium </v>
      </c>
      <c r="AE337">
        <f t="shared" si="10"/>
        <v>93050008</v>
      </c>
    </row>
    <row r="338" customHeight="1" spans="1:31">
      <c r="A338" s="2" t="s">
        <v>709</v>
      </c>
      <c r="B338" s="2">
        <v>124</v>
      </c>
      <c r="C338" s="2">
        <v>11000000</v>
      </c>
      <c r="D338" s="2" t="s">
        <v>589</v>
      </c>
      <c r="E338" s="2" t="s">
        <v>12</v>
      </c>
      <c r="F338" t="s">
        <v>35</v>
      </c>
      <c r="G338" t="s">
        <v>24</v>
      </c>
      <c r="H338" t="s">
        <v>24</v>
      </c>
      <c r="I338" t="s">
        <v>28</v>
      </c>
      <c r="N338" s="2" t="s">
        <v>18</v>
      </c>
      <c r="O338" s="2" t="s">
        <v>19</v>
      </c>
      <c r="P338" s="2">
        <v>98000000</v>
      </c>
      <c r="Q338" s="2">
        <v>5.6</v>
      </c>
      <c r="R338" s="2" t="s">
        <v>778</v>
      </c>
      <c r="S338" s="2"/>
      <c r="U338" s="2" t="s">
        <v>779</v>
      </c>
      <c r="V338">
        <f ca="1" t="shared" si="9"/>
        <v>5.2</v>
      </c>
      <c r="AC338" s="2"/>
      <c r="AD338" t="str">
        <f>IFERROR(__xludf.DUMMYFUNCTION("""COMPUTED_VALUE"""),"The Chronicles of Riddick ")</f>
        <v>The Chronicles of Riddick </v>
      </c>
      <c r="AE338">
        <f t="shared" si="10"/>
        <v>57637351</v>
      </c>
    </row>
    <row r="339" customHeight="1" spans="1:31">
      <c r="A339" s="2" t="s">
        <v>466</v>
      </c>
      <c r="B339" s="2">
        <v>118</v>
      </c>
      <c r="C339" s="2">
        <v>88761720</v>
      </c>
      <c r="D339" s="2" t="s">
        <v>99</v>
      </c>
      <c r="E339" s="2" t="s">
        <v>13</v>
      </c>
      <c r="F339" t="s">
        <v>24</v>
      </c>
      <c r="G339" t="s">
        <v>39</v>
      </c>
      <c r="H339" t="s">
        <v>55</v>
      </c>
      <c r="I339" t="s">
        <v>29</v>
      </c>
      <c r="N339" s="2" t="s">
        <v>18</v>
      </c>
      <c r="O339" s="2" t="s">
        <v>31</v>
      </c>
      <c r="P339" s="2">
        <v>95000000</v>
      </c>
      <c r="Q339" s="2">
        <v>5.9</v>
      </c>
      <c r="R339" s="2" t="s">
        <v>780</v>
      </c>
      <c r="S339" s="2"/>
      <c r="U339" s="2" t="s">
        <v>781</v>
      </c>
      <c r="V339">
        <f ca="1" t="shared" si="9"/>
        <v>6.22857142857143</v>
      </c>
      <c r="AC339" s="2"/>
      <c r="AD339" t="str">
        <f>IFERROR(__xludf.DUMMYFUNCTION("""COMPUTED_VALUE"""),"RoboCop ")</f>
        <v>RoboCop </v>
      </c>
      <c r="AE339">
        <f t="shared" si="10"/>
        <v>58606890</v>
      </c>
    </row>
    <row r="340" customHeight="1" spans="1:31">
      <c r="A340" s="2" t="s">
        <v>85</v>
      </c>
      <c r="B340" s="2">
        <v>98</v>
      </c>
      <c r="C340" s="2">
        <v>250147615</v>
      </c>
      <c r="D340" s="2" t="s">
        <v>782</v>
      </c>
      <c r="E340" s="2" t="s">
        <v>13</v>
      </c>
      <c r="F340" t="s">
        <v>40</v>
      </c>
      <c r="G340" t="s">
        <v>14</v>
      </c>
      <c r="H340" t="s">
        <v>23</v>
      </c>
      <c r="I340" t="s">
        <v>16</v>
      </c>
      <c r="N340" s="2" t="s">
        <v>18</v>
      </c>
      <c r="O340" s="2" t="s">
        <v>19</v>
      </c>
      <c r="P340" s="2">
        <v>90000000</v>
      </c>
      <c r="Q340" s="2">
        <v>7.3</v>
      </c>
      <c r="R340" s="2" t="s">
        <v>783</v>
      </c>
      <c r="S340" s="2"/>
      <c r="U340" s="2" t="s">
        <v>784</v>
      </c>
      <c r="V340">
        <f ca="1" t="shared" si="9"/>
        <v>6.75</v>
      </c>
      <c r="AC340" s="2"/>
      <c r="AD340" t="str">
        <f>IFERROR(__xludf.DUMMYFUNCTION("""COMPUTED_VALUE"""),"Speed Racer ")</f>
        <v>Speed Racer </v>
      </c>
      <c r="AE340">
        <f t="shared" si="10"/>
        <v>43929206</v>
      </c>
    </row>
    <row r="341" customHeight="1" spans="1:31">
      <c r="A341" s="2" t="s">
        <v>139</v>
      </c>
      <c r="B341" s="2">
        <v>82</v>
      </c>
      <c r="C341" s="2">
        <v>245823397</v>
      </c>
      <c r="D341" s="2" t="s">
        <v>124</v>
      </c>
      <c r="E341" s="2" t="s">
        <v>13</v>
      </c>
      <c r="F341" t="s">
        <v>14</v>
      </c>
      <c r="G341" t="s">
        <v>39</v>
      </c>
      <c r="H341" t="s">
        <v>30</v>
      </c>
      <c r="I341" t="s">
        <v>16</v>
      </c>
      <c r="N341" s="2" t="s">
        <v>18</v>
      </c>
      <c r="O341" s="2" t="s">
        <v>19</v>
      </c>
      <c r="P341" s="2">
        <v>90000000</v>
      </c>
      <c r="Q341" s="2">
        <v>7.9</v>
      </c>
      <c r="R341" s="2" t="s">
        <v>785</v>
      </c>
      <c r="S341" s="2"/>
      <c r="U341" s="2" t="s">
        <v>786</v>
      </c>
      <c r="V341">
        <f ca="1" t="shared" si="9"/>
        <v>6.6</v>
      </c>
      <c r="AC341" s="2"/>
      <c r="AD341" t="str">
        <f>IFERROR(__xludf.DUMMYFUNCTION("""COMPUTED_VALUE"""),"How Do You Know ")</f>
        <v>How Do You Know </v>
      </c>
      <c r="AE341">
        <f t="shared" si="10"/>
        <v>30212499</v>
      </c>
    </row>
    <row r="342" customHeight="1" spans="1:31">
      <c r="A342" s="2" t="s">
        <v>617</v>
      </c>
      <c r="B342" s="2">
        <v>98</v>
      </c>
      <c r="C342" s="2">
        <v>81557479</v>
      </c>
      <c r="D342" s="2" t="s">
        <v>34</v>
      </c>
      <c r="E342" s="2" t="s">
        <v>12</v>
      </c>
      <c r="F342" t="s">
        <v>40</v>
      </c>
      <c r="G342" t="s">
        <v>30</v>
      </c>
      <c r="H342" t="s">
        <v>24</v>
      </c>
      <c r="I342" t="s">
        <v>15</v>
      </c>
      <c r="N342" s="2" t="s">
        <v>18</v>
      </c>
      <c r="O342" s="2" t="s">
        <v>19</v>
      </c>
      <c r="P342" s="2">
        <v>100000000</v>
      </c>
      <c r="Q342" s="2">
        <v>6.8</v>
      </c>
      <c r="R342" s="2" t="s">
        <v>787</v>
      </c>
      <c r="S342" s="2"/>
      <c r="U342" s="2" t="s">
        <v>788</v>
      </c>
      <c r="V342">
        <f ca="1" t="shared" si="9"/>
        <v>6.54285714285714</v>
      </c>
      <c r="AC342" s="2"/>
      <c r="AD342" t="str">
        <f>IFERROR(__xludf.DUMMYFUNCTION("""COMPUTED_VALUE"""),"Knight and Day ")</f>
        <v>Knight and Day </v>
      </c>
      <c r="AE342">
        <f t="shared" si="10"/>
        <v>76418537</v>
      </c>
    </row>
    <row r="343" customHeight="1" spans="1:31">
      <c r="A343" s="2" t="s">
        <v>119</v>
      </c>
      <c r="B343" s="2">
        <v>90</v>
      </c>
      <c r="C343" s="2">
        <v>226138454</v>
      </c>
      <c r="D343" s="2" t="s">
        <v>174</v>
      </c>
      <c r="E343" s="2" t="s">
        <v>12</v>
      </c>
      <c r="F343" t="s">
        <v>13</v>
      </c>
      <c r="G343" t="s">
        <v>17</v>
      </c>
      <c r="H343" t="s">
        <v>55</v>
      </c>
      <c r="I343" t="s">
        <v>24</v>
      </c>
      <c r="N343" s="2" t="s">
        <v>18</v>
      </c>
      <c r="O343" s="2" t="s">
        <v>19</v>
      </c>
      <c r="P343" s="2">
        <v>90000000</v>
      </c>
      <c r="Q343" s="2">
        <v>6.6</v>
      </c>
      <c r="R343" s="2" t="s">
        <v>789</v>
      </c>
      <c r="S343" s="2"/>
      <c r="U343" s="2" t="s">
        <v>790</v>
      </c>
      <c r="V343">
        <f ca="1" t="shared" si="9"/>
        <v>6.36666666666667</v>
      </c>
      <c r="AC343" s="2"/>
      <c r="AD343" t="str">
        <f>IFERROR(__xludf.DUMMYFUNCTION("""COMPUTED_VALUE"""),"Oblivion ")</f>
        <v>Oblivion </v>
      </c>
      <c r="AE343">
        <f t="shared" si="10"/>
        <v>89021611</v>
      </c>
    </row>
    <row r="344" customHeight="1" spans="1:31">
      <c r="A344" s="2" t="s">
        <v>178</v>
      </c>
      <c r="B344" s="2">
        <v>130</v>
      </c>
      <c r="C344" s="2">
        <v>155370362</v>
      </c>
      <c r="D344" s="2" t="s">
        <v>791</v>
      </c>
      <c r="E344" s="2" t="s">
        <v>30</v>
      </c>
      <c r="F344" t="s">
        <v>40</v>
      </c>
      <c r="G344" t="s">
        <v>23</v>
      </c>
      <c r="H344" t="s">
        <v>24</v>
      </c>
      <c r="I344" t="s">
        <v>15</v>
      </c>
      <c r="N344" s="2" t="s">
        <v>18</v>
      </c>
      <c r="O344" s="2" t="s">
        <v>19</v>
      </c>
      <c r="P344" s="2">
        <v>100000000</v>
      </c>
      <c r="Q344" s="2">
        <v>6.6</v>
      </c>
      <c r="R344" s="2" t="s">
        <v>792</v>
      </c>
      <c r="S344" s="2"/>
      <c r="U344" s="2" t="s">
        <v>793</v>
      </c>
      <c r="V344">
        <f ca="1" t="shared" si="9"/>
        <v>7.1</v>
      </c>
      <c r="AC344" s="2"/>
      <c r="AD344" t="str">
        <f>IFERROR(__xludf.DUMMYFUNCTION("""COMPUTED_VALUE"""),"Star Wars: Episode III - Revenge of the Sith ")</f>
        <v>Star Wars: Episode III - Revenge of the Sith </v>
      </c>
      <c r="AE344">
        <f t="shared" si="10"/>
        <v>380262415</v>
      </c>
    </row>
    <row r="345" customHeight="1" spans="1:31">
      <c r="A345" s="2" t="s">
        <v>711</v>
      </c>
      <c r="B345" s="2">
        <v>90</v>
      </c>
      <c r="C345" s="2">
        <v>124870275</v>
      </c>
      <c r="D345" s="2" t="s">
        <v>794</v>
      </c>
      <c r="E345" s="2" t="s">
        <v>35</v>
      </c>
      <c r="F345" t="s">
        <v>13</v>
      </c>
      <c r="G345" t="s">
        <v>24</v>
      </c>
      <c r="H345" t="s">
        <v>24</v>
      </c>
      <c r="I345" t="s">
        <v>16</v>
      </c>
      <c r="N345" s="2" t="s">
        <v>18</v>
      </c>
      <c r="O345" s="2" t="s">
        <v>19</v>
      </c>
      <c r="P345" s="2">
        <v>100000000</v>
      </c>
      <c r="Q345" s="2">
        <v>7</v>
      </c>
      <c r="R345" s="2" t="s">
        <v>795</v>
      </c>
      <c r="S345" s="2"/>
      <c r="U345" s="2" t="s">
        <v>796</v>
      </c>
      <c r="V345">
        <f ca="1" t="shared" si="9"/>
        <v>6.9375</v>
      </c>
      <c r="AC345" s="2"/>
      <c r="AD345" t="str">
        <f>IFERROR(__xludf.DUMMYFUNCTION("""COMPUTED_VALUE"""),"Star Wars: Episode II - Attack of the Clones ")</f>
        <v>Star Wars: Episode II - Attack of the Clones </v>
      </c>
      <c r="AE345">
        <f t="shared" si="10"/>
        <v>310675441</v>
      </c>
    </row>
    <row r="346" customHeight="1" spans="1:31">
      <c r="A346" s="2" t="s">
        <v>474</v>
      </c>
      <c r="B346" s="2">
        <v>94</v>
      </c>
      <c r="C346" s="2">
        <v>196573705</v>
      </c>
      <c r="D346" s="2" t="s">
        <v>313</v>
      </c>
      <c r="E346" s="2" t="s">
        <v>12</v>
      </c>
      <c r="F346" t="s">
        <v>30</v>
      </c>
      <c r="G346" t="s">
        <v>30</v>
      </c>
      <c r="H346" t="s">
        <v>23</v>
      </c>
      <c r="I346" t="s">
        <v>24</v>
      </c>
      <c r="N346" s="2" t="s">
        <v>18</v>
      </c>
      <c r="O346" s="2" t="s">
        <v>19</v>
      </c>
      <c r="P346" s="2">
        <v>90000000</v>
      </c>
      <c r="Q346" s="2">
        <v>7</v>
      </c>
      <c r="R346" s="2" t="s">
        <v>797</v>
      </c>
      <c r="S346" s="2"/>
      <c r="U346" s="2" t="s">
        <v>798</v>
      </c>
      <c r="V346">
        <f ca="1" t="shared" si="9"/>
        <v>6.65</v>
      </c>
      <c r="AC346" s="2"/>
      <c r="AD346" t="str">
        <f>IFERROR(__xludf.DUMMYFUNCTION("""COMPUTED_VALUE"""),"Monsters, Inc. ")</f>
        <v>Monsters, Inc. </v>
      </c>
      <c r="AE346">
        <f t="shared" si="10"/>
        <v>289907326</v>
      </c>
    </row>
    <row r="347" customHeight="1" spans="1:31">
      <c r="A347" s="2" t="s">
        <v>714</v>
      </c>
      <c r="B347" s="2">
        <v>114</v>
      </c>
      <c r="C347" s="2">
        <v>58229120</v>
      </c>
      <c r="D347" s="2" t="s">
        <v>799</v>
      </c>
      <c r="E347" s="2" t="s">
        <v>13</v>
      </c>
      <c r="F347" t="s">
        <v>35</v>
      </c>
      <c r="G347" t="s">
        <v>17</v>
      </c>
      <c r="H347" t="s">
        <v>29</v>
      </c>
      <c r="I347" t="s">
        <v>17</v>
      </c>
      <c r="N347" s="2" t="s">
        <v>18</v>
      </c>
      <c r="O347" s="2" t="s">
        <v>19</v>
      </c>
      <c r="P347" s="2">
        <v>90000000</v>
      </c>
      <c r="Q347" s="2">
        <v>7.3</v>
      </c>
      <c r="R347" s="2" t="s">
        <v>800</v>
      </c>
      <c r="S347" s="2"/>
      <c r="U347" s="2" t="s">
        <v>801</v>
      </c>
      <c r="V347">
        <f ca="1" t="shared" si="9"/>
        <v>6.96666666666667</v>
      </c>
      <c r="AC347" s="2"/>
      <c r="AD347" t="str">
        <f>IFERROR(__xludf.DUMMYFUNCTION("""COMPUTED_VALUE"""),"The Wolverine ")</f>
        <v>The Wolverine </v>
      </c>
      <c r="AE347">
        <f t="shared" si="10"/>
        <v>132550822</v>
      </c>
    </row>
    <row r="348" customHeight="1" spans="1:31">
      <c r="A348" s="2" t="s">
        <v>147</v>
      </c>
      <c r="B348" s="2">
        <v>94</v>
      </c>
      <c r="C348" s="2">
        <v>125305545</v>
      </c>
      <c r="D348" s="2" t="s">
        <v>802</v>
      </c>
      <c r="E348" s="2" t="s">
        <v>12</v>
      </c>
      <c r="F348" t="s">
        <v>40</v>
      </c>
      <c r="G348" t="s">
        <v>23</v>
      </c>
      <c r="H348" t="s">
        <v>28</v>
      </c>
      <c r="I348" t="s">
        <v>29</v>
      </c>
      <c r="N348" s="2" t="s">
        <v>18</v>
      </c>
      <c r="O348" s="2" t="s">
        <v>19</v>
      </c>
      <c r="P348" s="2">
        <v>92000000</v>
      </c>
      <c r="Q348" s="2">
        <v>5.5</v>
      </c>
      <c r="R348" s="2" t="s">
        <v>803</v>
      </c>
      <c r="S348" s="2"/>
      <c r="U348" s="2" t="s">
        <v>804</v>
      </c>
      <c r="V348">
        <f ca="1" t="shared" si="9"/>
        <v>5.53333333333333</v>
      </c>
      <c r="AC348" s="2"/>
      <c r="AD348" t="str">
        <f>IFERROR(__xludf.DUMMYFUNCTION("""COMPUTED_VALUE"""),"Star Wars: Episode I - The Phantom Menace ")</f>
        <v>Star Wars: Episode I - The Phantom Menace </v>
      </c>
      <c r="AE348">
        <f t="shared" si="10"/>
        <v>474544541</v>
      </c>
    </row>
    <row r="349" customHeight="1" spans="1:31">
      <c r="A349" s="2" t="s">
        <v>196</v>
      </c>
      <c r="B349" s="2">
        <v>151</v>
      </c>
      <c r="C349" s="2">
        <v>132373442</v>
      </c>
      <c r="D349" s="2" t="s">
        <v>805</v>
      </c>
      <c r="E349" s="2" t="s">
        <v>56</v>
      </c>
      <c r="F349" t="s">
        <v>30</v>
      </c>
      <c r="G349" t="s">
        <v>23</v>
      </c>
      <c r="H349" t="s">
        <v>23</v>
      </c>
      <c r="I349" t="s">
        <v>17</v>
      </c>
      <c r="N349" s="2" t="s">
        <v>18</v>
      </c>
      <c r="O349" s="2" t="s">
        <v>19</v>
      </c>
      <c r="P349" s="2">
        <v>90000000</v>
      </c>
      <c r="Q349" s="2">
        <v>8.5</v>
      </c>
      <c r="R349" s="2" t="s">
        <v>806</v>
      </c>
      <c r="S349" s="2"/>
      <c r="U349" s="2" t="s">
        <v>807</v>
      </c>
      <c r="V349">
        <f ca="1" t="shared" si="9"/>
        <v>6</v>
      </c>
      <c r="AC349" s="2"/>
      <c r="AD349" t="str">
        <f>IFERROR(__xludf.DUMMYFUNCTION("""COMPUTED_VALUE"""),"The Croods ")</f>
        <v>The Croods </v>
      </c>
      <c r="AE349">
        <f t="shared" si="10"/>
        <v>187165448</v>
      </c>
    </row>
    <row r="350" customHeight="1" spans="1:31">
      <c r="A350" s="2" t="s">
        <v>717</v>
      </c>
      <c r="B350" s="2">
        <v>88</v>
      </c>
      <c r="C350" s="2">
        <v>120618403</v>
      </c>
      <c r="D350" s="2" t="s">
        <v>808</v>
      </c>
      <c r="E350" s="2" t="s">
        <v>13</v>
      </c>
      <c r="F350" t="s">
        <v>13</v>
      </c>
      <c r="G350" t="s">
        <v>28</v>
      </c>
      <c r="H350" t="s">
        <v>24</v>
      </c>
      <c r="I350" t="s">
        <v>24</v>
      </c>
      <c r="N350" s="2" t="s">
        <v>18</v>
      </c>
      <c r="O350" s="2" t="s">
        <v>19</v>
      </c>
      <c r="P350" s="2">
        <v>90000000</v>
      </c>
      <c r="Q350" s="2">
        <v>7.5</v>
      </c>
      <c r="R350" s="2" t="s">
        <v>809</v>
      </c>
      <c r="S350" s="2"/>
      <c r="U350" s="2" t="s">
        <v>810</v>
      </c>
      <c r="V350">
        <f ca="1" t="shared" si="9"/>
        <v>5.6</v>
      </c>
      <c r="AC350" s="2"/>
      <c r="AD350" t="str">
        <f>IFERROR(__xludf.DUMMYFUNCTION("""COMPUTED_VALUE"""),"Windtalkers ")</f>
        <v>Windtalkers </v>
      </c>
      <c r="AE350">
        <f t="shared" si="10"/>
        <v>40911677</v>
      </c>
    </row>
    <row r="351" customHeight="1" spans="1:31">
      <c r="A351" s="2" t="s">
        <v>714</v>
      </c>
      <c r="B351" s="2">
        <v>121</v>
      </c>
      <c r="C351" s="2">
        <v>110416702</v>
      </c>
      <c r="D351" s="2" t="s">
        <v>811</v>
      </c>
      <c r="E351" s="2" t="s">
        <v>12</v>
      </c>
      <c r="F351" t="s">
        <v>13</v>
      </c>
      <c r="G351" t="s">
        <v>23</v>
      </c>
      <c r="H351" t="s">
        <v>30</v>
      </c>
      <c r="I351" t="s">
        <v>24</v>
      </c>
      <c r="N351" s="2" t="s">
        <v>18</v>
      </c>
      <c r="O351" s="2" t="s">
        <v>19</v>
      </c>
      <c r="P351" s="2">
        <v>92000000</v>
      </c>
      <c r="Q351" s="2">
        <v>7</v>
      </c>
      <c r="R351" s="2" t="s">
        <v>812</v>
      </c>
      <c r="S351" s="2"/>
      <c r="U351" s="2" t="s">
        <v>813</v>
      </c>
      <c r="V351">
        <f ca="1" t="shared" si="9"/>
        <v>5.925</v>
      </c>
      <c r="AC351" s="2"/>
      <c r="AD351" t="str">
        <f>IFERROR(__xludf.DUMMYFUNCTION("""COMPUTED_VALUE"""),"The Huntsman: Winter's War ")</f>
        <v>The Huntsman: Winter's War </v>
      </c>
      <c r="AE351">
        <f t="shared" si="10"/>
        <v>47951900</v>
      </c>
    </row>
    <row r="352" customHeight="1" spans="1:31">
      <c r="A352" s="2" t="s">
        <v>265</v>
      </c>
      <c r="B352" s="2">
        <v>158</v>
      </c>
      <c r="C352" s="2">
        <v>102515793</v>
      </c>
      <c r="D352" s="2" t="s">
        <v>814</v>
      </c>
      <c r="E352" s="2" t="s">
        <v>56</v>
      </c>
      <c r="F352" t="s">
        <v>13</v>
      </c>
      <c r="G352" t="s">
        <v>56</v>
      </c>
      <c r="H352" t="s">
        <v>30</v>
      </c>
      <c r="I352" t="s">
        <v>24</v>
      </c>
      <c r="N352" s="2" t="s">
        <v>18</v>
      </c>
      <c r="O352" s="2" t="s">
        <v>19</v>
      </c>
      <c r="P352" s="2">
        <v>90000000</v>
      </c>
      <c r="Q352" s="2">
        <v>7.8</v>
      </c>
      <c r="R352" s="2" t="s">
        <v>815</v>
      </c>
      <c r="S352" s="2"/>
      <c r="U352" s="2" t="s">
        <v>816</v>
      </c>
      <c r="V352">
        <f ca="1" t="shared" si="9"/>
        <v>6.4875</v>
      </c>
      <c r="AC352" s="2"/>
      <c r="AD352" t="str">
        <f>IFERROR(__xludf.DUMMYFUNCTION("""COMPUTED_VALUE"""),"Teenage Mutant Ninja Turtles ")</f>
        <v>Teenage Mutant Ninja Turtles </v>
      </c>
      <c r="AE352">
        <f t="shared" si="10"/>
        <v>190871139</v>
      </c>
    </row>
    <row r="353" customHeight="1" spans="1:31">
      <c r="A353" s="2" t="s">
        <v>485</v>
      </c>
      <c r="B353" s="2">
        <v>128</v>
      </c>
      <c r="C353" s="2">
        <v>100012500</v>
      </c>
      <c r="D353" s="2" t="s">
        <v>27</v>
      </c>
      <c r="E353" s="2" t="s">
        <v>12</v>
      </c>
      <c r="F353" t="s">
        <v>35</v>
      </c>
      <c r="G353" t="s">
        <v>30</v>
      </c>
      <c r="H353" t="s">
        <v>14</v>
      </c>
      <c r="I353" t="s">
        <v>24</v>
      </c>
      <c r="N353" s="2" t="s">
        <v>18</v>
      </c>
      <c r="O353" s="2" t="s">
        <v>19</v>
      </c>
      <c r="P353" s="2">
        <v>90000000</v>
      </c>
      <c r="Q353" s="2">
        <v>7.6</v>
      </c>
      <c r="R353" s="2" t="s">
        <v>817</v>
      </c>
      <c r="S353" s="2"/>
      <c r="U353" s="2" t="s">
        <v>818</v>
      </c>
      <c r="V353">
        <f ca="1" t="shared" si="9"/>
        <v>6.35</v>
      </c>
      <c r="AC353" s="2"/>
      <c r="AD353" t="str">
        <f>IFERROR(__xludf.DUMMYFUNCTION("""COMPUTED_VALUE"""),"Gravity ")</f>
        <v>Gravity </v>
      </c>
      <c r="AE353">
        <f t="shared" si="10"/>
        <v>274084860</v>
      </c>
    </row>
    <row r="354" customHeight="1" spans="1:31">
      <c r="A354" s="2" t="s">
        <v>479</v>
      </c>
      <c r="B354" s="2">
        <v>128</v>
      </c>
      <c r="C354" s="2">
        <v>209019489</v>
      </c>
      <c r="D354" s="2" t="s">
        <v>480</v>
      </c>
      <c r="E354" s="2" t="s">
        <v>12</v>
      </c>
      <c r="F354" t="s">
        <v>55</v>
      </c>
      <c r="G354" t="s">
        <v>17</v>
      </c>
      <c r="H354" t="s">
        <v>23</v>
      </c>
      <c r="I354" t="s">
        <v>24</v>
      </c>
      <c r="N354" s="2" t="s">
        <v>18</v>
      </c>
      <c r="O354" s="2" t="s">
        <v>19</v>
      </c>
      <c r="P354" s="2">
        <v>90000000</v>
      </c>
      <c r="Q354" s="2">
        <v>7.6</v>
      </c>
      <c r="R354" s="2" t="s">
        <v>819</v>
      </c>
      <c r="S354" s="2"/>
      <c r="U354" s="2" t="s">
        <v>820</v>
      </c>
      <c r="V354">
        <f ca="1" t="shared" si="9"/>
        <v>5.2</v>
      </c>
      <c r="AC354" s="2"/>
      <c r="AD354" t="str">
        <f>IFERROR(__xludf.DUMMYFUNCTION("""COMPUTED_VALUE"""),"Dante's Peak ")</f>
        <v>Dante's Peak </v>
      </c>
      <c r="AE354">
        <f t="shared" si="10"/>
        <v>67155634</v>
      </c>
    </row>
    <row r="355" customHeight="1" spans="1:31">
      <c r="A355" s="2" t="s">
        <v>630</v>
      </c>
      <c r="B355" s="2">
        <v>95</v>
      </c>
      <c r="C355" s="2">
        <v>84037039</v>
      </c>
      <c r="D355" s="2" t="s">
        <v>821</v>
      </c>
      <c r="E355" s="2" t="s">
        <v>12</v>
      </c>
      <c r="F355" t="s">
        <v>40</v>
      </c>
      <c r="G355" t="s">
        <v>40</v>
      </c>
      <c r="H355" t="s">
        <v>17</v>
      </c>
      <c r="I355" t="s">
        <v>24</v>
      </c>
      <c r="N355" s="2" t="s">
        <v>18</v>
      </c>
      <c r="O355" s="2" t="s">
        <v>19</v>
      </c>
      <c r="P355" s="2">
        <v>120000000</v>
      </c>
      <c r="Q355" s="2">
        <v>6.8</v>
      </c>
      <c r="R355" s="2" t="s">
        <v>822</v>
      </c>
      <c r="S355" s="2"/>
      <c r="U355" s="2" t="s">
        <v>823</v>
      </c>
      <c r="V355">
        <f ca="1" t="shared" si="9"/>
        <v>6.76</v>
      </c>
      <c r="AC355" s="2"/>
      <c r="AD355" t="str">
        <f>IFERROR(__xludf.DUMMYFUNCTION("""COMPUTED_VALUE"""),"Teenage Mutant Ninja Turtles: Out of the Shadows ")</f>
        <v>Teenage Mutant Ninja Turtles: Out of the Shadows </v>
      </c>
      <c r="AE355">
        <f t="shared" si="10"/>
        <v>81638562</v>
      </c>
    </row>
    <row r="356" customHeight="1" spans="1:31">
      <c r="A356" s="2" t="s">
        <v>720</v>
      </c>
      <c r="B356" s="2">
        <v>92</v>
      </c>
      <c r="C356" s="2">
        <v>85884815</v>
      </c>
      <c r="D356" s="2" t="s">
        <v>824</v>
      </c>
      <c r="E356" s="2" t="s">
        <v>13</v>
      </c>
      <c r="F356" t="s">
        <v>35</v>
      </c>
      <c r="G356" t="s">
        <v>15</v>
      </c>
      <c r="H356" t="s">
        <v>24</v>
      </c>
      <c r="I356" t="s">
        <v>24</v>
      </c>
      <c r="N356" s="2" t="s">
        <v>18</v>
      </c>
      <c r="O356" s="2" t="s">
        <v>19</v>
      </c>
      <c r="P356" s="2">
        <v>90000000</v>
      </c>
      <c r="Q356" s="2">
        <v>5</v>
      </c>
      <c r="R356" s="2" t="s">
        <v>825</v>
      </c>
      <c r="S356" s="2"/>
      <c r="U356" s="2" t="s">
        <v>826</v>
      </c>
      <c r="V356">
        <f ca="1" t="shared" si="9"/>
        <v>6.65</v>
      </c>
      <c r="AC356" s="2"/>
      <c r="AD356" t="str">
        <f>IFERROR(__xludf.DUMMYFUNCTION("""COMPUTED_VALUE"""),"Fantastic Four ")</f>
        <v>Fantastic Four </v>
      </c>
      <c r="AE356">
        <f t="shared" si="10"/>
        <v>56114121</v>
      </c>
    </row>
    <row r="357" customHeight="1" spans="1:31">
      <c r="A357" s="2" t="s">
        <v>67</v>
      </c>
      <c r="B357" s="2">
        <v>121</v>
      </c>
      <c r="C357" s="2">
        <v>83077470</v>
      </c>
      <c r="D357" s="2" t="s">
        <v>827</v>
      </c>
      <c r="E357" s="2" t="s">
        <v>30</v>
      </c>
      <c r="F357" t="s">
        <v>30</v>
      </c>
      <c r="G357" t="s">
        <v>29</v>
      </c>
      <c r="H357" t="s">
        <v>24</v>
      </c>
      <c r="I357" t="s">
        <v>71</v>
      </c>
      <c r="N357" s="2" t="s">
        <v>18</v>
      </c>
      <c r="O357" s="2" t="s">
        <v>19</v>
      </c>
      <c r="P357" s="2">
        <v>75000000</v>
      </c>
      <c r="Q357" s="2">
        <v>7.1</v>
      </c>
      <c r="R357" s="2" t="s">
        <v>828</v>
      </c>
      <c r="S357" s="2"/>
      <c r="U357" s="2" t="s">
        <v>829</v>
      </c>
      <c r="V357">
        <f ca="1" t="shared" si="9"/>
        <v>5.8</v>
      </c>
      <c r="AC357" s="2"/>
      <c r="AD357" t="str">
        <f>IFERROR(__xludf.DUMMYFUNCTION("""COMPUTED_VALUE"""),"Night at the Museum ")</f>
        <v>Night at the Museum </v>
      </c>
      <c r="AE357">
        <f t="shared" si="10"/>
        <v>250863160</v>
      </c>
    </row>
    <row r="358" customHeight="1" spans="1:31">
      <c r="A358" s="2" t="s">
        <v>724</v>
      </c>
      <c r="B358" s="2">
        <v>113</v>
      </c>
      <c r="C358" s="2">
        <v>100018837</v>
      </c>
      <c r="D358" s="2" t="s">
        <v>811</v>
      </c>
      <c r="E358" s="2" t="s">
        <v>12</v>
      </c>
      <c r="F358" t="s">
        <v>23</v>
      </c>
      <c r="G358" t="s">
        <v>40</v>
      </c>
      <c r="H358" t="s">
        <v>24</v>
      </c>
      <c r="I358" t="s">
        <v>15</v>
      </c>
      <c r="N358" s="2" t="s">
        <v>18</v>
      </c>
      <c r="O358" s="2" t="s">
        <v>19</v>
      </c>
      <c r="P358" s="2">
        <v>90000000</v>
      </c>
      <c r="Q358" s="2">
        <v>5.5</v>
      </c>
      <c r="R358" s="2" t="s">
        <v>830</v>
      </c>
      <c r="S358" s="2"/>
      <c r="U358" s="2" t="s">
        <v>831</v>
      </c>
      <c r="V358">
        <f ca="1" t="shared" si="9"/>
        <v>5.3</v>
      </c>
      <c r="AC358" s="2"/>
      <c r="AD358" t="str">
        <f>IFERROR(__xludf.DUMMYFUNCTION("""COMPUTED_VALUE"""),"San Andreas ")</f>
        <v>San Andreas </v>
      </c>
      <c r="AE358">
        <f t="shared" si="10"/>
        <v>155181618</v>
      </c>
    </row>
    <row r="359" customHeight="1" spans="1:31">
      <c r="A359" s="2" t="s">
        <v>466</v>
      </c>
      <c r="B359" s="2">
        <v>106</v>
      </c>
      <c r="C359" s="2">
        <v>78747585</v>
      </c>
      <c r="D359" s="2" t="s">
        <v>832</v>
      </c>
      <c r="E359" s="2" t="s">
        <v>12</v>
      </c>
      <c r="F359" t="s">
        <v>28</v>
      </c>
      <c r="G359" t="s">
        <v>40</v>
      </c>
      <c r="H359" t="s">
        <v>56</v>
      </c>
      <c r="I359" t="s">
        <v>17</v>
      </c>
      <c r="N359" s="2" t="s">
        <v>18</v>
      </c>
      <c r="O359" s="2" t="s">
        <v>19</v>
      </c>
      <c r="P359" s="2">
        <v>88000000</v>
      </c>
      <c r="Q359" s="2">
        <v>5.6</v>
      </c>
      <c r="R359" s="2" t="s">
        <v>833</v>
      </c>
      <c r="S359" s="2"/>
      <c r="U359" s="2" t="s">
        <v>834</v>
      </c>
      <c r="V359">
        <f ca="1" t="shared" si="9"/>
        <v>6.3</v>
      </c>
      <c r="AC359" s="2"/>
      <c r="AD359" t="str">
        <f>IFERROR(__xludf.DUMMYFUNCTION("""COMPUTED_VALUE"""),"Tomorrow Never Dies ")</f>
        <v>Tomorrow Never Dies </v>
      </c>
      <c r="AE359">
        <f t="shared" si="10"/>
        <v>125331888</v>
      </c>
    </row>
    <row r="360" customHeight="1" spans="1:31">
      <c r="A360" s="2" t="s">
        <v>166</v>
      </c>
      <c r="B360" s="2">
        <v>146</v>
      </c>
      <c r="C360" s="2">
        <v>78616689</v>
      </c>
      <c r="D360" s="2" t="s">
        <v>260</v>
      </c>
      <c r="E360" s="2" t="s">
        <v>13</v>
      </c>
      <c r="F360" t="s">
        <v>72</v>
      </c>
      <c r="G360" t="s">
        <v>24</v>
      </c>
      <c r="H360" t="s">
        <v>24</v>
      </c>
      <c r="I360" t="s">
        <v>24</v>
      </c>
      <c r="N360" s="2" t="s">
        <v>18</v>
      </c>
      <c r="O360" s="2" t="s">
        <v>19</v>
      </c>
      <c r="P360" s="2">
        <v>100000000</v>
      </c>
      <c r="Q360" s="2">
        <v>7.1</v>
      </c>
      <c r="R360" s="2" t="s">
        <v>835</v>
      </c>
      <c r="S360" s="2"/>
      <c r="U360" s="2" t="s">
        <v>836</v>
      </c>
      <c r="V360">
        <f ca="1" t="shared" si="9"/>
        <v>5.6</v>
      </c>
      <c r="AC360" s="2"/>
      <c r="AD360" t="str">
        <f>IFERROR(__xludf.DUMMYFUNCTION("""COMPUTED_VALUE"""),"The Patriot ")</f>
        <v>The Patriot </v>
      </c>
      <c r="AE360">
        <f t="shared" si="10"/>
        <v>113330200</v>
      </c>
    </row>
    <row r="361" customHeight="1" spans="1:31">
      <c r="A361" s="2" t="s">
        <v>363</v>
      </c>
      <c r="B361" s="2">
        <v>88</v>
      </c>
      <c r="C361" s="2">
        <v>75817994</v>
      </c>
      <c r="D361" s="2" t="s">
        <v>837</v>
      </c>
      <c r="E361" s="2" t="s">
        <v>40</v>
      </c>
      <c r="F361" t="s">
        <v>28</v>
      </c>
      <c r="G361" t="s">
        <v>40</v>
      </c>
      <c r="H361" t="s">
        <v>15</v>
      </c>
      <c r="I361" t="s">
        <v>24</v>
      </c>
      <c r="N361" s="2" t="s">
        <v>18</v>
      </c>
      <c r="O361" s="2" t="s">
        <v>19</v>
      </c>
      <c r="P361" s="2">
        <v>90000000</v>
      </c>
      <c r="Q361" s="2">
        <v>4.9</v>
      </c>
      <c r="R361" s="2" t="s">
        <v>838</v>
      </c>
      <c r="S361" s="2"/>
      <c r="U361" s="2" t="s">
        <v>839</v>
      </c>
      <c r="V361">
        <f ca="1" t="shared" si="9"/>
        <v>2.4</v>
      </c>
      <c r="AC361" s="2"/>
      <c r="AD361" t="str">
        <f>IFERROR(__xludf.DUMMYFUNCTION("""COMPUTED_VALUE"""),"Ocean's Twelve ")</f>
        <v>Ocean's Twelve </v>
      </c>
      <c r="AE361">
        <f t="shared" si="10"/>
        <v>125531509</v>
      </c>
    </row>
    <row r="362" customHeight="1" spans="1:31">
      <c r="A362" s="2" t="s">
        <v>178</v>
      </c>
      <c r="B362" s="2">
        <v>150</v>
      </c>
      <c r="C362" s="2">
        <v>100853835</v>
      </c>
      <c r="D362" s="2" t="s">
        <v>840</v>
      </c>
      <c r="E362" s="2" t="s">
        <v>30</v>
      </c>
      <c r="F362" t="s">
        <v>23</v>
      </c>
      <c r="G362" t="s">
        <v>17</v>
      </c>
      <c r="H362" t="s">
        <v>23</v>
      </c>
      <c r="I362" t="s">
        <v>24</v>
      </c>
      <c r="N362" s="2" t="s">
        <v>18</v>
      </c>
      <c r="O362" s="2" t="s">
        <v>19</v>
      </c>
      <c r="P362" s="2">
        <v>90000000</v>
      </c>
      <c r="Q362" s="2">
        <v>7.4</v>
      </c>
      <c r="R362" s="2" t="s">
        <v>841</v>
      </c>
      <c r="S362" s="2"/>
      <c r="U362" s="2" t="s">
        <v>842</v>
      </c>
      <c r="V362">
        <f ca="1" t="shared" si="9"/>
        <v>5.7</v>
      </c>
      <c r="AC362" s="2"/>
      <c r="AD362" t="str">
        <f>IFERROR(__xludf.DUMMYFUNCTION("""COMPUTED_VALUE"""),"Mr. &amp; Mrs. Smith ")</f>
        <v>Mr. &amp; Mrs. Smith </v>
      </c>
      <c r="AE362">
        <f t="shared" si="10"/>
        <v>186335977</v>
      </c>
    </row>
    <row r="363" customHeight="1" spans="1:31">
      <c r="A363" s="2" t="s">
        <v>483</v>
      </c>
      <c r="B363" s="2">
        <v>119</v>
      </c>
      <c r="C363" s="2">
        <v>73209340</v>
      </c>
      <c r="D363" s="2" t="s">
        <v>843</v>
      </c>
      <c r="E363" s="2" t="s">
        <v>12</v>
      </c>
      <c r="F363" t="s">
        <v>13</v>
      </c>
      <c r="G363" t="s">
        <v>24</v>
      </c>
      <c r="H363" t="s">
        <v>24</v>
      </c>
      <c r="I363" t="s">
        <v>71</v>
      </c>
      <c r="N363" s="2" t="s">
        <v>18</v>
      </c>
      <c r="O363" s="2" t="s">
        <v>19</v>
      </c>
      <c r="P363" s="2">
        <v>95000000</v>
      </c>
      <c r="Q363" s="2">
        <v>5.7</v>
      </c>
      <c r="R363" s="2" t="s">
        <v>844</v>
      </c>
      <c r="S363" s="2"/>
      <c r="U363" s="2" t="s">
        <v>845</v>
      </c>
      <c r="V363">
        <f ca="1" t="shared" si="9"/>
        <v>6.81666666666667</v>
      </c>
      <c r="AC363" s="2"/>
      <c r="AD363" t="str">
        <f>IFERROR(__xludf.DUMMYFUNCTION("""COMPUTED_VALUE"""),"Insurgent ")</f>
        <v>Insurgent </v>
      </c>
      <c r="AE363">
        <f t="shared" si="10"/>
        <v>129995698</v>
      </c>
    </row>
    <row r="364" customHeight="1" spans="1:31">
      <c r="A364" s="2" t="s">
        <v>727</v>
      </c>
      <c r="B364" s="2">
        <v>128</v>
      </c>
      <c r="C364" s="2">
        <v>72515360</v>
      </c>
      <c r="D364" s="2" t="s">
        <v>846</v>
      </c>
      <c r="E364" s="2" t="s">
        <v>56</v>
      </c>
      <c r="F364" t="s">
        <v>13</v>
      </c>
      <c r="G364" t="s">
        <v>30</v>
      </c>
      <c r="H364" t="s">
        <v>24</v>
      </c>
      <c r="I364" t="s">
        <v>23</v>
      </c>
      <c r="N364" s="2" t="s">
        <v>847</v>
      </c>
      <c r="O364" s="2" t="s">
        <v>31</v>
      </c>
      <c r="P364" s="2">
        <v>80000000</v>
      </c>
      <c r="Q364" s="2">
        <v>6.4</v>
      </c>
      <c r="R364" s="2" t="s">
        <v>848</v>
      </c>
      <c r="S364" s="2"/>
      <c r="U364" s="2" t="s">
        <v>849</v>
      </c>
      <c r="V364">
        <f ca="1" t="shared" si="9"/>
        <v>6.03333333333333</v>
      </c>
      <c r="AC364" s="2"/>
      <c r="AD364" t="str">
        <f>IFERROR(__xludf.DUMMYFUNCTION("""COMPUTED_VALUE"""),"The Aviator ")</f>
        <v>The Aviator </v>
      </c>
      <c r="AE364">
        <f t="shared" si="10"/>
        <v>102608657</v>
      </c>
    </row>
    <row r="365" customHeight="1" spans="1:31">
      <c r="A365" s="2" t="s">
        <v>730</v>
      </c>
      <c r="B365" s="2">
        <v>106</v>
      </c>
      <c r="C365" s="2">
        <v>68558662</v>
      </c>
      <c r="D365" s="2" t="s">
        <v>99</v>
      </c>
      <c r="E365" s="2" t="s">
        <v>13</v>
      </c>
      <c r="F365" t="s">
        <v>13</v>
      </c>
      <c r="G365" t="s">
        <v>14</v>
      </c>
      <c r="H365" t="s">
        <v>23</v>
      </c>
      <c r="I365" t="s">
        <v>24</v>
      </c>
      <c r="N365" s="2" t="s">
        <v>18</v>
      </c>
      <c r="O365" s="2" t="s">
        <v>19</v>
      </c>
      <c r="P365" s="2">
        <v>90000000</v>
      </c>
      <c r="Q365" s="2">
        <v>5.9</v>
      </c>
      <c r="R365" s="2" t="s">
        <v>850</v>
      </c>
      <c r="S365" s="2"/>
      <c r="U365" s="2" t="s">
        <v>851</v>
      </c>
      <c r="V365">
        <f ca="1" t="shared" si="9"/>
        <v>6</v>
      </c>
      <c r="AC365" s="2"/>
      <c r="AD365" t="str">
        <f>IFERROR(__xludf.DUMMYFUNCTION("""COMPUTED_VALUE"""),"Gulliver's Travels ")</f>
        <v>Gulliver's Travels </v>
      </c>
      <c r="AE365">
        <f t="shared" si="10"/>
        <v>42776174</v>
      </c>
    </row>
    <row r="366" customHeight="1" spans="1:31">
      <c r="A366" s="2" t="s">
        <v>581</v>
      </c>
      <c r="B366" s="2">
        <v>117</v>
      </c>
      <c r="C366" s="2">
        <v>65653758</v>
      </c>
      <c r="D366" s="2" t="s">
        <v>22</v>
      </c>
      <c r="E366" s="2" t="s">
        <v>12</v>
      </c>
      <c r="F366" t="s">
        <v>56</v>
      </c>
      <c r="G366" t="s">
        <v>15</v>
      </c>
      <c r="H366" t="s">
        <v>24</v>
      </c>
      <c r="I366" t="s">
        <v>852</v>
      </c>
      <c r="N366" s="2" t="s">
        <v>18</v>
      </c>
      <c r="O366" s="2" t="s">
        <v>19</v>
      </c>
      <c r="P366" s="2">
        <v>95000000</v>
      </c>
      <c r="Q366" s="2">
        <v>5.5</v>
      </c>
      <c r="R366" s="2" t="s">
        <v>853</v>
      </c>
      <c r="S366" s="2"/>
      <c r="U366" s="2" t="s">
        <v>854</v>
      </c>
      <c r="V366">
        <f ca="1" t="shared" si="9"/>
        <v>4.75</v>
      </c>
      <c r="AC366" s="2"/>
      <c r="AD366" t="str">
        <f>IFERROR(__xludf.DUMMYFUNCTION("""COMPUTED_VALUE"""),"The Green Hornet ")</f>
        <v>The Green Hornet </v>
      </c>
      <c r="AE366">
        <f t="shared" si="10"/>
        <v>98779923</v>
      </c>
    </row>
    <row r="367" customHeight="1" spans="1:31">
      <c r="A367" s="2" t="s">
        <v>403</v>
      </c>
      <c r="B367" s="2">
        <v>129</v>
      </c>
      <c r="C367" s="2">
        <v>64685359</v>
      </c>
      <c r="D367" s="2" t="s">
        <v>855</v>
      </c>
      <c r="E367" s="2" t="s">
        <v>12</v>
      </c>
      <c r="F367" t="s">
        <v>15</v>
      </c>
      <c r="G367" t="s">
        <v>15</v>
      </c>
      <c r="H367" t="s">
        <v>28</v>
      </c>
      <c r="I367" t="s">
        <v>55</v>
      </c>
      <c r="N367" s="2" t="s">
        <v>18</v>
      </c>
      <c r="O367" s="2" t="s">
        <v>19</v>
      </c>
      <c r="P367" s="2">
        <v>90000000</v>
      </c>
      <c r="Q367" s="2">
        <v>6.9</v>
      </c>
      <c r="R367" s="2" t="s">
        <v>856</v>
      </c>
      <c r="S367" s="2"/>
      <c r="U367" s="2" t="s">
        <v>857</v>
      </c>
      <c r="V367">
        <f ca="1" t="shared" si="9"/>
        <v>7.2</v>
      </c>
      <c r="AC367" s="2"/>
      <c r="AD367" t="str">
        <f>IFERROR(__xludf.DUMMYFUNCTION("""COMPUTED_VALUE"""),"300: Rise of an Empire ")</f>
        <v>300: Rise of an Empire </v>
      </c>
      <c r="AE367">
        <f t="shared" si="10"/>
        <v>106369015</v>
      </c>
    </row>
    <row r="368" customHeight="1" spans="1:31">
      <c r="A368" s="2" t="s">
        <v>447</v>
      </c>
      <c r="B368" s="2">
        <v>116</v>
      </c>
      <c r="C368" s="2">
        <v>61355436</v>
      </c>
      <c r="D368" s="2" t="s">
        <v>604</v>
      </c>
      <c r="E368" s="2" t="s">
        <v>12</v>
      </c>
      <c r="F368" t="s">
        <v>35</v>
      </c>
      <c r="G368" t="s">
        <v>28</v>
      </c>
      <c r="H368" t="s">
        <v>23</v>
      </c>
      <c r="I368" t="s">
        <v>83</v>
      </c>
      <c r="N368" s="2" t="s">
        <v>18</v>
      </c>
      <c r="O368" s="2" t="s">
        <v>19</v>
      </c>
      <c r="P368" s="2">
        <v>68000000</v>
      </c>
      <c r="Q368" s="2">
        <v>6.2</v>
      </c>
      <c r="R368" s="2" t="s">
        <v>858</v>
      </c>
      <c r="S368" s="2"/>
      <c r="U368" s="2" t="s">
        <v>859</v>
      </c>
      <c r="V368">
        <f ca="1" t="shared" si="9"/>
        <v>6.25714285714286</v>
      </c>
      <c r="AC368" s="2"/>
      <c r="AD368" t="str">
        <f>IFERROR(__xludf.DUMMYFUNCTION("""COMPUTED_VALUE"""),"The Smurfs ")</f>
        <v>The Smurfs </v>
      </c>
      <c r="AE368">
        <f t="shared" si="10"/>
        <v>142614055</v>
      </c>
    </row>
    <row r="369" customHeight="1" spans="1:31">
      <c r="A369" s="2" t="s">
        <v>617</v>
      </c>
      <c r="B369" s="2">
        <v>114</v>
      </c>
      <c r="C369" s="2">
        <v>26871</v>
      </c>
      <c r="D369" s="2" t="s">
        <v>150</v>
      </c>
      <c r="E369" s="2" t="s">
        <v>12</v>
      </c>
      <c r="F369" t="s">
        <v>30</v>
      </c>
      <c r="G369" t="s">
        <v>14</v>
      </c>
      <c r="H369" t="s">
        <v>17</v>
      </c>
      <c r="I369" t="s">
        <v>24</v>
      </c>
      <c r="N369" s="2" t="s">
        <v>18</v>
      </c>
      <c r="O369" s="2" t="s">
        <v>293</v>
      </c>
      <c r="P369" s="2">
        <v>92000000</v>
      </c>
      <c r="Q369" s="2">
        <v>7</v>
      </c>
      <c r="R369" s="2" t="s">
        <v>860</v>
      </c>
      <c r="S369" s="2"/>
      <c r="U369" s="2" t="s">
        <v>861</v>
      </c>
      <c r="V369">
        <f ca="1" t="shared" si="9"/>
        <v>6.1</v>
      </c>
      <c r="AC369" s="2"/>
      <c r="AD369" t="str">
        <f>IFERROR(__xludf.DUMMYFUNCTION("""COMPUTED_VALUE"""),"Home on the Range ")</f>
        <v>Home on the Range </v>
      </c>
      <c r="AE369">
        <f t="shared" si="10"/>
        <v>50026277</v>
      </c>
    </row>
    <row r="370" customHeight="1" spans="1:31">
      <c r="A370" s="2" t="s">
        <v>733</v>
      </c>
      <c r="B370" s="2">
        <v>114</v>
      </c>
      <c r="C370" s="2">
        <v>60874615</v>
      </c>
      <c r="D370" s="2" t="s">
        <v>439</v>
      </c>
      <c r="E370" s="2" t="s">
        <v>13</v>
      </c>
      <c r="F370" t="s">
        <v>30</v>
      </c>
      <c r="G370" t="s">
        <v>23</v>
      </c>
      <c r="H370" t="s">
        <v>40</v>
      </c>
      <c r="I370" t="s">
        <v>24</v>
      </c>
      <c r="N370" s="2" t="s">
        <v>18</v>
      </c>
      <c r="O370" s="2" t="s">
        <v>19</v>
      </c>
      <c r="P370" s="2">
        <v>90000000</v>
      </c>
      <c r="Q370" s="2">
        <v>5.6</v>
      </c>
      <c r="R370" s="2" t="s">
        <v>862</v>
      </c>
      <c r="S370" s="2"/>
      <c r="U370" s="2" t="s">
        <v>863</v>
      </c>
      <c r="V370">
        <f ca="1" t="shared" si="9"/>
        <v>6.8</v>
      </c>
      <c r="AC370" s="2"/>
      <c r="AD370" t="str">
        <f>IFERROR(__xludf.DUMMYFUNCTION("""COMPUTED_VALUE"""),"Allegiant ")</f>
        <v>Allegiant </v>
      </c>
      <c r="AE370">
        <f t="shared" si="10"/>
        <v>66002073</v>
      </c>
    </row>
    <row r="371" customHeight="1" spans="1:31">
      <c r="A371" s="2" t="s">
        <v>474</v>
      </c>
      <c r="B371" s="2">
        <v>96</v>
      </c>
      <c r="C371" s="2">
        <v>143618384</v>
      </c>
      <c r="D371" s="2" t="s">
        <v>475</v>
      </c>
      <c r="E371" s="2" t="s">
        <v>13</v>
      </c>
      <c r="F371" t="s">
        <v>56</v>
      </c>
      <c r="G371" t="s">
        <v>15</v>
      </c>
      <c r="H371" t="s">
        <v>15</v>
      </c>
      <c r="I371" t="s">
        <v>24</v>
      </c>
      <c r="N371" s="2" t="s">
        <v>18</v>
      </c>
      <c r="O371" s="2" t="s">
        <v>19</v>
      </c>
      <c r="P371" s="2">
        <v>90000000</v>
      </c>
      <c r="Q371" s="2">
        <v>7</v>
      </c>
      <c r="R371" s="2" t="s">
        <v>864</v>
      </c>
      <c r="S371" s="2"/>
      <c r="U371" s="2" t="s">
        <v>865</v>
      </c>
      <c r="V371">
        <f ca="1" t="shared" si="9"/>
        <v>5.8</v>
      </c>
      <c r="AC371" s="2"/>
      <c r="AD371" t="str">
        <f>IFERROR(__xludf.DUMMYFUNCTION("""COMPUTED_VALUE"""),"Real Steel ")</f>
        <v>Real Steel </v>
      </c>
      <c r="AE371">
        <f t="shared" si="10"/>
        <v>85463182</v>
      </c>
    </row>
    <row r="372" customHeight="1" spans="1:31">
      <c r="A372" s="2" t="s">
        <v>466</v>
      </c>
      <c r="B372" s="2">
        <v>132</v>
      </c>
      <c r="C372" s="2">
        <v>58220776</v>
      </c>
      <c r="D372" s="2" t="s">
        <v>866</v>
      </c>
      <c r="E372" s="2" t="s">
        <v>40</v>
      </c>
      <c r="F372" t="s">
        <v>55</v>
      </c>
      <c r="G372" t="s">
        <v>14</v>
      </c>
      <c r="H372" t="s">
        <v>24</v>
      </c>
      <c r="I372" t="s">
        <v>14</v>
      </c>
      <c r="N372" s="2" t="s">
        <v>18</v>
      </c>
      <c r="O372" s="2" t="s">
        <v>19</v>
      </c>
      <c r="P372" s="2">
        <v>100000000</v>
      </c>
      <c r="Q372" s="2">
        <v>6.8</v>
      </c>
      <c r="R372" s="2" t="s">
        <v>867</v>
      </c>
      <c r="S372" s="2"/>
      <c r="U372" s="2" t="s">
        <v>868</v>
      </c>
      <c r="V372">
        <f ca="1" t="shared" si="9"/>
        <v>7.35</v>
      </c>
      <c r="AC372" s="2"/>
      <c r="AD372" t="str">
        <f>IFERROR(__xludf.DUMMYFUNCTION("""COMPUTED_VALUE"""),"The Smurfs 2 ")</f>
        <v>The Smurfs 2 </v>
      </c>
      <c r="AE372">
        <f t="shared" si="10"/>
        <v>71017679</v>
      </c>
    </row>
    <row r="373" customHeight="1" spans="1:31">
      <c r="A373" s="2" t="s">
        <v>735</v>
      </c>
      <c r="B373" s="2">
        <v>104</v>
      </c>
      <c r="C373" s="2">
        <v>47474112</v>
      </c>
      <c r="D373" s="2" t="s">
        <v>511</v>
      </c>
      <c r="E373" s="2" t="s">
        <v>12</v>
      </c>
      <c r="F373" t="s">
        <v>14</v>
      </c>
      <c r="G373" t="s">
        <v>55</v>
      </c>
      <c r="H373" t="s">
        <v>39</v>
      </c>
      <c r="I373" t="s">
        <v>24</v>
      </c>
      <c r="N373" s="2" t="s">
        <v>18</v>
      </c>
      <c r="O373" s="2" t="s">
        <v>19</v>
      </c>
      <c r="P373" s="2">
        <v>90000000</v>
      </c>
      <c r="Q373" s="2">
        <v>5.4</v>
      </c>
      <c r="R373" s="2" t="s">
        <v>869</v>
      </c>
      <c r="S373" s="2"/>
      <c r="U373" s="2" t="s">
        <v>870</v>
      </c>
      <c r="V373">
        <f ca="1" t="shared" si="9"/>
        <v>6.25</v>
      </c>
      <c r="AC373" s="2"/>
      <c r="AD373" t="str">
        <f>IFERROR(__xludf.DUMMYFUNCTION("""COMPUTED_VALUE"""),"Speed 2: Cruise Control ")</f>
        <v>Speed 2: Cruise Control </v>
      </c>
      <c r="AE373">
        <f t="shared" si="10"/>
        <v>48068275</v>
      </c>
    </row>
    <row r="374" customHeight="1" spans="1:31">
      <c r="A374" s="2" t="s">
        <v>737</v>
      </c>
      <c r="B374" s="2">
        <v>111</v>
      </c>
      <c r="C374" s="2">
        <v>42877165</v>
      </c>
      <c r="D374" s="2" t="s">
        <v>186</v>
      </c>
      <c r="E374" s="2" t="s">
        <v>12</v>
      </c>
      <c r="F374" t="s">
        <v>30</v>
      </c>
      <c r="G374" t="s">
        <v>15</v>
      </c>
      <c r="H374" t="s">
        <v>24</v>
      </c>
      <c r="I374" t="s">
        <v>24</v>
      </c>
      <c r="N374" s="2" t="s">
        <v>18</v>
      </c>
      <c r="O374" s="2" t="s">
        <v>19</v>
      </c>
      <c r="P374" s="2">
        <v>86000000</v>
      </c>
      <c r="Q374" s="2">
        <v>6.1</v>
      </c>
      <c r="R374" s="2" t="s">
        <v>871</v>
      </c>
      <c r="S374" s="2"/>
      <c r="U374" s="2" t="s">
        <v>872</v>
      </c>
      <c r="V374">
        <f ca="1" t="shared" si="9"/>
        <v>6.96666666666667</v>
      </c>
      <c r="AC374" s="2"/>
      <c r="AD374" t="str">
        <f>IFERROR(__xludf.DUMMYFUNCTION("""COMPUTED_VALUE"""),"Ender's Game ")</f>
        <v>Ender's Game </v>
      </c>
      <c r="AE374">
        <f t="shared" si="10"/>
        <v>61656735</v>
      </c>
    </row>
    <row r="375" customHeight="1" spans="1:31">
      <c r="A375" s="2" t="s">
        <v>739</v>
      </c>
      <c r="B375" s="2">
        <v>138</v>
      </c>
      <c r="C375" s="2">
        <v>35168677</v>
      </c>
      <c r="D375" s="2" t="s">
        <v>827</v>
      </c>
      <c r="E375" s="2" t="s">
        <v>30</v>
      </c>
      <c r="F375" t="s">
        <v>23</v>
      </c>
      <c r="G375" t="s">
        <v>24</v>
      </c>
      <c r="H375" t="s">
        <v>23</v>
      </c>
      <c r="I375" t="s">
        <v>15</v>
      </c>
      <c r="N375" s="2" t="s">
        <v>18</v>
      </c>
      <c r="O375" s="2" t="s">
        <v>31</v>
      </c>
      <c r="P375" s="2">
        <v>100000000</v>
      </c>
      <c r="Q375" s="2">
        <v>6.7</v>
      </c>
      <c r="R375" s="2" t="s">
        <v>873</v>
      </c>
      <c r="S375" s="2"/>
      <c r="U375" s="2" t="s">
        <v>874</v>
      </c>
      <c r="V375">
        <f ca="1" t="shared" ref="V375:V438" si="11">AVERAGEIF(A259:A4044,U375,Q260:Q4044)</f>
        <v>7.3</v>
      </c>
      <c r="AC375" s="2"/>
      <c r="AD375" t="str">
        <f>IFERROR(__xludf.DUMMYFUNCTION("""COMPUTED_VALUE"""),"Live Free or Die Hard ")</f>
        <v>Live Free or Die Hard </v>
      </c>
      <c r="AE375">
        <f t="shared" ref="AE375:AE438" si="12">C259-B259</f>
        <v>134520675</v>
      </c>
    </row>
    <row r="376" customHeight="1" spans="1:31">
      <c r="A376" s="2" t="s">
        <v>742</v>
      </c>
      <c r="B376" s="2">
        <v>129</v>
      </c>
      <c r="C376" s="2">
        <v>37567440</v>
      </c>
      <c r="D376" s="2" t="s">
        <v>89</v>
      </c>
      <c r="E376" s="2" t="s">
        <v>13</v>
      </c>
      <c r="F376" t="s">
        <v>55</v>
      </c>
      <c r="G376" t="s">
        <v>24</v>
      </c>
      <c r="H376" t="s">
        <v>24</v>
      </c>
      <c r="I376" t="s">
        <v>24</v>
      </c>
      <c r="N376" s="2" t="s">
        <v>18</v>
      </c>
      <c r="O376" s="2" t="s">
        <v>19</v>
      </c>
      <c r="P376" s="2">
        <v>20000000</v>
      </c>
      <c r="Q376" s="2">
        <v>6.9</v>
      </c>
      <c r="R376" s="2" t="s">
        <v>875</v>
      </c>
      <c r="S376" s="2"/>
      <c r="U376" s="2" t="s">
        <v>876</v>
      </c>
      <c r="V376">
        <f ca="1" t="shared" si="11"/>
        <v>6.14</v>
      </c>
      <c r="AC376" s="2"/>
      <c r="AD376" t="str">
        <f>IFERROR(__xludf.DUMMYFUNCTION("""COMPUTED_VALUE"""),"The Lord of the Rings: The Fellowship of the Ring ")</f>
        <v>The Lord of the Rings: The Fellowship of the Ring </v>
      </c>
      <c r="AE376">
        <f t="shared" si="12"/>
        <v>313837406</v>
      </c>
    </row>
    <row r="377" customHeight="1" spans="1:31">
      <c r="A377" s="2" t="s">
        <v>327</v>
      </c>
      <c r="B377" s="2">
        <v>144</v>
      </c>
      <c r="C377" s="2">
        <v>61644321</v>
      </c>
      <c r="D377" s="2" t="s">
        <v>592</v>
      </c>
      <c r="E377" s="2" t="s">
        <v>59</v>
      </c>
      <c r="F377" t="s">
        <v>13</v>
      </c>
      <c r="G377" t="s">
        <v>15</v>
      </c>
      <c r="H377" t="s">
        <v>24</v>
      </c>
      <c r="I377" t="s">
        <v>24</v>
      </c>
      <c r="N377" s="2" t="s">
        <v>18</v>
      </c>
      <c r="O377" s="2" t="s">
        <v>19</v>
      </c>
      <c r="P377" s="2">
        <v>88000000</v>
      </c>
      <c r="Q377" s="2">
        <v>8</v>
      </c>
      <c r="R377" s="2" t="s">
        <v>877</v>
      </c>
      <c r="S377" s="2"/>
      <c r="U377" s="2" t="s">
        <v>878</v>
      </c>
      <c r="V377">
        <f ca="1" t="shared" si="11"/>
        <v>6.7875</v>
      </c>
      <c r="AC377" s="2"/>
      <c r="AD377" t="str">
        <f>IFERROR(__xludf.DUMMYFUNCTION("""COMPUTED_VALUE"""),"Around the World in 80 Days ")</f>
        <v>Around the World in 80 Days </v>
      </c>
      <c r="AE377">
        <f t="shared" si="12"/>
        <v>24004039</v>
      </c>
    </row>
    <row r="378" customHeight="1" spans="1:31">
      <c r="A378" s="2" t="s">
        <v>744</v>
      </c>
      <c r="B378" s="2">
        <v>110</v>
      </c>
      <c r="C378" s="2">
        <v>190562</v>
      </c>
      <c r="D378" s="2" t="s">
        <v>879</v>
      </c>
      <c r="E378" s="2" t="s">
        <v>12</v>
      </c>
      <c r="F378" t="s">
        <v>30</v>
      </c>
      <c r="G378" t="s">
        <v>40</v>
      </c>
      <c r="H378" t="s">
        <v>24</v>
      </c>
      <c r="N378" s="2" t="s">
        <v>18</v>
      </c>
      <c r="O378" s="2" t="s">
        <v>31</v>
      </c>
      <c r="P378" s="2">
        <v>90000000</v>
      </c>
      <c r="Q378" s="2">
        <v>4.4</v>
      </c>
      <c r="R378" s="2" t="s">
        <v>880</v>
      </c>
      <c r="S378" s="2"/>
      <c r="U378" s="2" t="s">
        <v>881</v>
      </c>
      <c r="V378">
        <f ca="1" t="shared" si="11"/>
        <v>6.175</v>
      </c>
      <c r="AC378" s="2"/>
      <c r="AD378" t="str">
        <f>IFERROR(__xludf.DUMMYFUNCTION("""COMPUTED_VALUE"""),"Ali ")</f>
        <v>Ali </v>
      </c>
      <c r="AE378">
        <f t="shared" si="12"/>
        <v>58183801</v>
      </c>
    </row>
    <row r="379" customHeight="1" spans="1:31">
      <c r="A379" s="2" t="s">
        <v>747</v>
      </c>
      <c r="B379" s="2">
        <v>140</v>
      </c>
      <c r="C379" s="2">
        <v>120147445</v>
      </c>
      <c r="D379" s="2" t="s">
        <v>882</v>
      </c>
      <c r="E379" s="2" t="s">
        <v>30</v>
      </c>
      <c r="F379" t="s">
        <v>40</v>
      </c>
      <c r="G379" t="s">
        <v>40</v>
      </c>
      <c r="H379" t="s">
        <v>28</v>
      </c>
      <c r="N379" s="2" t="s">
        <v>18</v>
      </c>
      <c r="O379" s="2" t="s">
        <v>19</v>
      </c>
      <c r="P379" s="2">
        <v>87000000</v>
      </c>
      <c r="Q379" s="2">
        <v>7.3</v>
      </c>
      <c r="R379" s="2" t="s">
        <v>883</v>
      </c>
      <c r="S379" s="2"/>
      <c r="U379" s="2" t="s">
        <v>884</v>
      </c>
      <c r="V379">
        <f ca="1" t="shared" si="11"/>
        <v>6.7</v>
      </c>
      <c r="AC379" s="2"/>
      <c r="AD379" t="str">
        <f>IFERROR(__xludf.DUMMYFUNCTION("""COMPUTED_VALUE"""),"The Cat in the Hat ")</f>
        <v>The Cat in the Hat </v>
      </c>
      <c r="AE379">
        <f t="shared" si="12"/>
        <v>100446813</v>
      </c>
    </row>
    <row r="380" customHeight="1" spans="1:31">
      <c r="A380" s="2" t="s">
        <v>581</v>
      </c>
      <c r="B380" s="2">
        <v>113</v>
      </c>
      <c r="C380" s="2">
        <v>241688385</v>
      </c>
      <c r="D380" s="2" t="s">
        <v>276</v>
      </c>
      <c r="E380" s="2" t="s">
        <v>12</v>
      </c>
      <c r="F380" t="s">
        <v>28</v>
      </c>
      <c r="G380" t="s">
        <v>17</v>
      </c>
      <c r="H380" t="s">
        <v>24</v>
      </c>
      <c r="N380" s="2" t="s">
        <v>18</v>
      </c>
      <c r="O380" s="2" t="s">
        <v>19</v>
      </c>
      <c r="P380" s="2">
        <v>92000000</v>
      </c>
      <c r="Q380" s="2">
        <v>6.3</v>
      </c>
      <c r="R380" s="2" t="s">
        <v>885</v>
      </c>
      <c r="S380" s="2"/>
      <c r="U380" s="2" t="s">
        <v>886</v>
      </c>
      <c r="V380">
        <f ca="1" t="shared" si="11"/>
        <v>6.85</v>
      </c>
      <c r="AC380" s="2"/>
      <c r="AD380" t="str">
        <f>IFERROR(__xludf.DUMMYFUNCTION("""COMPUTED_VALUE"""),"I, Robot ")</f>
        <v>I, Robot </v>
      </c>
      <c r="AE380">
        <f t="shared" si="12"/>
        <v>144795235</v>
      </c>
    </row>
    <row r="381" customHeight="1" spans="1:31">
      <c r="A381" s="2" t="s">
        <v>178</v>
      </c>
      <c r="B381" s="2">
        <v>143</v>
      </c>
      <c r="C381" s="2">
        <v>233630478</v>
      </c>
      <c r="D381" s="2" t="s">
        <v>887</v>
      </c>
      <c r="E381" s="2" t="s">
        <v>13</v>
      </c>
      <c r="F381" t="s">
        <v>13</v>
      </c>
      <c r="G381" t="s">
        <v>56</v>
      </c>
      <c r="H381" t="s">
        <v>83</v>
      </c>
      <c r="N381" s="2" t="s">
        <v>18</v>
      </c>
      <c r="O381" s="2" t="s">
        <v>19</v>
      </c>
      <c r="P381" s="2">
        <v>90000000</v>
      </c>
      <c r="Q381" s="2">
        <v>7.7</v>
      </c>
      <c r="R381" s="2" t="s">
        <v>888</v>
      </c>
      <c r="S381" s="2"/>
      <c r="U381" s="2" t="s">
        <v>889</v>
      </c>
      <c r="V381">
        <f ca="1" t="shared" si="11"/>
        <v>6.02307692307692</v>
      </c>
      <c r="AC381" s="2"/>
      <c r="AD381" t="str">
        <f>IFERROR(__xludf.DUMMYFUNCTION("""COMPUTED_VALUE"""),"Kingdom of Heaven ")</f>
        <v>Kingdom of Heaven </v>
      </c>
      <c r="AE381">
        <f t="shared" si="12"/>
        <v>47396504</v>
      </c>
    </row>
    <row r="382" customHeight="1" spans="1:31">
      <c r="A382" s="2" t="s">
        <v>325</v>
      </c>
      <c r="B382" s="2">
        <v>108</v>
      </c>
      <c r="C382" s="2">
        <v>197992827</v>
      </c>
      <c r="D382" s="2" t="s">
        <v>890</v>
      </c>
      <c r="E382" s="2" t="s">
        <v>35</v>
      </c>
      <c r="F382" t="s">
        <v>24</v>
      </c>
      <c r="G382" t="s">
        <v>39</v>
      </c>
      <c r="H382" t="s">
        <v>24</v>
      </c>
      <c r="N382" s="2" t="s">
        <v>18</v>
      </c>
      <c r="O382" s="2" t="s">
        <v>19</v>
      </c>
      <c r="P382" s="2">
        <v>100000000</v>
      </c>
      <c r="Q382" s="2">
        <v>6.5</v>
      </c>
      <c r="R382" s="2" t="s">
        <v>891</v>
      </c>
      <c r="S382" s="2"/>
      <c r="U382" s="2" t="s">
        <v>892</v>
      </c>
      <c r="V382">
        <f ca="1" t="shared" si="11"/>
        <v>7.06666666666667</v>
      </c>
      <c r="AC382" s="2"/>
      <c r="AD382" t="str">
        <f>IFERROR(__xludf.DUMMYFUNCTION("""COMPUTED_VALUE"""),"Stuart Little ")</f>
        <v>Stuart Little </v>
      </c>
      <c r="AE382">
        <f t="shared" si="12"/>
        <v>140015140</v>
      </c>
    </row>
    <row r="383" customHeight="1" spans="1:31">
      <c r="A383" s="2" t="s">
        <v>432</v>
      </c>
      <c r="B383" s="2">
        <v>108</v>
      </c>
      <c r="C383" s="2">
        <v>176049130</v>
      </c>
      <c r="D383" s="2" t="s">
        <v>433</v>
      </c>
      <c r="E383" s="2" t="s">
        <v>12</v>
      </c>
      <c r="F383" t="s">
        <v>13</v>
      </c>
      <c r="G383" t="s">
        <v>40</v>
      </c>
      <c r="H383" t="s">
        <v>15</v>
      </c>
      <c r="N383" s="2" t="s">
        <v>18</v>
      </c>
      <c r="O383" s="2" t="s">
        <v>19</v>
      </c>
      <c r="P383" s="2">
        <v>75000000</v>
      </c>
      <c r="Q383" s="2">
        <v>7.8</v>
      </c>
      <c r="R383" s="2" t="s">
        <v>893</v>
      </c>
      <c r="S383" s="2"/>
      <c r="U383" s="2" t="s">
        <v>894</v>
      </c>
      <c r="V383">
        <f ca="1" t="shared" si="11"/>
        <v>6.56666666666667</v>
      </c>
      <c r="AC383" s="2"/>
      <c r="AD383" t="str">
        <f>IFERROR(__xludf.DUMMYFUNCTION("""COMPUTED_VALUE"""),"The Princess and the Frog ")</f>
        <v>The Princess and the Frog </v>
      </c>
      <c r="AE383">
        <f t="shared" si="12"/>
        <v>104374010</v>
      </c>
    </row>
    <row r="384" customHeight="1" spans="1:31">
      <c r="A384" s="2" t="s">
        <v>275</v>
      </c>
      <c r="B384" s="2">
        <v>124</v>
      </c>
      <c r="C384" s="2">
        <v>172620724</v>
      </c>
      <c r="D384" s="2" t="s">
        <v>276</v>
      </c>
      <c r="E384" s="2" t="s">
        <v>12</v>
      </c>
      <c r="F384" t="s">
        <v>40</v>
      </c>
      <c r="G384" t="s">
        <v>40</v>
      </c>
      <c r="H384" t="s">
        <v>30</v>
      </c>
      <c r="N384" s="2" t="s">
        <v>18</v>
      </c>
      <c r="O384" s="2" t="s">
        <v>19</v>
      </c>
      <c r="P384" s="2">
        <v>85000000</v>
      </c>
      <c r="Q384" s="2">
        <v>6.4</v>
      </c>
      <c r="R384" s="2" t="s">
        <v>895</v>
      </c>
      <c r="S384" s="2"/>
      <c r="U384" s="2" t="s">
        <v>896</v>
      </c>
      <c r="V384">
        <f ca="1" t="shared" si="11"/>
        <v>6.6</v>
      </c>
      <c r="AC384" s="2"/>
      <c r="AD384" t="str">
        <f>IFERROR(__xludf.DUMMYFUNCTION("""COMPUTED_VALUE"""),"The Martian ")</f>
        <v>The Martian </v>
      </c>
      <c r="AE384">
        <f t="shared" si="12"/>
        <v>228430842</v>
      </c>
    </row>
    <row r="385" customHeight="1" spans="1:31">
      <c r="A385" s="2" t="s">
        <v>556</v>
      </c>
      <c r="B385" s="2">
        <v>116</v>
      </c>
      <c r="C385" s="2">
        <v>183405771</v>
      </c>
      <c r="D385" s="2" t="s">
        <v>557</v>
      </c>
      <c r="E385" s="2" t="s">
        <v>56</v>
      </c>
      <c r="F385" t="s">
        <v>40</v>
      </c>
      <c r="G385" t="s">
        <v>17</v>
      </c>
      <c r="H385" t="s">
        <v>17</v>
      </c>
      <c r="N385" s="2" t="s">
        <v>18</v>
      </c>
      <c r="O385" s="2" t="s">
        <v>19</v>
      </c>
      <c r="P385" s="2">
        <v>85000000</v>
      </c>
      <c r="Q385" s="2">
        <v>7.8</v>
      </c>
      <c r="R385" s="2" t="s">
        <v>897</v>
      </c>
      <c r="S385" s="2"/>
      <c r="U385" s="2" t="s">
        <v>898</v>
      </c>
      <c r="V385">
        <f ca="1" t="shared" si="11"/>
        <v>7</v>
      </c>
      <c r="AC385" s="2"/>
      <c r="AD385" t="str">
        <f>IFERROR(__xludf.DUMMYFUNCTION("""COMPUTED_VALUE"""),"The Island ")</f>
        <v>The Island </v>
      </c>
      <c r="AE385">
        <f t="shared" si="12"/>
        <v>35798890</v>
      </c>
    </row>
    <row r="386" customHeight="1" spans="1:31">
      <c r="A386" s="2" t="s">
        <v>750</v>
      </c>
      <c r="B386" s="2">
        <v>110</v>
      </c>
      <c r="C386" s="2">
        <v>20315324</v>
      </c>
      <c r="D386" s="2" t="s">
        <v>51</v>
      </c>
      <c r="E386" s="2" t="s">
        <v>12</v>
      </c>
      <c r="F386" t="s">
        <v>56</v>
      </c>
      <c r="G386" t="s">
        <v>17</v>
      </c>
      <c r="H386" t="s">
        <v>24</v>
      </c>
      <c r="N386" s="2" t="s">
        <v>18</v>
      </c>
      <c r="O386" s="2" t="s">
        <v>293</v>
      </c>
      <c r="P386" s="2">
        <v>75000000</v>
      </c>
      <c r="Q386" s="2">
        <v>5.8</v>
      </c>
      <c r="R386" s="2" t="s">
        <v>899</v>
      </c>
      <c r="S386" s="2"/>
      <c r="U386" s="2" t="s">
        <v>900</v>
      </c>
      <c r="V386">
        <f ca="1" t="shared" si="11"/>
        <v>5.8</v>
      </c>
      <c r="AC386" s="2"/>
      <c r="AD386" t="str">
        <f>IFERROR(__xludf.DUMMYFUNCTION("""COMPUTED_VALUE"""),"Town &amp; Country ")</f>
        <v>Town &amp; Country </v>
      </c>
      <c r="AE386">
        <f t="shared" si="12"/>
        <v>6712347</v>
      </c>
    </row>
    <row r="387" customHeight="1" spans="1:31">
      <c r="A387" s="2" t="s">
        <v>752</v>
      </c>
      <c r="B387" s="2">
        <v>91</v>
      </c>
      <c r="C387" s="2">
        <v>148313048</v>
      </c>
      <c r="D387" s="2" t="s">
        <v>303</v>
      </c>
      <c r="E387" s="2" t="s">
        <v>35</v>
      </c>
      <c r="F387" t="s">
        <v>40</v>
      </c>
      <c r="G387" t="s">
        <v>40</v>
      </c>
      <c r="H387" t="s">
        <v>55</v>
      </c>
      <c r="N387" s="2" t="s">
        <v>18</v>
      </c>
      <c r="O387" s="2" t="s">
        <v>19</v>
      </c>
      <c r="P387" s="2">
        <v>85000000</v>
      </c>
      <c r="Q387" s="2">
        <v>7.1</v>
      </c>
      <c r="R387" s="2" t="s">
        <v>901</v>
      </c>
      <c r="S387" s="2"/>
      <c r="U387" s="2" t="s">
        <v>902</v>
      </c>
      <c r="V387">
        <f ca="1" t="shared" si="11"/>
        <v>5.55</v>
      </c>
      <c r="AC387" s="2"/>
      <c r="AD387" t="str">
        <f>IFERROR(__xludf.DUMMYFUNCTION("""COMPUTED_VALUE"""),"Gone in Sixty Seconds ")</f>
        <v>Gone in Sixty Seconds </v>
      </c>
      <c r="AE387">
        <f t="shared" si="12"/>
        <v>101642881</v>
      </c>
    </row>
    <row r="388" customHeight="1" spans="1:31">
      <c r="A388" s="2" t="s">
        <v>754</v>
      </c>
      <c r="B388" s="2">
        <v>107</v>
      </c>
      <c r="C388" s="2">
        <v>127706877</v>
      </c>
      <c r="D388" s="2" t="s">
        <v>903</v>
      </c>
      <c r="E388" s="2" t="s">
        <v>35</v>
      </c>
      <c r="F388" t="s">
        <v>40</v>
      </c>
      <c r="G388" t="s">
        <v>15</v>
      </c>
      <c r="H388" t="s">
        <v>17</v>
      </c>
      <c r="N388" s="2" t="s">
        <v>18</v>
      </c>
      <c r="O388" s="2" t="s">
        <v>19</v>
      </c>
      <c r="P388" s="2">
        <v>85000000</v>
      </c>
      <c r="Q388" s="2">
        <v>7.1</v>
      </c>
      <c r="R388" s="2" t="s">
        <v>904</v>
      </c>
      <c r="S388" s="2"/>
      <c r="U388" s="2" t="s">
        <v>905</v>
      </c>
      <c r="V388">
        <f ca="1" t="shared" si="11"/>
        <v>6.1</v>
      </c>
      <c r="AC388" s="2"/>
      <c r="AD388" t="str">
        <f>IFERROR(__xludf.DUMMYFUNCTION("""COMPUTED_VALUE"""),"Gladiator ")</f>
        <v>Gladiator </v>
      </c>
      <c r="AE388">
        <f t="shared" si="12"/>
        <v>187670695</v>
      </c>
    </row>
    <row r="389" customHeight="1" spans="1:31">
      <c r="A389" s="2" t="s">
        <v>756</v>
      </c>
      <c r="B389" s="2">
        <v>115</v>
      </c>
      <c r="C389" s="2">
        <v>126149655</v>
      </c>
      <c r="D389" s="2" t="s">
        <v>448</v>
      </c>
      <c r="E389" s="2" t="s">
        <v>12</v>
      </c>
      <c r="F389" t="s">
        <v>17</v>
      </c>
      <c r="G389" t="s">
        <v>14</v>
      </c>
      <c r="H389" t="s">
        <v>17</v>
      </c>
      <c r="N389" s="2" t="s">
        <v>18</v>
      </c>
      <c r="O389" s="2" t="s">
        <v>19</v>
      </c>
      <c r="P389" s="2">
        <v>85000000</v>
      </c>
      <c r="Q389" s="2">
        <v>6.8</v>
      </c>
      <c r="R389" s="2" t="s">
        <v>906</v>
      </c>
      <c r="S389" s="2"/>
      <c r="U389" s="2" t="s">
        <v>907</v>
      </c>
      <c r="V389">
        <f ca="1" t="shared" si="11"/>
        <v>5.6</v>
      </c>
      <c r="AC389" s="2"/>
      <c r="AD389" t="str">
        <f>IFERROR(__xludf.DUMMYFUNCTION("""COMPUTED_VALUE"""),"Minority Report ")</f>
        <v>Minority Report </v>
      </c>
      <c r="AE389">
        <f t="shared" si="12"/>
        <v>132013967</v>
      </c>
    </row>
    <row r="390" customHeight="1" spans="1:31">
      <c r="A390" s="2" t="s">
        <v>754</v>
      </c>
      <c r="B390" s="2">
        <v>100</v>
      </c>
      <c r="C390" s="2">
        <v>66941559</v>
      </c>
      <c r="D390" s="2" t="s">
        <v>908</v>
      </c>
      <c r="E390" s="2" t="s">
        <v>13</v>
      </c>
      <c r="F390" t="s">
        <v>56</v>
      </c>
      <c r="G390" t="s">
        <v>24</v>
      </c>
      <c r="H390" t="s">
        <v>17</v>
      </c>
      <c r="N390" s="2" t="s">
        <v>18</v>
      </c>
      <c r="O390" s="2" t="s">
        <v>19</v>
      </c>
      <c r="P390" s="2">
        <v>85000000</v>
      </c>
      <c r="Q390" s="2">
        <v>4.8</v>
      </c>
      <c r="R390" s="2" t="s">
        <v>909</v>
      </c>
      <c r="S390" s="2"/>
      <c r="U390" s="2" t="s">
        <v>910</v>
      </c>
      <c r="V390">
        <f ca="1" t="shared" si="11"/>
        <v>6.6</v>
      </c>
      <c r="AC390" s="2"/>
      <c r="AD390" t="str">
        <f>IFERROR(__xludf.DUMMYFUNCTION("""COMPUTED_VALUE"""),"Harry Potter and the Chamber of Secrets ")</f>
        <v>Harry Potter and the Chamber of Secrets </v>
      </c>
      <c r="AE390">
        <f t="shared" si="12"/>
        <v>261970441</v>
      </c>
    </row>
    <row r="391" customHeight="1" spans="1:31">
      <c r="A391" s="2" t="s">
        <v>119</v>
      </c>
      <c r="B391" s="2">
        <v>104</v>
      </c>
      <c r="C391" s="2">
        <v>78009155</v>
      </c>
      <c r="D391" s="2" t="s">
        <v>635</v>
      </c>
      <c r="E391" s="2" t="s">
        <v>12</v>
      </c>
      <c r="F391" t="s">
        <v>30</v>
      </c>
      <c r="G391" t="s">
        <v>24</v>
      </c>
      <c r="H391" t="s">
        <v>24</v>
      </c>
      <c r="N391" s="2" t="s">
        <v>18</v>
      </c>
      <c r="O391" s="2" t="s">
        <v>19</v>
      </c>
      <c r="P391" s="2">
        <v>75000000</v>
      </c>
      <c r="Q391" s="2">
        <v>6.2</v>
      </c>
      <c r="R391" s="2" t="s">
        <v>911</v>
      </c>
      <c r="S391" s="2"/>
      <c r="U391" s="2" t="s">
        <v>912</v>
      </c>
      <c r="V391">
        <f ca="1" t="shared" si="11"/>
        <v>7.025</v>
      </c>
      <c r="AC391" s="2"/>
      <c r="AD391" t="str">
        <f>IFERROR(__xludf.DUMMYFUNCTION("""COMPUTED_VALUE"""),"Casino Royale ")</f>
        <v>Casino Royale </v>
      </c>
      <c r="AE391">
        <f t="shared" si="12"/>
        <v>167007040</v>
      </c>
    </row>
    <row r="392" customHeight="1" spans="1:31">
      <c r="A392" s="2" t="s">
        <v>758</v>
      </c>
      <c r="B392" s="2">
        <v>138</v>
      </c>
      <c r="C392" s="2">
        <v>63224849</v>
      </c>
      <c r="D392" s="2" t="s">
        <v>607</v>
      </c>
      <c r="E392" s="2" t="s">
        <v>40</v>
      </c>
      <c r="F392" t="s">
        <v>24</v>
      </c>
      <c r="G392" t="s">
        <v>24</v>
      </c>
      <c r="H392" t="s">
        <v>17</v>
      </c>
      <c r="N392" s="2" t="s">
        <v>18</v>
      </c>
      <c r="O392" s="2" t="s">
        <v>19</v>
      </c>
      <c r="P392" s="2">
        <v>85000000</v>
      </c>
      <c r="Q392" s="2">
        <v>6.9</v>
      </c>
      <c r="R392" s="2" t="s">
        <v>913</v>
      </c>
      <c r="S392" s="2"/>
      <c r="U392" s="2" t="s">
        <v>914</v>
      </c>
      <c r="V392">
        <f ca="1" t="shared" si="11"/>
        <v>6.9</v>
      </c>
      <c r="AC392" s="2"/>
      <c r="AD392" t="str">
        <f>IFERROR(__xludf.DUMMYFUNCTION("""COMPUTED_VALUE"""),"Planet of the Apes ")</f>
        <v>Planet of the Apes </v>
      </c>
      <c r="AE392">
        <f t="shared" si="12"/>
        <v>180011621</v>
      </c>
    </row>
    <row r="393" customHeight="1" spans="1:31">
      <c r="A393" s="2" t="s">
        <v>617</v>
      </c>
      <c r="B393" s="2">
        <v>140</v>
      </c>
      <c r="C393" s="2">
        <v>111544445</v>
      </c>
      <c r="D393" s="2" t="s">
        <v>915</v>
      </c>
      <c r="E393" s="2" t="s">
        <v>12</v>
      </c>
      <c r="F393" t="s">
        <v>35</v>
      </c>
      <c r="G393" t="s">
        <v>55</v>
      </c>
      <c r="H393" t="s">
        <v>24</v>
      </c>
      <c r="N393" s="2" t="s">
        <v>18</v>
      </c>
      <c r="O393" s="2" t="s">
        <v>19</v>
      </c>
      <c r="P393" s="2">
        <v>90000000</v>
      </c>
      <c r="Q393" s="2">
        <v>7.3</v>
      </c>
      <c r="R393" s="2" t="s">
        <v>916</v>
      </c>
      <c r="S393" s="2"/>
      <c r="U393" s="2" t="s">
        <v>917</v>
      </c>
      <c r="V393">
        <f ca="1" t="shared" si="11"/>
        <v>6.9</v>
      </c>
      <c r="AC393" s="2"/>
      <c r="AD393" t="str">
        <f>IFERROR(__xludf.DUMMYFUNCTION("""COMPUTED_VALUE"""),"Terminator 2: Judgment Day ")</f>
        <v>Terminator 2: Judgment Day </v>
      </c>
      <c r="AE393">
        <f t="shared" si="12"/>
        <v>204843197</v>
      </c>
    </row>
    <row r="394" customHeight="1" spans="1:31">
      <c r="A394" s="2" t="s">
        <v>758</v>
      </c>
      <c r="B394" s="2">
        <v>120</v>
      </c>
      <c r="C394" s="2">
        <v>112703470</v>
      </c>
      <c r="D394" s="2" t="s">
        <v>521</v>
      </c>
      <c r="E394" s="2" t="s">
        <v>40</v>
      </c>
      <c r="F394" t="s">
        <v>28</v>
      </c>
      <c r="G394" t="s">
        <v>30</v>
      </c>
      <c r="H394" t="s">
        <v>29</v>
      </c>
      <c r="N394" s="2" t="s">
        <v>18</v>
      </c>
      <c r="O394" s="2" t="s">
        <v>19</v>
      </c>
      <c r="P394" s="2">
        <v>85000000</v>
      </c>
      <c r="Q394" s="2">
        <v>6.6</v>
      </c>
      <c r="R394" s="2" t="s">
        <v>918</v>
      </c>
      <c r="S394" s="2"/>
      <c r="U394" s="2" t="s">
        <v>919</v>
      </c>
      <c r="V394">
        <f ca="1" t="shared" si="11"/>
        <v>5.7</v>
      </c>
      <c r="AC394" s="2"/>
      <c r="AD394" t="str">
        <f>IFERROR(__xludf.DUMMYFUNCTION("""COMPUTED_VALUE"""),"Public Enemies ")</f>
        <v>Public Enemies </v>
      </c>
      <c r="AE394">
        <f t="shared" si="12"/>
        <v>97030585</v>
      </c>
    </row>
    <row r="395" customHeight="1" spans="1:31">
      <c r="A395" s="2" t="s">
        <v>556</v>
      </c>
      <c r="B395" s="2">
        <v>122</v>
      </c>
      <c r="C395" s="2">
        <v>117144465</v>
      </c>
      <c r="D395" s="2" t="s">
        <v>557</v>
      </c>
      <c r="E395" s="2" t="s">
        <v>56</v>
      </c>
      <c r="F395" t="s">
        <v>55</v>
      </c>
      <c r="G395" t="s">
        <v>15</v>
      </c>
      <c r="H395" t="s">
        <v>17</v>
      </c>
      <c r="N395" s="2" t="s">
        <v>18</v>
      </c>
      <c r="O395" s="2" t="s">
        <v>19</v>
      </c>
      <c r="P395" s="2">
        <v>85000000</v>
      </c>
      <c r="Q395" s="2">
        <v>6.9</v>
      </c>
      <c r="R395" s="2" t="s">
        <v>920</v>
      </c>
      <c r="S395" s="2"/>
      <c r="U395" s="2" t="s">
        <v>921</v>
      </c>
      <c r="V395">
        <f ca="1" t="shared" si="11"/>
        <v>6.8</v>
      </c>
      <c r="AC395" s="2"/>
      <c r="AD395" t="str">
        <f>IFERROR(__xludf.DUMMYFUNCTION("""COMPUTED_VALUE"""),"American Gangster ")</f>
        <v>American Gangster </v>
      </c>
      <c r="AE395">
        <f t="shared" si="12"/>
        <v>130127444</v>
      </c>
    </row>
    <row r="396" customHeight="1" spans="1:31">
      <c r="A396" s="2" t="s">
        <v>760</v>
      </c>
      <c r="B396" s="2">
        <v>83</v>
      </c>
      <c r="C396" s="2">
        <v>84303558</v>
      </c>
      <c r="D396" s="2" t="s">
        <v>189</v>
      </c>
      <c r="E396" s="2" t="s">
        <v>13</v>
      </c>
      <c r="F396" t="s">
        <v>13</v>
      </c>
      <c r="G396" t="s">
        <v>28</v>
      </c>
      <c r="H396" t="s">
        <v>55</v>
      </c>
      <c r="N396" s="2" t="s">
        <v>18</v>
      </c>
      <c r="O396" s="2" t="s">
        <v>19</v>
      </c>
      <c r="P396" s="2">
        <v>85000000</v>
      </c>
      <c r="Q396" s="2">
        <v>6.2</v>
      </c>
      <c r="R396" s="2" t="s">
        <v>922</v>
      </c>
      <c r="S396" s="2"/>
      <c r="U396" s="2" t="s">
        <v>923</v>
      </c>
      <c r="V396">
        <f ca="1" t="shared" si="11"/>
        <v>5.8625</v>
      </c>
      <c r="AC396" s="2"/>
      <c r="AD396" t="str">
        <f>IFERROR(__xludf.DUMMYFUNCTION("""COMPUTED_VALUE"""),"True Lies ")</f>
        <v>True Lies </v>
      </c>
      <c r="AE396">
        <f t="shared" si="12"/>
        <v>146282270</v>
      </c>
    </row>
    <row r="397" customHeight="1" spans="1:31">
      <c r="A397" s="2" t="s">
        <v>763</v>
      </c>
      <c r="B397" s="2">
        <v>139</v>
      </c>
      <c r="C397" s="2">
        <v>150832203</v>
      </c>
      <c r="D397" s="2" t="s">
        <v>507</v>
      </c>
      <c r="E397" s="2" t="s">
        <v>13</v>
      </c>
      <c r="F397" t="s">
        <v>13</v>
      </c>
      <c r="G397" t="s">
        <v>40</v>
      </c>
      <c r="H397" t="s">
        <v>14</v>
      </c>
      <c r="N397" s="2" t="s">
        <v>18</v>
      </c>
      <c r="O397" s="2" t="s">
        <v>19</v>
      </c>
      <c r="P397" s="2">
        <v>85000000</v>
      </c>
      <c r="Q397" s="2">
        <v>6.7</v>
      </c>
      <c r="R397" s="2" t="s">
        <v>924</v>
      </c>
      <c r="S397" s="2"/>
      <c r="U397" s="2" t="s">
        <v>925</v>
      </c>
      <c r="V397">
        <f ca="1" t="shared" si="11"/>
        <v>6.6</v>
      </c>
      <c r="AC397" s="2"/>
      <c r="AD397" t="str">
        <f>IFERROR(__xludf.DUMMYFUNCTION("""COMPUTED_VALUE"""),"The Taking of Pelham 1 2 3 ")</f>
        <v>The Taking of Pelham 1 2 3 </v>
      </c>
      <c r="AE397">
        <f t="shared" si="12"/>
        <v>65452206</v>
      </c>
    </row>
    <row r="398" customHeight="1" spans="1:31">
      <c r="A398" s="2" t="s">
        <v>765</v>
      </c>
      <c r="B398" s="2">
        <v>131</v>
      </c>
      <c r="C398" s="2">
        <v>51396781</v>
      </c>
      <c r="D398" s="2" t="s">
        <v>731</v>
      </c>
      <c r="E398" s="2" t="s">
        <v>30</v>
      </c>
      <c r="F398" t="s">
        <v>17</v>
      </c>
      <c r="G398" t="s">
        <v>56</v>
      </c>
      <c r="H398" t="s">
        <v>15</v>
      </c>
      <c r="N398" s="2" t="s">
        <v>18</v>
      </c>
      <c r="O398" s="2" t="s">
        <v>19</v>
      </c>
      <c r="P398" s="2">
        <v>68000000</v>
      </c>
      <c r="Q398" s="2">
        <v>7.6</v>
      </c>
      <c r="R398" s="2" t="s">
        <v>926</v>
      </c>
      <c r="S398" s="2"/>
      <c r="U398" s="2" t="s">
        <v>927</v>
      </c>
      <c r="V398">
        <f ca="1" t="shared" si="11"/>
        <v>6.5</v>
      </c>
      <c r="AC398" s="2"/>
      <c r="AD398" t="str">
        <f>IFERROR(__xludf.DUMMYFUNCTION("""COMPUTED_VALUE"""),"Little Fockers ")</f>
        <v>Little Fockers </v>
      </c>
      <c r="AE398">
        <f t="shared" si="12"/>
        <v>148383682</v>
      </c>
    </row>
    <row r="399" customHeight="1" spans="1:31">
      <c r="A399" s="2" t="s">
        <v>107</v>
      </c>
      <c r="B399" s="2">
        <v>104</v>
      </c>
      <c r="C399" s="2">
        <v>47592825</v>
      </c>
      <c r="D399" s="2" t="s">
        <v>406</v>
      </c>
      <c r="E399" s="2" t="s">
        <v>12</v>
      </c>
      <c r="F399" t="s">
        <v>56</v>
      </c>
      <c r="G399" t="s">
        <v>24</v>
      </c>
      <c r="H399" t="s">
        <v>29</v>
      </c>
      <c r="N399" s="2" t="s">
        <v>18</v>
      </c>
      <c r="O399" s="2" t="s">
        <v>19</v>
      </c>
      <c r="P399" s="2">
        <v>85000000</v>
      </c>
      <c r="Q399" s="2">
        <v>6.7</v>
      </c>
      <c r="R399" s="2" t="s">
        <v>928</v>
      </c>
      <c r="S399" s="2"/>
      <c r="U399" s="2" t="s">
        <v>929</v>
      </c>
      <c r="V399">
        <f ca="1" t="shared" si="11"/>
        <v>5.84</v>
      </c>
      <c r="AC399" s="2"/>
      <c r="AD399" t="str">
        <f>IFERROR(__xludf.DUMMYFUNCTION("""COMPUTED_VALUE"""),"The Other Guys ")</f>
        <v>The Other Guys </v>
      </c>
      <c r="AE399">
        <f t="shared" si="12"/>
        <v>119219862</v>
      </c>
    </row>
    <row r="400" customHeight="1" spans="1:31">
      <c r="A400" s="2" t="s">
        <v>485</v>
      </c>
      <c r="B400" s="2">
        <v>130</v>
      </c>
      <c r="C400" s="2">
        <v>50016394</v>
      </c>
      <c r="D400" s="2" t="s">
        <v>930</v>
      </c>
      <c r="E400" s="2" t="s">
        <v>12</v>
      </c>
      <c r="F400" t="s">
        <v>35</v>
      </c>
      <c r="G400" t="s">
        <v>28</v>
      </c>
      <c r="H400" t="s">
        <v>39</v>
      </c>
      <c r="N400" s="2" t="s">
        <v>18</v>
      </c>
      <c r="O400" s="2" t="s">
        <v>19</v>
      </c>
      <c r="P400" s="2">
        <v>70000000</v>
      </c>
      <c r="Q400" s="2">
        <v>6.2</v>
      </c>
      <c r="R400" s="2" t="s">
        <v>931</v>
      </c>
      <c r="S400" s="2"/>
      <c r="U400" s="2" t="s">
        <v>932</v>
      </c>
      <c r="V400">
        <f ca="1" t="shared" si="11"/>
        <v>7.075</v>
      </c>
      <c r="AC400" s="2"/>
      <c r="AD400" t="str">
        <f>IFERROR(__xludf.DUMMYFUNCTION("""COMPUTED_VALUE"""),"Eraser ")</f>
        <v>Eraser </v>
      </c>
      <c r="AE400">
        <f t="shared" si="12"/>
        <v>101228005</v>
      </c>
    </row>
    <row r="401" customHeight="1" spans="1:31">
      <c r="A401" s="2" t="s">
        <v>82</v>
      </c>
      <c r="B401" s="2">
        <v>145</v>
      </c>
      <c r="C401" s="2">
        <v>57010853</v>
      </c>
      <c r="D401" s="2" t="s">
        <v>103</v>
      </c>
      <c r="E401" s="2" t="s">
        <v>30</v>
      </c>
      <c r="F401" t="s">
        <v>14</v>
      </c>
      <c r="G401" t="s">
        <v>29</v>
      </c>
      <c r="H401" t="s">
        <v>15</v>
      </c>
      <c r="N401" s="2" t="s">
        <v>18</v>
      </c>
      <c r="O401" s="2" t="s">
        <v>19</v>
      </c>
      <c r="P401" s="2">
        <v>85000000</v>
      </c>
      <c r="Q401" s="2">
        <v>7.3</v>
      </c>
      <c r="R401" s="2" t="s">
        <v>933</v>
      </c>
      <c r="S401" s="2"/>
      <c r="U401" s="2" t="s">
        <v>934</v>
      </c>
      <c r="V401">
        <f ca="1" t="shared" si="11"/>
        <v>6.025</v>
      </c>
      <c r="AC401" s="2"/>
      <c r="AD401" t="str">
        <f>IFERROR(__xludf.DUMMYFUNCTION("""COMPUTED_VALUE"""),"Django Unchained ")</f>
        <v>Django Unchained </v>
      </c>
      <c r="AE401">
        <f t="shared" si="12"/>
        <v>162804483</v>
      </c>
    </row>
    <row r="402" customHeight="1" spans="1:31">
      <c r="A402" s="2" t="s">
        <v>170</v>
      </c>
      <c r="B402" s="2">
        <v>104</v>
      </c>
      <c r="C402" s="2">
        <v>62494975</v>
      </c>
      <c r="D402" s="2" t="s">
        <v>150</v>
      </c>
      <c r="E402" s="2" t="s">
        <v>12</v>
      </c>
      <c r="F402" t="s">
        <v>30</v>
      </c>
      <c r="G402" t="s">
        <v>40</v>
      </c>
      <c r="H402" t="s">
        <v>55</v>
      </c>
      <c r="N402" s="2" t="s">
        <v>18</v>
      </c>
      <c r="O402" s="2" t="s">
        <v>19</v>
      </c>
      <c r="P402" s="2">
        <v>85000000</v>
      </c>
      <c r="Q402" s="2">
        <v>6</v>
      </c>
      <c r="R402" s="2" t="s">
        <v>935</v>
      </c>
      <c r="S402" s="2"/>
      <c r="U402" s="2" t="s">
        <v>936</v>
      </c>
      <c r="V402">
        <f ca="1" t="shared" si="11"/>
        <v>6.7</v>
      </c>
      <c r="AC402" s="2"/>
      <c r="AD402" t="str">
        <f>IFERROR(__xludf.DUMMYFUNCTION("""COMPUTED_VALUE"""),"The Hunchback of Notre Dame ")</f>
        <v>The Hunchback of Notre Dame </v>
      </c>
      <c r="AE402">
        <f t="shared" si="12"/>
        <v>100117512</v>
      </c>
    </row>
    <row r="403" customHeight="1" spans="1:31">
      <c r="A403" s="2" t="s">
        <v>767</v>
      </c>
      <c r="B403" s="2">
        <v>97</v>
      </c>
      <c r="C403" s="2">
        <v>46440491</v>
      </c>
      <c r="D403" s="2" t="s">
        <v>124</v>
      </c>
      <c r="E403" s="2" t="s">
        <v>13</v>
      </c>
      <c r="F403" t="s">
        <v>40</v>
      </c>
      <c r="G403" t="s">
        <v>40</v>
      </c>
      <c r="H403" t="s">
        <v>30</v>
      </c>
      <c r="N403" s="2" t="s">
        <v>18</v>
      </c>
      <c r="O403" s="2" t="s">
        <v>31</v>
      </c>
      <c r="P403" s="2">
        <v>100000000</v>
      </c>
      <c r="Q403" s="2">
        <v>7.1</v>
      </c>
      <c r="R403" s="2" t="s">
        <v>937</v>
      </c>
      <c r="S403" s="2"/>
      <c r="U403" s="2" t="s">
        <v>938</v>
      </c>
      <c r="V403">
        <f ca="1" t="shared" si="11"/>
        <v>6.3</v>
      </c>
      <c r="AC403" s="2"/>
      <c r="AD403" t="str">
        <f>IFERROR(__xludf.DUMMYFUNCTION("""COMPUTED_VALUE"""),"The Emperor's New Groove ")</f>
        <v>The Emperor's New Groove </v>
      </c>
      <c r="AE403">
        <f t="shared" si="12"/>
        <v>89296495</v>
      </c>
    </row>
    <row r="404" customHeight="1" spans="1:31">
      <c r="A404" s="2" t="s">
        <v>769</v>
      </c>
      <c r="B404" s="2">
        <v>178</v>
      </c>
      <c r="C404" s="2">
        <v>44606335</v>
      </c>
      <c r="D404" s="2" t="s">
        <v>266</v>
      </c>
      <c r="E404" s="2" t="s">
        <v>30</v>
      </c>
      <c r="F404" t="s">
        <v>40</v>
      </c>
      <c r="G404" t="s">
        <v>23</v>
      </c>
      <c r="H404" t="s">
        <v>29</v>
      </c>
      <c r="N404" s="2" t="s">
        <v>18</v>
      </c>
      <c r="O404" s="2" t="s">
        <v>19</v>
      </c>
      <c r="P404" s="2">
        <v>90000000</v>
      </c>
      <c r="Q404" s="2">
        <v>7.1</v>
      </c>
      <c r="R404" s="2" t="s">
        <v>939</v>
      </c>
      <c r="S404" s="2"/>
      <c r="U404" s="2" t="s">
        <v>940</v>
      </c>
      <c r="V404">
        <f ca="1" t="shared" si="11"/>
        <v>5.96</v>
      </c>
      <c r="AC404" s="2"/>
      <c r="AD404" t="str">
        <f>IFERROR(__xludf.DUMMYFUNCTION("""COMPUTED_VALUE"""),"The Expendables 2 ")</f>
        <v>The Expendables 2 </v>
      </c>
      <c r="AE404">
        <f t="shared" si="12"/>
        <v>85017298</v>
      </c>
    </row>
    <row r="405" customHeight="1" spans="1:31">
      <c r="A405" s="2" t="s">
        <v>771</v>
      </c>
      <c r="B405" s="2">
        <v>108</v>
      </c>
      <c r="C405" s="2">
        <v>40048332</v>
      </c>
      <c r="D405" s="2" t="s">
        <v>355</v>
      </c>
      <c r="E405" s="2" t="s">
        <v>12</v>
      </c>
      <c r="F405" t="s">
        <v>13</v>
      </c>
      <c r="G405" t="s">
        <v>17</v>
      </c>
      <c r="H405" t="s">
        <v>23</v>
      </c>
      <c r="N405" s="2" t="s">
        <v>18</v>
      </c>
      <c r="O405" s="2" t="s">
        <v>19</v>
      </c>
      <c r="P405" s="2">
        <v>85000000</v>
      </c>
      <c r="Q405" s="2">
        <v>5.5</v>
      </c>
      <c r="R405" s="2" t="s">
        <v>941</v>
      </c>
      <c r="S405" s="2"/>
      <c r="U405" s="2" t="s">
        <v>942</v>
      </c>
      <c r="V405">
        <f ca="1" t="shared" si="11"/>
        <v>5.9</v>
      </c>
      <c r="AC405" s="2"/>
      <c r="AD405" t="str">
        <f>IFERROR(__xludf.DUMMYFUNCTION("""COMPUTED_VALUE"""),"National Treasure ")</f>
        <v>National Treasure </v>
      </c>
      <c r="AE405">
        <f t="shared" si="12"/>
        <v>173004871</v>
      </c>
    </row>
    <row r="406" customHeight="1" spans="1:31">
      <c r="A406" s="2" t="s">
        <v>774</v>
      </c>
      <c r="B406" s="2">
        <v>106</v>
      </c>
      <c r="C406" s="2">
        <v>64933670</v>
      </c>
      <c r="D406" s="2" t="s">
        <v>943</v>
      </c>
      <c r="E406" s="2" t="s">
        <v>13</v>
      </c>
      <c r="F406" t="s">
        <v>17</v>
      </c>
      <c r="G406" t="s">
        <v>23</v>
      </c>
      <c r="H406" t="s">
        <v>14</v>
      </c>
      <c r="N406" s="2" t="s">
        <v>18</v>
      </c>
      <c r="O406" s="2" t="s">
        <v>19</v>
      </c>
      <c r="P406" s="2">
        <v>85000000</v>
      </c>
      <c r="Q406" s="2">
        <v>5.6</v>
      </c>
      <c r="R406" s="2" t="s">
        <v>944</v>
      </c>
      <c r="S406" s="2"/>
      <c r="U406" s="2" t="s">
        <v>945</v>
      </c>
      <c r="V406">
        <f ca="1" t="shared" si="11"/>
        <v>6.4</v>
      </c>
      <c r="AC406" s="2"/>
      <c r="AD406" t="str">
        <f>IFERROR(__xludf.DUMMYFUNCTION("""COMPUTED_VALUE"""),"Eragon ")</f>
        <v>Eragon </v>
      </c>
      <c r="AE406">
        <f t="shared" si="12"/>
        <v>75030059</v>
      </c>
    </row>
    <row r="407" customHeight="1" spans="1:31">
      <c r="A407" s="2" t="s">
        <v>777</v>
      </c>
      <c r="B407" s="2">
        <v>112</v>
      </c>
      <c r="C407" s="2">
        <v>31494270</v>
      </c>
      <c r="D407" s="2" t="s">
        <v>946</v>
      </c>
      <c r="E407" s="2" t="s">
        <v>12</v>
      </c>
      <c r="F407" t="s">
        <v>40</v>
      </c>
      <c r="G407" t="s">
        <v>15</v>
      </c>
      <c r="H407" t="s">
        <v>23</v>
      </c>
      <c r="N407" s="2" t="s">
        <v>18</v>
      </c>
      <c r="O407" s="2" t="s">
        <v>19</v>
      </c>
      <c r="P407" s="2">
        <v>60000000</v>
      </c>
      <c r="Q407" s="2">
        <v>7.5</v>
      </c>
      <c r="R407" s="2" t="s">
        <v>947</v>
      </c>
      <c r="S407" s="2"/>
      <c r="U407" s="2" t="s">
        <v>948</v>
      </c>
      <c r="V407">
        <f ca="1" t="shared" si="11"/>
        <v>3</v>
      </c>
      <c r="AC407" s="2"/>
      <c r="AD407" t="str">
        <f>IFERROR(__xludf.DUMMYFUNCTION("""COMPUTED_VALUE"""),"Where the Wild Things Are ")</f>
        <v>Where the Wild Things Are </v>
      </c>
      <c r="AE407">
        <f t="shared" si="12"/>
        <v>77222083</v>
      </c>
    </row>
    <row r="408" customHeight="1" spans="1:31">
      <c r="A408" s="2" t="s">
        <v>779</v>
      </c>
      <c r="B408" s="2">
        <v>135</v>
      </c>
      <c r="C408" s="2">
        <v>31111260</v>
      </c>
      <c r="D408" s="2" t="s">
        <v>108</v>
      </c>
      <c r="E408" s="2" t="s">
        <v>12</v>
      </c>
      <c r="F408" t="s">
        <v>15</v>
      </c>
      <c r="G408" t="s">
        <v>23</v>
      </c>
      <c r="H408" t="s">
        <v>17</v>
      </c>
      <c r="N408" s="2" t="s">
        <v>18</v>
      </c>
      <c r="O408" s="2" t="s">
        <v>19</v>
      </c>
      <c r="P408" s="2">
        <v>60000000</v>
      </c>
      <c r="Q408" s="2">
        <v>5.4</v>
      </c>
      <c r="R408" s="2" t="s">
        <v>949</v>
      </c>
      <c r="S408" s="2"/>
      <c r="U408" s="2" t="s">
        <v>950</v>
      </c>
      <c r="V408">
        <f ca="1" t="shared" si="11"/>
        <v>5.8</v>
      </c>
      <c r="AC408" s="2"/>
      <c r="AD408" t="str">
        <f>IFERROR(__xludf.DUMMYFUNCTION("""COMPUTED_VALUE"""),"Epic ")</f>
        <v>Epic </v>
      </c>
      <c r="AE408">
        <f t="shared" si="12"/>
        <v>107515195</v>
      </c>
    </row>
    <row r="409" customHeight="1" spans="1:31">
      <c r="A409" s="2" t="s">
        <v>781</v>
      </c>
      <c r="B409" s="2">
        <v>109</v>
      </c>
      <c r="C409" s="2">
        <v>123307945</v>
      </c>
      <c r="D409" s="2" t="s">
        <v>951</v>
      </c>
      <c r="E409" s="2" t="s">
        <v>40</v>
      </c>
      <c r="F409" t="s">
        <v>30</v>
      </c>
      <c r="G409" t="s">
        <v>14</v>
      </c>
      <c r="H409" t="s">
        <v>23</v>
      </c>
      <c r="N409" s="2" t="s">
        <v>18</v>
      </c>
      <c r="O409" s="2" t="s">
        <v>19</v>
      </c>
      <c r="P409" s="2">
        <v>65000000</v>
      </c>
      <c r="Q409" s="2">
        <v>4.3</v>
      </c>
      <c r="R409" s="2" t="s">
        <v>952</v>
      </c>
      <c r="S409" s="2"/>
      <c r="U409" s="2" t="s">
        <v>953</v>
      </c>
      <c r="V409">
        <f ca="1" t="shared" si="11"/>
        <v>6.2</v>
      </c>
      <c r="AC409" s="2"/>
      <c r="AD409" t="str">
        <f>IFERROR(__xludf.DUMMYFUNCTION("""COMPUTED_VALUE"""),"The Tourist ")</f>
        <v>The Tourist </v>
      </c>
      <c r="AE409">
        <f t="shared" si="12"/>
        <v>67631054</v>
      </c>
    </row>
    <row r="410" customHeight="1" spans="1:31">
      <c r="A410" s="2" t="s">
        <v>571</v>
      </c>
      <c r="B410" s="2">
        <v>86</v>
      </c>
      <c r="C410" s="2">
        <v>153288182</v>
      </c>
      <c r="D410" s="2" t="s">
        <v>954</v>
      </c>
      <c r="E410" s="2" t="s">
        <v>13</v>
      </c>
      <c r="F410" t="s">
        <v>40</v>
      </c>
      <c r="G410" t="s">
        <v>15</v>
      </c>
      <c r="H410" t="s">
        <v>24</v>
      </c>
      <c r="N410" s="2" t="s">
        <v>18</v>
      </c>
      <c r="O410" s="2" t="s">
        <v>19</v>
      </c>
      <c r="P410" s="2">
        <v>84000000</v>
      </c>
      <c r="Q410" s="2">
        <v>4.9</v>
      </c>
      <c r="R410" s="2" t="s">
        <v>955</v>
      </c>
      <c r="S410" s="2"/>
      <c r="U410" s="2" t="s">
        <v>956</v>
      </c>
      <c r="V410">
        <f ca="1" t="shared" si="11"/>
        <v>6.47777777777778</v>
      </c>
      <c r="AC410" s="2"/>
      <c r="AD410" t="str">
        <f>IFERROR(__xludf.DUMMYFUNCTION("""COMPUTED_VALUE"""),"End of Days ")</f>
        <v>End of Days </v>
      </c>
      <c r="AE410">
        <f t="shared" si="12"/>
        <v>66861947</v>
      </c>
    </row>
    <row r="411" customHeight="1" spans="1:31">
      <c r="A411" s="2" t="s">
        <v>784</v>
      </c>
      <c r="B411" s="2">
        <v>95</v>
      </c>
      <c r="C411" s="2">
        <v>13401683</v>
      </c>
      <c r="D411" s="2" t="s">
        <v>256</v>
      </c>
      <c r="E411" s="2" t="s">
        <v>12</v>
      </c>
      <c r="F411" t="s">
        <v>13</v>
      </c>
      <c r="G411" t="s">
        <v>23</v>
      </c>
      <c r="H411" t="s">
        <v>29</v>
      </c>
      <c r="N411" s="2" t="s">
        <v>18</v>
      </c>
      <c r="O411" s="2" t="s">
        <v>31</v>
      </c>
      <c r="P411" s="2">
        <v>35000000</v>
      </c>
      <c r="Q411" s="2">
        <v>7.1</v>
      </c>
      <c r="R411" s="2" t="s">
        <v>957</v>
      </c>
      <c r="S411" s="2"/>
      <c r="U411" s="2" t="s">
        <v>958</v>
      </c>
      <c r="V411">
        <f ca="1" t="shared" si="11"/>
        <v>4.2</v>
      </c>
      <c r="AC411" s="2"/>
      <c r="AD411" t="str">
        <f>IFERROR(__xludf.DUMMYFUNCTION("""COMPUTED_VALUE"""),"Blood Diamond ")</f>
        <v>Blood Diamond </v>
      </c>
      <c r="AE411">
        <f t="shared" si="12"/>
        <v>57366119</v>
      </c>
    </row>
    <row r="412" customHeight="1" spans="1:31">
      <c r="A412" s="2" t="s">
        <v>588</v>
      </c>
      <c r="B412" s="2">
        <v>107</v>
      </c>
      <c r="C412" s="2">
        <v>137340146</v>
      </c>
      <c r="D412" s="2" t="s">
        <v>959</v>
      </c>
      <c r="E412" s="2" t="s">
        <v>40</v>
      </c>
      <c r="F412" t="s">
        <v>13</v>
      </c>
      <c r="G412" t="s">
        <v>24</v>
      </c>
      <c r="H412" t="s">
        <v>24</v>
      </c>
      <c r="N412" s="2" t="s">
        <v>18</v>
      </c>
      <c r="O412" s="2" t="s">
        <v>19</v>
      </c>
      <c r="P412" s="2">
        <v>70000000</v>
      </c>
      <c r="Q412" s="2">
        <v>6.4</v>
      </c>
      <c r="R412" s="2" t="s">
        <v>960</v>
      </c>
      <c r="S412" s="2"/>
      <c r="U412" s="2" t="s">
        <v>961</v>
      </c>
      <c r="V412">
        <f ca="1" t="shared" si="11"/>
        <v>6.275</v>
      </c>
      <c r="AC412" s="2"/>
      <c r="AD412" t="str">
        <f>IFERROR(__xludf.DUMMYFUNCTION("""COMPUTED_VALUE"""),"The Wolf of Wall Street ")</f>
        <v>The Wolf of Wall Street </v>
      </c>
      <c r="AE412">
        <f t="shared" si="12"/>
        <v>116866487</v>
      </c>
    </row>
    <row r="413" customHeight="1" spans="1:31">
      <c r="A413" s="2" t="s">
        <v>551</v>
      </c>
      <c r="B413" s="2">
        <v>82</v>
      </c>
      <c r="C413" s="2">
        <v>43575716</v>
      </c>
      <c r="D413" s="2" t="s">
        <v>962</v>
      </c>
      <c r="E413" s="2" t="s">
        <v>12</v>
      </c>
      <c r="F413" t="s">
        <v>30</v>
      </c>
      <c r="G413" t="s">
        <v>71</v>
      </c>
      <c r="H413" t="s">
        <v>24</v>
      </c>
      <c r="N413" s="2" t="s">
        <v>18</v>
      </c>
      <c r="O413" s="2" t="s">
        <v>19</v>
      </c>
      <c r="P413" s="2">
        <v>85000000</v>
      </c>
      <c r="Q413" s="2">
        <v>4.3</v>
      </c>
      <c r="R413" s="2" t="s">
        <v>963</v>
      </c>
      <c r="S413" s="2"/>
      <c r="U413" s="2" t="s">
        <v>964</v>
      </c>
      <c r="V413">
        <f ca="1" t="shared" si="11"/>
        <v>6.4</v>
      </c>
      <c r="AC413" s="2"/>
      <c r="AD413" t="str">
        <f>IFERROR(__xludf.DUMMYFUNCTION("""COMPUTED_VALUE"""),"Batman Forever ")</f>
        <v>Batman Forever </v>
      </c>
      <c r="AE413">
        <f t="shared" si="12"/>
        <v>184030991</v>
      </c>
    </row>
    <row r="414" customHeight="1" spans="1:31">
      <c r="A414" s="2" t="s">
        <v>216</v>
      </c>
      <c r="B414" s="2">
        <v>88</v>
      </c>
      <c r="C414" s="2">
        <v>80170146</v>
      </c>
      <c r="D414" s="2" t="s">
        <v>108</v>
      </c>
      <c r="E414" s="2" t="s">
        <v>12</v>
      </c>
      <c r="F414" t="s">
        <v>28</v>
      </c>
      <c r="G414" t="s">
        <v>17</v>
      </c>
      <c r="H414" t="s">
        <v>71</v>
      </c>
      <c r="N414" s="2" t="s">
        <v>18</v>
      </c>
      <c r="O414" s="2" t="s">
        <v>19</v>
      </c>
      <c r="P414" s="2">
        <v>85000000</v>
      </c>
      <c r="Q414" s="2">
        <v>6.1</v>
      </c>
      <c r="R414" s="2" t="s">
        <v>965</v>
      </c>
      <c r="S414" s="2"/>
      <c r="U414" s="2" t="s">
        <v>966</v>
      </c>
      <c r="V414">
        <f ca="1" t="shared" si="11"/>
        <v>4.9</v>
      </c>
      <c r="AC414" s="2"/>
      <c r="AD414" t="str">
        <f>IFERROR(__xludf.DUMMYFUNCTION("""COMPUTED_VALUE"""),"Starship Troopers ")</f>
        <v>Starship Troopers </v>
      </c>
      <c r="AE414">
        <f t="shared" si="12"/>
        <v>54699936</v>
      </c>
    </row>
    <row r="415" customHeight="1" spans="1:31">
      <c r="A415" s="2" t="s">
        <v>163</v>
      </c>
      <c r="B415" s="2">
        <v>120</v>
      </c>
      <c r="C415" s="2">
        <v>75754670</v>
      </c>
      <c r="D415" s="2" t="s">
        <v>967</v>
      </c>
      <c r="E415" s="2" t="s">
        <v>12</v>
      </c>
      <c r="F415" t="s">
        <v>30</v>
      </c>
      <c r="G415" t="s">
        <v>40</v>
      </c>
      <c r="H415" t="s">
        <v>23</v>
      </c>
      <c r="N415" s="2" t="s">
        <v>18</v>
      </c>
      <c r="O415" s="2" t="s">
        <v>19</v>
      </c>
      <c r="P415" s="2">
        <v>85000000</v>
      </c>
      <c r="Q415" s="2">
        <v>7</v>
      </c>
      <c r="R415" s="2" t="s">
        <v>968</v>
      </c>
      <c r="S415" s="2"/>
      <c r="U415" s="2" t="s">
        <v>969</v>
      </c>
      <c r="V415">
        <f ca="1" t="shared" si="11"/>
        <v>6.73333333333333</v>
      </c>
      <c r="AC415" s="2"/>
      <c r="AD415" t="str">
        <f>IFERROR(__xludf.DUMMYFUNCTION("""COMPUTED_VALUE"""),"Cloud Atlas ")</f>
        <v>Cloud Atlas </v>
      </c>
      <c r="AE415">
        <f t="shared" si="12"/>
        <v>27098408</v>
      </c>
    </row>
    <row r="416" customHeight="1" spans="1:31">
      <c r="A416" s="2" t="s">
        <v>265</v>
      </c>
      <c r="B416" s="2">
        <v>162</v>
      </c>
      <c r="C416" s="2">
        <v>33048353</v>
      </c>
      <c r="D416" s="2" t="s">
        <v>970</v>
      </c>
      <c r="E416" s="2" t="s">
        <v>56</v>
      </c>
      <c r="F416" t="s">
        <v>13</v>
      </c>
      <c r="G416" t="s">
        <v>15</v>
      </c>
      <c r="H416" t="s">
        <v>16</v>
      </c>
      <c r="N416" s="2" t="s">
        <v>18</v>
      </c>
      <c r="O416" s="2" t="s">
        <v>19</v>
      </c>
      <c r="P416" s="2">
        <v>65000000</v>
      </c>
      <c r="Q416" s="2">
        <v>7.7</v>
      </c>
      <c r="R416" s="2" t="s">
        <v>971</v>
      </c>
      <c r="S416" s="2"/>
      <c r="U416" s="2" t="s">
        <v>972</v>
      </c>
      <c r="V416">
        <f ca="1" t="shared" si="11"/>
        <v>6.4</v>
      </c>
      <c r="AC416" s="2"/>
      <c r="AD416" t="str">
        <f>IFERROR(__xludf.DUMMYFUNCTION("""COMPUTED_VALUE"""),"Legend of the Guardians: The Owls of Ga'Hoole ")</f>
        <v>Legend of the Guardians: The Owls of Ga'Hoole </v>
      </c>
      <c r="AE416">
        <f t="shared" si="12"/>
        <v>55673232</v>
      </c>
    </row>
    <row r="417" customHeight="1" spans="1:31">
      <c r="A417" s="2" t="s">
        <v>553</v>
      </c>
      <c r="B417" s="2">
        <v>123</v>
      </c>
      <c r="C417" s="2">
        <v>34543701</v>
      </c>
      <c r="D417" s="2" t="s">
        <v>596</v>
      </c>
      <c r="E417" s="2" t="s">
        <v>12</v>
      </c>
      <c r="F417" t="s">
        <v>13</v>
      </c>
      <c r="G417" t="s">
        <v>24</v>
      </c>
      <c r="H417" t="s">
        <v>24</v>
      </c>
      <c r="N417" s="2" t="s">
        <v>18</v>
      </c>
      <c r="O417" s="2" t="s">
        <v>19</v>
      </c>
      <c r="P417" s="2">
        <v>82000000</v>
      </c>
      <c r="Q417" s="2">
        <v>5.9</v>
      </c>
      <c r="R417" s="2" t="s">
        <v>973</v>
      </c>
      <c r="S417" s="2"/>
      <c r="U417" s="2" t="s">
        <v>974</v>
      </c>
      <c r="V417">
        <f ca="1" t="shared" si="11"/>
        <v>6.96666666666667</v>
      </c>
      <c r="AC417" s="2"/>
      <c r="AD417" t="str">
        <f>IFERROR(__xludf.DUMMYFUNCTION("""COMPUTED_VALUE"""),"Catwoman ")</f>
        <v>Catwoman </v>
      </c>
      <c r="AE417">
        <f t="shared" si="12"/>
        <v>40198623</v>
      </c>
    </row>
    <row r="418" customHeight="1" spans="1:31">
      <c r="A418" s="2" t="s">
        <v>213</v>
      </c>
      <c r="B418" s="2">
        <v>101</v>
      </c>
      <c r="C418" s="2">
        <v>242589580</v>
      </c>
      <c r="D418" s="2" t="s">
        <v>975</v>
      </c>
      <c r="E418" s="2" t="s">
        <v>40</v>
      </c>
      <c r="F418" t="s">
        <v>30</v>
      </c>
      <c r="G418" t="s">
        <v>24</v>
      </c>
      <c r="H418" t="s">
        <v>24</v>
      </c>
      <c r="N418" s="2" t="s">
        <v>18</v>
      </c>
      <c r="O418" s="2" t="s">
        <v>19</v>
      </c>
      <c r="P418" s="2">
        <v>81000000</v>
      </c>
      <c r="Q418" s="2">
        <v>6.7</v>
      </c>
      <c r="R418" s="2" t="s">
        <v>976</v>
      </c>
      <c r="S418" s="2"/>
      <c r="U418" s="2" t="s">
        <v>977</v>
      </c>
      <c r="V418">
        <f ca="1" t="shared" si="11"/>
        <v>7.23333333333333</v>
      </c>
      <c r="AC418" s="2"/>
      <c r="AD418" t="str">
        <f>IFERROR(__xludf.DUMMYFUNCTION("""COMPUTED_VALUE"""),"Hercules ")</f>
        <v>Hercules </v>
      </c>
      <c r="AE418">
        <f t="shared" si="12"/>
        <v>72659928</v>
      </c>
    </row>
    <row r="419" customHeight="1" spans="1:31">
      <c r="A419" s="2" t="s">
        <v>786</v>
      </c>
      <c r="B419" s="2">
        <v>113</v>
      </c>
      <c r="C419" s="2">
        <v>102981571</v>
      </c>
      <c r="D419" s="2" t="s">
        <v>27</v>
      </c>
      <c r="E419" s="2" t="s">
        <v>12</v>
      </c>
      <c r="F419" t="s">
        <v>35</v>
      </c>
      <c r="G419" t="s">
        <v>30</v>
      </c>
      <c r="H419" t="s">
        <v>14</v>
      </c>
      <c r="N419" s="2" t="s">
        <v>18</v>
      </c>
      <c r="O419" s="2" t="s">
        <v>19</v>
      </c>
      <c r="P419" s="2">
        <v>80000000</v>
      </c>
      <c r="Q419" s="2">
        <v>6.5</v>
      </c>
      <c r="R419" s="2" t="s">
        <v>978</v>
      </c>
      <c r="S419" s="2"/>
      <c r="U419" s="2" t="s">
        <v>979</v>
      </c>
      <c r="V419">
        <f ca="1" t="shared" si="11"/>
        <v>5.9</v>
      </c>
      <c r="AC419" s="2"/>
      <c r="AD419" t="str">
        <f>IFERROR(__xludf.DUMMYFUNCTION("""COMPUTED_VALUE"""),"Treasure Planet ")</f>
        <v>Treasure Planet </v>
      </c>
      <c r="AE419">
        <f t="shared" si="12"/>
        <v>38120459</v>
      </c>
    </row>
    <row r="420" customHeight="1" spans="1:31">
      <c r="A420" s="2" t="s">
        <v>733</v>
      </c>
      <c r="B420" s="2">
        <v>110</v>
      </c>
      <c r="C420" s="2">
        <v>180965237</v>
      </c>
      <c r="D420" s="2" t="s">
        <v>27</v>
      </c>
      <c r="E420" s="2" t="s">
        <v>12</v>
      </c>
      <c r="F420" t="s">
        <v>35</v>
      </c>
      <c r="G420" t="s">
        <v>23</v>
      </c>
      <c r="H420" t="s">
        <v>24</v>
      </c>
      <c r="N420" s="2" t="s">
        <v>18</v>
      </c>
      <c r="O420" s="2" t="s">
        <v>19</v>
      </c>
      <c r="P420" s="2">
        <v>80000000</v>
      </c>
      <c r="Q420" s="2">
        <v>7.1</v>
      </c>
      <c r="R420" s="2" t="s">
        <v>980</v>
      </c>
      <c r="S420" s="2"/>
      <c r="U420" s="2" t="s">
        <v>981</v>
      </c>
      <c r="V420">
        <f ca="1" t="shared" si="11"/>
        <v>6.35</v>
      </c>
      <c r="AC420" s="2"/>
      <c r="AD420" t="str">
        <f>IFERROR(__xludf.DUMMYFUNCTION("""COMPUTED_VALUE"""),"Land of the Lost ")</f>
        <v>Land of the Lost </v>
      </c>
      <c r="AE420">
        <f t="shared" si="12"/>
        <v>49391993</v>
      </c>
    </row>
    <row r="421" customHeight="1" spans="1:31">
      <c r="A421" s="2" t="s">
        <v>747</v>
      </c>
      <c r="B421" s="2">
        <v>142</v>
      </c>
      <c r="C421" s="2">
        <v>407999255</v>
      </c>
      <c r="D421" s="2" t="s">
        <v>541</v>
      </c>
      <c r="E421" s="2" t="s">
        <v>13</v>
      </c>
      <c r="F421" t="s">
        <v>30</v>
      </c>
      <c r="G421" t="s">
        <v>15</v>
      </c>
      <c r="H421" t="s">
        <v>23</v>
      </c>
      <c r="N421" s="2" t="s">
        <v>18</v>
      </c>
      <c r="O421" s="2" t="s">
        <v>19</v>
      </c>
      <c r="P421" s="2">
        <v>78000000</v>
      </c>
      <c r="Q421" s="2">
        <v>7.3</v>
      </c>
      <c r="R421" s="2" t="s">
        <v>982</v>
      </c>
      <c r="S421" s="2"/>
      <c r="U421" s="2" t="s">
        <v>983</v>
      </c>
      <c r="V421">
        <f ca="1" t="shared" si="11"/>
        <v>8.6</v>
      </c>
      <c r="AC421" s="2"/>
      <c r="AD421" t="str">
        <f>IFERROR(__xludf.DUMMYFUNCTION("""COMPUTED_VALUE"""),"The Expendables 3 ")</f>
        <v>The Expendables 3 </v>
      </c>
      <c r="AE421">
        <f t="shared" si="12"/>
        <v>39291891</v>
      </c>
    </row>
    <row r="422" customHeight="1" spans="1:31">
      <c r="A422" s="2" t="s">
        <v>788</v>
      </c>
      <c r="B422" s="2">
        <v>102</v>
      </c>
      <c r="C422" s="2">
        <v>254455986</v>
      </c>
      <c r="D422" s="2" t="s">
        <v>40</v>
      </c>
      <c r="E422" s="2" t="s">
        <v>40</v>
      </c>
      <c r="F422" t="s">
        <v>40</v>
      </c>
      <c r="G422" t="s">
        <v>40</v>
      </c>
      <c r="H422" t="s">
        <v>24</v>
      </c>
      <c r="N422" s="2" t="s">
        <v>18</v>
      </c>
      <c r="O422" s="2" t="s">
        <v>19</v>
      </c>
      <c r="P422" s="2">
        <v>80000000</v>
      </c>
      <c r="Q422" s="2">
        <v>6.5</v>
      </c>
      <c r="R422" s="2" t="s">
        <v>984</v>
      </c>
      <c r="S422" s="2"/>
      <c r="U422" s="2" t="s">
        <v>985</v>
      </c>
      <c r="V422">
        <f ca="1" t="shared" si="11"/>
        <v>6.4</v>
      </c>
      <c r="AC422" s="2"/>
      <c r="AD422" t="str">
        <f>IFERROR(__xludf.DUMMYFUNCTION("""COMPUTED_VALUE"""),"Point Break ")</f>
        <v>Point Break </v>
      </c>
      <c r="AE422">
        <f t="shared" si="12"/>
        <v>28772108</v>
      </c>
    </row>
    <row r="423" customHeight="1" spans="1:31">
      <c r="A423" s="2" t="s">
        <v>117</v>
      </c>
      <c r="B423" s="2">
        <v>126</v>
      </c>
      <c r="C423" s="2">
        <v>162831698</v>
      </c>
      <c r="D423" s="2" t="s">
        <v>12</v>
      </c>
      <c r="E423" s="2" t="s">
        <v>12</v>
      </c>
      <c r="F423" t="s">
        <v>56</v>
      </c>
      <c r="G423" t="s">
        <v>17</v>
      </c>
      <c r="H423" t="s">
        <v>24</v>
      </c>
      <c r="N423" s="2" t="s">
        <v>18</v>
      </c>
      <c r="O423" s="2" t="s">
        <v>19</v>
      </c>
      <c r="P423" s="2">
        <v>80000000</v>
      </c>
      <c r="Q423" s="2">
        <v>7</v>
      </c>
      <c r="R423" s="2" t="s">
        <v>986</v>
      </c>
      <c r="S423" s="2"/>
      <c r="U423" s="2" t="s">
        <v>987</v>
      </c>
      <c r="V423">
        <f ca="1" t="shared" si="11"/>
        <v>6.575</v>
      </c>
      <c r="AC423" s="2"/>
      <c r="AD423" t="str">
        <f>IFERROR(__xludf.DUMMYFUNCTION("""COMPUTED_VALUE"""),"Son of the Mask ")</f>
        <v>Son of the Mask </v>
      </c>
      <c r="AE423">
        <f t="shared" si="12"/>
        <v>17010552</v>
      </c>
    </row>
    <row r="424" customHeight="1" spans="1:31">
      <c r="A424" s="2" t="s">
        <v>441</v>
      </c>
      <c r="B424" s="2">
        <v>83</v>
      </c>
      <c r="C424" s="2">
        <v>155019340</v>
      </c>
      <c r="D424" s="2" t="s">
        <v>189</v>
      </c>
      <c r="E424" s="2" t="s">
        <v>13</v>
      </c>
      <c r="F424" t="s">
        <v>35</v>
      </c>
      <c r="G424" t="s">
        <v>15</v>
      </c>
      <c r="H424" t="s">
        <v>24</v>
      </c>
      <c r="N424" s="2" t="s">
        <v>18</v>
      </c>
      <c r="O424" s="2" t="s">
        <v>19</v>
      </c>
      <c r="P424" s="2">
        <v>80000000</v>
      </c>
      <c r="Q424" s="2">
        <v>6.8</v>
      </c>
      <c r="R424" s="2" t="s">
        <v>988</v>
      </c>
      <c r="S424" s="2"/>
      <c r="U424" s="2" t="s">
        <v>989</v>
      </c>
      <c r="V424">
        <f ca="1" t="shared" si="11"/>
        <v>7.15</v>
      </c>
      <c r="AC424" s="2"/>
      <c r="AD424" t="str">
        <f>IFERROR(__xludf.DUMMYFUNCTION("""COMPUTED_VALUE"""),"In the Heart of the Sea ")</f>
        <v>In the Heart of the Sea </v>
      </c>
      <c r="AE424">
        <f t="shared" si="12"/>
        <v>24985490</v>
      </c>
    </row>
    <row r="425" customHeight="1" spans="1:31">
      <c r="A425" s="2" t="s">
        <v>253</v>
      </c>
      <c r="B425" s="2">
        <v>85</v>
      </c>
      <c r="C425" s="2">
        <v>145771527</v>
      </c>
      <c r="D425" s="2" t="s">
        <v>990</v>
      </c>
      <c r="E425" s="2" t="s">
        <v>13</v>
      </c>
      <c r="F425" t="s">
        <v>13</v>
      </c>
      <c r="G425" t="s">
        <v>30</v>
      </c>
      <c r="H425" t="s">
        <v>24</v>
      </c>
      <c r="N425" s="2" t="s">
        <v>18</v>
      </c>
      <c r="O425" s="2" t="s">
        <v>19</v>
      </c>
      <c r="P425" s="2">
        <v>80000000</v>
      </c>
      <c r="Q425" s="2">
        <v>7.2</v>
      </c>
      <c r="R425" s="2" t="s">
        <v>991</v>
      </c>
      <c r="S425" s="2"/>
      <c r="U425" s="2" t="s">
        <v>992</v>
      </c>
      <c r="V425">
        <f ca="1" t="shared" si="11"/>
        <v>6.56666666666667</v>
      </c>
      <c r="AC425" s="2"/>
      <c r="AD425" t="str">
        <f>IFERROR(__xludf.DUMMYFUNCTION("""COMPUTED_VALUE"""),"The Adventures of Pluto Nash ")</f>
        <v>The Adventures of Pluto Nash </v>
      </c>
      <c r="AE425">
        <f t="shared" si="12"/>
        <v>4411007</v>
      </c>
    </row>
    <row r="426" customHeight="1" spans="1:31">
      <c r="A426" s="2" t="s">
        <v>790</v>
      </c>
      <c r="B426" s="2">
        <v>120</v>
      </c>
      <c r="C426" s="2">
        <v>140459099</v>
      </c>
      <c r="D426" s="2" t="s">
        <v>993</v>
      </c>
      <c r="E426" s="2" t="s">
        <v>12</v>
      </c>
      <c r="F426" t="s">
        <v>30</v>
      </c>
      <c r="G426" t="s">
        <v>30</v>
      </c>
      <c r="H426" t="s">
        <v>29</v>
      </c>
      <c r="N426" s="2" t="s">
        <v>18</v>
      </c>
      <c r="O426" s="2" t="s">
        <v>19</v>
      </c>
      <c r="P426" s="2">
        <v>75000000</v>
      </c>
      <c r="Q426" s="2">
        <v>6.1</v>
      </c>
      <c r="R426" s="2" t="s">
        <v>994</v>
      </c>
      <c r="S426" s="2"/>
      <c r="U426" s="2" t="s">
        <v>995</v>
      </c>
      <c r="V426">
        <f ca="1" t="shared" si="11"/>
        <v>6.5</v>
      </c>
      <c r="AC426" s="2"/>
      <c r="AD426" t="str">
        <f>IFERROR(__xludf.DUMMYFUNCTION("""COMPUTED_VALUE"""),"Green Zone ")</f>
        <v>Green Zone </v>
      </c>
      <c r="AE426">
        <f t="shared" si="12"/>
        <v>35024360</v>
      </c>
    </row>
    <row r="427" customHeight="1" spans="1:31">
      <c r="A427" s="2" t="s">
        <v>382</v>
      </c>
      <c r="B427" s="2">
        <v>116</v>
      </c>
      <c r="C427" s="2">
        <v>53215979</v>
      </c>
      <c r="D427" s="2" t="s">
        <v>174</v>
      </c>
      <c r="E427" s="2" t="s">
        <v>12</v>
      </c>
      <c r="F427" t="s">
        <v>24</v>
      </c>
      <c r="G427" t="s">
        <v>14</v>
      </c>
      <c r="H427" t="s">
        <v>14</v>
      </c>
      <c r="N427" s="2" t="s">
        <v>18</v>
      </c>
      <c r="O427" s="2" t="s">
        <v>19</v>
      </c>
      <c r="P427" s="2">
        <v>84000000</v>
      </c>
      <c r="Q427" s="2">
        <v>6.7</v>
      </c>
      <c r="R427" s="2" t="s">
        <v>996</v>
      </c>
      <c r="S427" s="2"/>
      <c r="U427" s="2" t="s">
        <v>997</v>
      </c>
      <c r="V427">
        <f ca="1" t="shared" si="11"/>
        <v>6.66666666666667</v>
      </c>
      <c r="AC427" s="2"/>
      <c r="AD427" t="str">
        <f>IFERROR(__xludf.DUMMYFUNCTION("""COMPUTED_VALUE"""),"The Peanuts Movie ")</f>
        <v>The Peanuts Movie </v>
      </c>
      <c r="AE427">
        <f t="shared" si="12"/>
        <v>130174809</v>
      </c>
    </row>
    <row r="428" customHeight="1" spans="1:31">
      <c r="A428" s="2" t="s">
        <v>781</v>
      </c>
      <c r="B428" s="2">
        <v>113</v>
      </c>
      <c r="C428" s="2">
        <v>158115031</v>
      </c>
      <c r="D428" s="2" t="s">
        <v>998</v>
      </c>
      <c r="E428" s="2" t="s">
        <v>40</v>
      </c>
      <c r="F428" t="s">
        <v>30</v>
      </c>
      <c r="G428" t="s">
        <v>24</v>
      </c>
      <c r="H428" t="s">
        <v>23</v>
      </c>
      <c r="N428" s="2" t="s">
        <v>18</v>
      </c>
      <c r="O428" s="2" t="s">
        <v>19</v>
      </c>
      <c r="P428" s="2">
        <v>82000000</v>
      </c>
      <c r="Q428" s="2">
        <v>6.4</v>
      </c>
      <c r="R428" s="2" t="s">
        <v>999</v>
      </c>
      <c r="S428" s="2"/>
      <c r="U428" s="2" t="s">
        <v>1000</v>
      </c>
      <c r="V428">
        <f ca="1" t="shared" si="11"/>
        <v>6.57894736842105</v>
      </c>
      <c r="AC428" s="2"/>
      <c r="AD428" t="str">
        <f>IFERROR(__xludf.DUMMYFUNCTION("""COMPUTED_VALUE"""),"The Spanish Prisoner ")</f>
        <v>The Spanish Prisoner </v>
      </c>
      <c r="AE428">
        <f t="shared" si="12"/>
        <v>10199890</v>
      </c>
    </row>
    <row r="429" customHeight="1" spans="1:31">
      <c r="A429" s="2" t="s">
        <v>239</v>
      </c>
      <c r="B429" s="2">
        <v>87</v>
      </c>
      <c r="C429" s="2">
        <v>133103929</v>
      </c>
      <c r="D429" s="2" t="s">
        <v>824</v>
      </c>
      <c r="E429" s="2" t="s">
        <v>13</v>
      </c>
      <c r="F429" t="s">
        <v>35</v>
      </c>
      <c r="G429" t="s">
        <v>23</v>
      </c>
      <c r="H429" t="s">
        <v>23</v>
      </c>
      <c r="N429" s="2" t="s">
        <v>18</v>
      </c>
      <c r="O429" s="2" t="s">
        <v>19</v>
      </c>
      <c r="P429" s="2">
        <v>75000000</v>
      </c>
      <c r="Q429" s="2">
        <v>4.4</v>
      </c>
      <c r="R429" s="2" t="s">
        <v>1001</v>
      </c>
      <c r="S429" s="2"/>
      <c r="U429" s="2" t="s">
        <v>1002</v>
      </c>
      <c r="V429">
        <f ca="1" t="shared" si="11"/>
        <v>6.925</v>
      </c>
      <c r="AC429" s="2"/>
      <c r="AD429" t="str">
        <f>IFERROR(__xludf.DUMMYFUNCTION("""COMPUTED_VALUE"""),"The Mummy Returns ")</f>
        <v>The Mummy Returns </v>
      </c>
      <c r="AE429">
        <f t="shared" si="12"/>
        <v>202007510</v>
      </c>
    </row>
    <row r="430" customHeight="1" spans="1:31">
      <c r="A430" s="2" t="s">
        <v>724</v>
      </c>
      <c r="B430" s="2">
        <v>101</v>
      </c>
      <c r="C430" s="2">
        <v>133668525</v>
      </c>
      <c r="D430" s="2" t="s">
        <v>40</v>
      </c>
      <c r="E430" s="2" t="s">
        <v>40</v>
      </c>
      <c r="F430" t="s">
        <v>56</v>
      </c>
      <c r="G430" t="s">
        <v>72</v>
      </c>
      <c r="H430" t="s">
        <v>17</v>
      </c>
      <c r="N430" s="2" t="s">
        <v>18</v>
      </c>
      <c r="O430" s="2" t="s">
        <v>19</v>
      </c>
      <c r="P430" s="2">
        <v>80000000</v>
      </c>
      <c r="Q430" s="2">
        <v>5.4</v>
      </c>
      <c r="R430" s="2" t="s">
        <v>1003</v>
      </c>
      <c r="S430" s="2"/>
      <c r="U430" s="2" t="s">
        <v>1004</v>
      </c>
      <c r="V430">
        <f ca="1" t="shared" si="11"/>
        <v>6.55</v>
      </c>
      <c r="AC430" s="2"/>
      <c r="AD430" t="str">
        <f>IFERROR(__xludf.DUMMYFUNCTION("""COMPUTED_VALUE"""),"Gangs of New York ")</f>
        <v>Gangs of New York </v>
      </c>
      <c r="AE430">
        <f t="shared" si="12"/>
        <v>77679422</v>
      </c>
    </row>
    <row r="431" customHeight="1" spans="1:31">
      <c r="A431" s="2" t="s">
        <v>781</v>
      </c>
      <c r="B431" s="2">
        <v>110</v>
      </c>
      <c r="C431" s="2">
        <v>130313314</v>
      </c>
      <c r="D431" s="2" t="s">
        <v>589</v>
      </c>
      <c r="E431" s="2" t="s">
        <v>12</v>
      </c>
      <c r="F431" t="s">
        <v>23</v>
      </c>
      <c r="G431" t="s">
        <v>30</v>
      </c>
      <c r="H431" t="s">
        <v>29</v>
      </c>
      <c r="N431" s="2" t="s">
        <v>18</v>
      </c>
      <c r="O431" s="2" t="s">
        <v>19</v>
      </c>
      <c r="P431" s="2">
        <v>80000000</v>
      </c>
      <c r="Q431" s="2">
        <v>6.5</v>
      </c>
      <c r="R431" s="2" t="s">
        <v>1005</v>
      </c>
      <c r="S431" s="2"/>
      <c r="U431" s="2" t="s">
        <v>1006</v>
      </c>
      <c r="V431">
        <f ca="1" t="shared" si="11"/>
        <v>6.5</v>
      </c>
      <c r="AC431" s="2"/>
      <c r="AD431" t="str">
        <f>IFERROR(__xludf.DUMMYFUNCTION("""COMPUTED_VALUE"""),"The Flowers of War ")</f>
        <v>The Flowers of War </v>
      </c>
      <c r="AE431">
        <f t="shared" si="12"/>
        <v>9067</v>
      </c>
    </row>
    <row r="432" customHeight="1" spans="1:31">
      <c r="A432" s="2" t="s">
        <v>758</v>
      </c>
      <c r="B432" s="2">
        <v>128</v>
      </c>
      <c r="C432" s="2">
        <v>124590960</v>
      </c>
      <c r="D432" s="2" t="s">
        <v>521</v>
      </c>
      <c r="E432" s="2" t="s">
        <v>40</v>
      </c>
      <c r="F432" t="s">
        <v>30</v>
      </c>
      <c r="G432" t="s">
        <v>30</v>
      </c>
      <c r="H432" t="s">
        <v>24</v>
      </c>
      <c r="N432" s="2" t="s">
        <v>18</v>
      </c>
      <c r="O432" s="2" t="s">
        <v>19</v>
      </c>
      <c r="P432" s="2">
        <v>80000000</v>
      </c>
      <c r="Q432" s="2">
        <v>6.7</v>
      </c>
      <c r="R432" s="2" t="s">
        <v>1007</v>
      </c>
      <c r="S432" s="2"/>
      <c r="U432" s="2" t="s">
        <v>1008</v>
      </c>
      <c r="V432">
        <f ca="1" t="shared" si="11"/>
        <v>6.2</v>
      </c>
      <c r="AC432" s="2"/>
      <c r="AD432" t="str">
        <f>IFERROR(__xludf.DUMMYFUNCTION("""COMPUTED_VALUE"""),"Surf's Up ")</f>
        <v>Surf's Up </v>
      </c>
      <c r="AE432">
        <f t="shared" si="12"/>
        <v>58867609</v>
      </c>
    </row>
    <row r="433" customHeight="1" spans="1:31">
      <c r="A433" s="2" t="s">
        <v>196</v>
      </c>
      <c r="B433" s="2">
        <v>138</v>
      </c>
      <c r="C433" s="2">
        <v>127968405</v>
      </c>
      <c r="D433" s="2" t="s">
        <v>328</v>
      </c>
      <c r="E433" s="2" t="s">
        <v>28</v>
      </c>
      <c r="F433" t="s">
        <v>17</v>
      </c>
      <c r="G433" t="s">
        <v>40</v>
      </c>
      <c r="H433" t="s">
        <v>15</v>
      </c>
      <c r="N433" s="2" t="s">
        <v>18</v>
      </c>
      <c r="O433" s="2" t="s">
        <v>19</v>
      </c>
      <c r="P433" s="2">
        <v>80000000</v>
      </c>
      <c r="Q433" s="2">
        <v>8.1</v>
      </c>
      <c r="R433" s="2" t="s">
        <v>1009</v>
      </c>
      <c r="S433" s="2"/>
      <c r="U433" s="2" t="s">
        <v>1010</v>
      </c>
      <c r="V433">
        <f ca="1" t="shared" si="11"/>
        <v>7.25</v>
      </c>
      <c r="AC433" s="2"/>
      <c r="AD433" t="str">
        <f>IFERROR(__xludf.DUMMYFUNCTION("""COMPUTED_VALUE"""),"The Stepford Wives ")</f>
        <v>The Stepford Wives </v>
      </c>
      <c r="AE433">
        <f t="shared" si="12"/>
        <v>59475530</v>
      </c>
    </row>
    <row r="434" customHeight="1" spans="1:31">
      <c r="A434" s="2" t="s">
        <v>793</v>
      </c>
      <c r="B434" s="2">
        <v>88</v>
      </c>
      <c r="C434" s="2">
        <v>120136047</v>
      </c>
      <c r="D434" s="2" t="s">
        <v>521</v>
      </c>
      <c r="E434" s="2" t="s">
        <v>40</v>
      </c>
      <c r="F434" t="s">
        <v>56</v>
      </c>
      <c r="G434" t="s">
        <v>23</v>
      </c>
      <c r="H434" t="s">
        <v>23</v>
      </c>
      <c r="N434" s="2" t="s">
        <v>18</v>
      </c>
      <c r="O434" s="2" t="s">
        <v>293</v>
      </c>
      <c r="P434" s="2">
        <v>80000000</v>
      </c>
      <c r="Q434" s="2">
        <v>5.6</v>
      </c>
      <c r="R434" s="2" t="s">
        <v>1011</v>
      </c>
      <c r="S434" s="2"/>
      <c r="U434" s="2" t="s">
        <v>1012</v>
      </c>
      <c r="V434">
        <f ca="1" t="shared" si="11"/>
        <v>6.3</v>
      </c>
      <c r="AC434" s="2"/>
      <c r="AD434" t="str">
        <f>IFERROR(__xludf.DUMMYFUNCTION("""COMPUTED_VALUE"""),"Black Hawk Down ")</f>
        <v>Black Hawk Down </v>
      </c>
      <c r="AE434">
        <f t="shared" si="12"/>
        <v>108638593</v>
      </c>
    </row>
    <row r="435" customHeight="1" spans="1:31">
      <c r="A435" s="2" t="s">
        <v>643</v>
      </c>
      <c r="B435" s="2">
        <v>91</v>
      </c>
      <c r="C435" s="2">
        <v>128200012</v>
      </c>
      <c r="D435" s="2" t="s">
        <v>248</v>
      </c>
      <c r="E435" s="2" t="s">
        <v>13</v>
      </c>
      <c r="F435" t="s">
        <v>28</v>
      </c>
      <c r="G435" t="s">
        <v>24</v>
      </c>
      <c r="H435" t="s">
        <v>17</v>
      </c>
      <c r="N435" s="2" t="s">
        <v>18</v>
      </c>
      <c r="O435" s="2" t="s">
        <v>19</v>
      </c>
      <c r="P435" s="2">
        <v>75000000</v>
      </c>
      <c r="Q435" s="2">
        <v>6.3</v>
      </c>
      <c r="R435" s="2" t="s">
        <v>1013</v>
      </c>
      <c r="S435" s="2"/>
      <c r="U435" s="2" t="s">
        <v>1014</v>
      </c>
      <c r="V435">
        <f ca="1" t="shared" si="11"/>
        <v>5.6</v>
      </c>
      <c r="AC435" s="2"/>
      <c r="AD435" t="str">
        <f>IFERROR(__xludf.DUMMYFUNCTION("""COMPUTED_VALUE"""),"The Campaign ")</f>
        <v>The Campaign </v>
      </c>
      <c r="AE435">
        <f t="shared" si="12"/>
        <v>86897097</v>
      </c>
    </row>
    <row r="436" customHeight="1" spans="1:31">
      <c r="A436" s="2" t="s">
        <v>494</v>
      </c>
      <c r="B436" s="2">
        <v>138</v>
      </c>
      <c r="C436" s="2">
        <v>112225777</v>
      </c>
      <c r="D436" s="2" t="s">
        <v>516</v>
      </c>
      <c r="E436" s="2" t="s">
        <v>12</v>
      </c>
      <c r="F436" t="s">
        <v>30</v>
      </c>
      <c r="G436" t="s">
        <v>71</v>
      </c>
      <c r="H436" t="s">
        <v>17</v>
      </c>
      <c r="N436" s="2" t="s">
        <v>18</v>
      </c>
      <c r="O436" s="2" t="s">
        <v>19</v>
      </c>
      <c r="P436" s="2">
        <v>80000000</v>
      </c>
      <c r="Q436" s="2">
        <v>7.3</v>
      </c>
      <c r="R436" s="2" t="s">
        <v>1015</v>
      </c>
      <c r="S436" s="2"/>
      <c r="U436" s="2" t="s">
        <v>1016</v>
      </c>
      <c r="V436">
        <f ca="1" t="shared" si="11"/>
        <v>6.9</v>
      </c>
      <c r="AC436" s="2"/>
      <c r="AD436" t="str">
        <f>IFERROR(__xludf.DUMMYFUNCTION("""COMPUTED_VALUE"""),"The Fifth Element ")</f>
        <v>The Fifth Element </v>
      </c>
      <c r="AE436">
        <f t="shared" si="12"/>
        <v>63539894</v>
      </c>
    </row>
    <row r="437" customHeight="1" spans="1:31">
      <c r="A437" s="2" t="s">
        <v>796</v>
      </c>
      <c r="B437" s="2">
        <v>99</v>
      </c>
      <c r="C437" s="2">
        <v>109993847</v>
      </c>
      <c r="D437" s="2" t="s">
        <v>1017</v>
      </c>
      <c r="E437" s="2" t="s">
        <v>40</v>
      </c>
      <c r="F437" t="s">
        <v>13</v>
      </c>
      <c r="G437" t="s">
        <v>24</v>
      </c>
      <c r="H437" t="s">
        <v>23</v>
      </c>
      <c r="N437" s="2" t="s">
        <v>18</v>
      </c>
      <c r="O437" s="2" t="s">
        <v>19</v>
      </c>
      <c r="P437" s="2">
        <v>80000000</v>
      </c>
      <c r="Q437" s="2">
        <v>6.1</v>
      </c>
      <c r="R437" s="2" t="s">
        <v>1018</v>
      </c>
      <c r="S437" s="2"/>
      <c r="U437" s="2" t="s">
        <v>1019</v>
      </c>
      <c r="V437">
        <f ca="1" t="shared" si="11"/>
        <v>5.925</v>
      </c>
      <c r="AC437" s="2"/>
      <c r="AD437" t="str">
        <f>IFERROR(__xludf.DUMMYFUNCTION("""COMPUTED_VALUE"""),"Sex and the City 2 ")</f>
        <v>Sex and the City 2 </v>
      </c>
      <c r="AE437">
        <f t="shared" si="12"/>
        <v>95328791</v>
      </c>
    </row>
    <row r="438" customHeight="1" spans="1:31">
      <c r="A438" s="2" t="s">
        <v>26</v>
      </c>
      <c r="B438" s="2">
        <v>117</v>
      </c>
      <c r="C438" s="2">
        <v>104054514</v>
      </c>
      <c r="D438" s="2" t="s">
        <v>805</v>
      </c>
      <c r="E438" s="2" t="s">
        <v>56</v>
      </c>
      <c r="F438" t="s">
        <v>23</v>
      </c>
      <c r="G438" t="s">
        <v>30</v>
      </c>
      <c r="H438" t="s">
        <v>17</v>
      </c>
      <c r="N438" s="2" t="s">
        <v>18</v>
      </c>
      <c r="O438" s="2" t="s">
        <v>19</v>
      </c>
      <c r="P438" s="2">
        <v>80000000</v>
      </c>
      <c r="Q438" s="2">
        <v>7.7</v>
      </c>
      <c r="R438" s="2" t="s">
        <v>1020</v>
      </c>
      <c r="S438" s="2"/>
      <c r="U438" s="2" t="s">
        <v>1021</v>
      </c>
      <c r="V438">
        <f ca="1" t="shared" si="11"/>
        <v>5.73333333333333</v>
      </c>
      <c r="AC438" s="2"/>
      <c r="AD438" t="str">
        <f>IFERROR(__xludf.DUMMYFUNCTION("""COMPUTED_VALUE"""),"The Road to El Dorado ")</f>
        <v>The Road to El Dorado </v>
      </c>
      <c r="AE438">
        <f t="shared" si="12"/>
        <v>50802572</v>
      </c>
    </row>
    <row r="439" customHeight="1" spans="1:31">
      <c r="A439" s="2" t="s">
        <v>724</v>
      </c>
      <c r="B439" s="2">
        <v>117</v>
      </c>
      <c r="C439" s="2">
        <v>103028109</v>
      </c>
      <c r="D439" s="2" t="s">
        <v>607</v>
      </c>
      <c r="E439" s="2" t="s">
        <v>40</v>
      </c>
      <c r="F439" t="s">
        <v>72</v>
      </c>
      <c r="G439" t="s">
        <v>40</v>
      </c>
      <c r="H439" t="s">
        <v>39</v>
      </c>
      <c r="N439" s="2" t="s">
        <v>18</v>
      </c>
      <c r="O439" s="2" t="s">
        <v>19</v>
      </c>
      <c r="P439" s="2">
        <v>80000000</v>
      </c>
      <c r="Q439" s="2">
        <v>6.4</v>
      </c>
      <c r="R439" s="2" t="s">
        <v>1022</v>
      </c>
      <c r="S439" s="2"/>
      <c r="U439" s="2" t="s">
        <v>1023</v>
      </c>
      <c r="V439">
        <f ca="1" t="shared" ref="V439:V502" si="13">AVERAGEIF(A323:A4108,U439,Q324:Q4108)</f>
        <v>6.26666666666667</v>
      </c>
      <c r="AC439" s="2"/>
      <c r="AD439" t="str">
        <f>IFERROR(__xludf.DUMMYFUNCTION("""COMPUTED_VALUE"""),"Ice Age: Continental Drift ")</f>
        <v>Ice Age: Continental Drift </v>
      </c>
      <c r="AE439">
        <f t="shared" ref="AE439:AE502" si="14">C323-B323</f>
        <v>161317335</v>
      </c>
    </row>
    <row r="440" customHeight="1" spans="1:31">
      <c r="A440" s="2" t="s">
        <v>634</v>
      </c>
      <c r="B440" s="2">
        <v>123</v>
      </c>
      <c r="C440" s="2">
        <v>101087161</v>
      </c>
      <c r="D440" s="2" t="s">
        <v>150</v>
      </c>
      <c r="E440" s="2" t="s">
        <v>12</v>
      </c>
      <c r="F440" t="s">
        <v>35</v>
      </c>
      <c r="G440" t="s">
        <v>23</v>
      </c>
      <c r="H440" t="s">
        <v>17</v>
      </c>
      <c r="N440" s="2" t="s">
        <v>18</v>
      </c>
      <c r="O440" s="2" t="s">
        <v>19</v>
      </c>
      <c r="P440" s="2">
        <v>75000000</v>
      </c>
      <c r="Q440" s="2">
        <v>6.8</v>
      </c>
      <c r="R440" s="2" t="s">
        <v>1024</v>
      </c>
      <c r="S440" s="2"/>
      <c r="U440" s="2" t="s">
        <v>1025</v>
      </c>
      <c r="V440">
        <f ca="1" t="shared" si="13"/>
        <v>4.3</v>
      </c>
      <c r="AC440" s="2"/>
      <c r="AD440" t="str">
        <f>IFERROR(__xludf.DUMMYFUNCTION("""COMPUTED_VALUE"""),"Cinderella ")</f>
        <v>Cinderella </v>
      </c>
      <c r="AE440">
        <f t="shared" si="14"/>
        <v>201148054</v>
      </c>
    </row>
    <row r="441" customHeight="1" spans="1:31">
      <c r="A441" s="2" t="s">
        <v>798</v>
      </c>
      <c r="B441" s="2">
        <v>118</v>
      </c>
      <c r="C441" s="2">
        <v>101111837</v>
      </c>
      <c r="D441" s="2" t="s">
        <v>433</v>
      </c>
      <c r="E441" s="2" t="s">
        <v>12</v>
      </c>
      <c r="F441" t="s">
        <v>40</v>
      </c>
      <c r="G441" t="s">
        <v>14</v>
      </c>
      <c r="H441" t="s">
        <v>14</v>
      </c>
      <c r="N441" s="2" t="s">
        <v>18</v>
      </c>
      <c r="O441" s="2" t="s">
        <v>19</v>
      </c>
      <c r="P441" s="2">
        <v>80000000</v>
      </c>
      <c r="Q441" s="2">
        <v>6.6</v>
      </c>
      <c r="R441" s="2" t="s">
        <v>1026</v>
      </c>
      <c r="S441" s="2"/>
      <c r="U441" s="2" t="s">
        <v>1027</v>
      </c>
      <c r="V441">
        <f ca="1" t="shared" si="13"/>
        <v>6.5</v>
      </c>
      <c r="AC441" s="2"/>
      <c r="AD441" t="str">
        <f>IFERROR(__xludf.DUMMYFUNCTION("""COMPUTED_VALUE"""),"The Lovely Bones ")</f>
        <v>The Lovely Bones </v>
      </c>
      <c r="AE441">
        <f t="shared" si="14"/>
        <v>43982707</v>
      </c>
    </row>
    <row r="442" customHeight="1" spans="1:31">
      <c r="A442" s="2" t="s">
        <v>801</v>
      </c>
      <c r="B442" s="2">
        <v>154</v>
      </c>
      <c r="C442" s="2">
        <v>95632614</v>
      </c>
      <c r="D442" s="2" t="s">
        <v>1028</v>
      </c>
      <c r="E442" s="2" t="s">
        <v>13</v>
      </c>
      <c r="F442" t="s">
        <v>15</v>
      </c>
      <c r="G442" t="s">
        <v>23</v>
      </c>
      <c r="H442" t="s">
        <v>24</v>
      </c>
      <c r="N442" s="2" t="s">
        <v>18</v>
      </c>
      <c r="O442" s="2" t="s">
        <v>19</v>
      </c>
      <c r="P442" s="2">
        <v>79000000</v>
      </c>
      <c r="Q442" s="2">
        <v>7.2</v>
      </c>
      <c r="R442" s="2" t="s">
        <v>1029</v>
      </c>
      <c r="S442" s="2"/>
      <c r="U442" s="2" t="s">
        <v>1030</v>
      </c>
      <c r="V442">
        <f ca="1" t="shared" si="13"/>
        <v>6.55454545454545</v>
      </c>
      <c r="AC442" s="2"/>
      <c r="AD442" t="str">
        <f>IFERROR(__xludf.DUMMYFUNCTION("""COMPUTED_VALUE"""),"Finding Nemo ")</f>
        <v>Finding Nemo </v>
      </c>
      <c r="AE442">
        <f t="shared" si="14"/>
        <v>380838770</v>
      </c>
    </row>
    <row r="443" customHeight="1" spans="1:31">
      <c r="A443" s="2" t="s">
        <v>804</v>
      </c>
      <c r="B443" s="2">
        <v>118</v>
      </c>
      <c r="C443" s="2">
        <v>94822707</v>
      </c>
      <c r="D443" s="2" t="s">
        <v>276</v>
      </c>
      <c r="E443" s="2" t="s">
        <v>12</v>
      </c>
      <c r="F443" t="s">
        <v>56</v>
      </c>
      <c r="G443" t="s">
        <v>15</v>
      </c>
      <c r="H443" t="s">
        <v>24</v>
      </c>
      <c r="N443" s="2" t="s">
        <v>18</v>
      </c>
      <c r="O443" s="2" t="s">
        <v>19</v>
      </c>
      <c r="P443" s="2">
        <v>80000000</v>
      </c>
      <c r="Q443" s="2">
        <v>6.9</v>
      </c>
      <c r="R443" s="2" t="s">
        <v>1031</v>
      </c>
      <c r="S443" s="2"/>
      <c r="U443" s="2" t="s">
        <v>1032</v>
      </c>
      <c r="V443">
        <f ca="1" t="shared" si="13"/>
        <v>5.9</v>
      </c>
      <c r="AC443" s="2"/>
      <c r="AD443" t="str">
        <f>IFERROR(__xludf.DUMMYFUNCTION("""COMPUTED_VALUE"""),"The Lord of the Rings: The Return of the King ")</f>
        <v>The Lord of the Rings: The Return of the King </v>
      </c>
      <c r="AE443">
        <f t="shared" si="14"/>
        <v>377019060</v>
      </c>
    </row>
    <row r="444" customHeight="1" spans="1:31">
      <c r="A444" s="2" t="s">
        <v>807</v>
      </c>
      <c r="B444" s="2">
        <v>90</v>
      </c>
      <c r="C444" s="2">
        <v>92969824</v>
      </c>
      <c r="D444" s="2" t="s">
        <v>1033</v>
      </c>
      <c r="E444" s="2" t="s">
        <v>40</v>
      </c>
      <c r="F444" t="s">
        <v>30</v>
      </c>
      <c r="G444" t="s">
        <v>15</v>
      </c>
      <c r="H444" t="s">
        <v>15</v>
      </c>
      <c r="N444" s="2" t="s">
        <v>18</v>
      </c>
      <c r="O444" s="2" t="s">
        <v>19</v>
      </c>
      <c r="P444" s="2">
        <v>80000000</v>
      </c>
      <c r="Q444" s="2">
        <v>5.2</v>
      </c>
      <c r="R444" s="2" t="s">
        <v>1034</v>
      </c>
      <c r="S444" s="2"/>
      <c r="U444" s="2" t="s">
        <v>1035</v>
      </c>
      <c r="V444">
        <f ca="1" t="shared" si="13"/>
        <v>7.9</v>
      </c>
      <c r="AC444" s="2"/>
      <c r="AD444" t="str">
        <f>IFERROR(__xludf.DUMMYFUNCTION("""COMPUTED_VALUE"""),"The Lord of the Rings: The Two Towers ")</f>
        <v>The Lord of the Rings: The Two Towers </v>
      </c>
      <c r="AE444">
        <f t="shared" si="14"/>
        <v>340478726</v>
      </c>
    </row>
    <row r="445" customHeight="1" spans="1:31">
      <c r="A445" s="2" t="s">
        <v>581</v>
      </c>
      <c r="B445" s="2">
        <v>113</v>
      </c>
      <c r="C445" s="2">
        <v>91188905</v>
      </c>
      <c r="D445" s="2" t="s">
        <v>1036</v>
      </c>
      <c r="E445" s="2" t="s">
        <v>14</v>
      </c>
      <c r="F445" t="s">
        <v>13</v>
      </c>
      <c r="G445" t="s">
        <v>40</v>
      </c>
      <c r="H445" t="s">
        <v>24</v>
      </c>
      <c r="N445" s="2" t="s">
        <v>18</v>
      </c>
      <c r="O445" s="2" t="s">
        <v>19</v>
      </c>
      <c r="P445" s="2">
        <v>80000000</v>
      </c>
      <c r="Q445" s="2">
        <v>4.9</v>
      </c>
      <c r="R445" s="2" t="s">
        <v>1037</v>
      </c>
      <c r="S445" s="2"/>
      <c r="U445" s="2" t="s">
        <v>1038</v>
      </c>
      <c r="V445">
        <f ca="1" t="shared" si="13"/>
        <v>5.45</v>
      </c>
      <c r="AC445" s="2"/>
      <c r="AD445" t="str">
        <f>IFERROR(__xludf.DUMMYFUNCTION("""COMPUTED_VALUE"""),"Seventh Son ")</f>
        <v>Seventh Son </v>
      </c>
      <c r="AE445">
        <f t="shared" si="14"/>
        <v>17176798</v>
      </c>
    </row>
    <row r="446" customHeight="1" spans="1:31">
      <c r="A446" s="2" t="s">
        <v>810</v>
      </c>
      <c r="B446" s="2">
        <v>88</v>
      </c>
      <c r="C446" s="2">
        <v>90443603</v>
      </c>
      <c r="D446" s="2" t="s">
        <v>1039</v>
      </c>
      <c r="E446" s="2" t="s">
        <v>13</v>
      </c>
      <c r="F446" t="s">
        <v>35</v>
      </c>
      <c r="G446" t="s">
        <v>24</v>
      </c>
      <c r="H446" t="s">
        <v>14</v>
      </c>
      <c r="N446" s="2" t="s">
        <v>18</v>
      </c>
      <c r="O446" s="2" t="s">
        <v>19</v>
      </c>
      <c r="P446" s="2">
        <v>80000000</v>
      </c>
      <c r="Q446" s="2">
        <v>6.3</v>
      </c>
      <c r="R446" s="2" t="s">
        <v>1040</v>
      </c>
      <c r="S446" s="2"/>
      <c r="U446" s="2" t="s">
        <v>1041</v>
      </c>
      <c r="V446">
        <f ca="1" t="shared" si="13"/>
        <v>6.55</v>
      </c>
      <c r="AC446" s="2"/>
      <c r="AD446" t="str">
        <f>IFERROR(__xludf.DUMMYFUNCTION("""COMPUTED_VALUE"""),"Lara Croft: Tomb Raider ")</f>
        <v>Lara Croft: Tomb Raider </v>
      </c>
      <c r="AE446">
        <f t="shared" si="14"/>
        <v>131144083</v>
      </c>
    </row>
    <row r="447" customHeight="1" spans="1:31">
      <c r="A447" s="2" t="s">
        <v>315</v>
      </c>
      <c r="B447" s="2">
        <v>93</v>
      </c>
      <c r="C447" s="2">
        <v>82226474</v>
      </c>
      <c r="D447" s="2" t="s">
        <v>1042</v>
      </c>
      <c r="E447" s="2" t="s">
        <v>13</v>
      </c>
      <c r="F447" t="s">
        <v>35</v>
      </c>
      <c r="G447" t="s">
        <v>15</v>
      </c>
      <c r="H447" t="s">
        <v>14</v>
      </c>
      <c r="N447" s="2" t="s">
        <v>18</v>
      </c>
      <c r="O447" s="2" t="s">
        <v>19</v>
      </c>
      <c r="P447" s="2">
        <v>65000000</v>
      </c>
      <c r="Q447" s="2">
        <v>5.6</v>
      </c>
      <c r="R447" s="2" t="s">
        <v>1043</v>
      </c>
      <c r="S447" s="2"/>
      <c r="U447" s="2" t="s">
        <v>1044</v>
      </c>
      <c r="V447">
        <f ca="1" t="shared" si="13"/>
        <v>7.325</v>
      </c>
      <c r="AC447" s="2"/>
      <c r="AD447" t="str">
        <f>IFERROR(__xludf.DUMMYFUNCTION("""COMPUTED_VALUE"""),"Transcendence ")</f>
        <v>Transcendence </v>
      </c>
      <c r="AE447">
        <f t="shared" si="14"/>
        <v>23014385</v>
      </c>
    </row>
    <row r="448" customHeight="1" spans="1:31">
      <c r="A448" s="2" t="s">
        <v>813</v>
      </c>
      <c r="B448" s="2">
        <v>104</v>
      </c>
      <c r="C448" s="2">
        <v>79363785</v>
      </c>
      <c r="D448" s="2" t="s">
        <v>1045</v>
      </c>
      <c r="E448" s="2" t="s">
        <v>30</v>
      </c>
      <c r="F448" t="s">
        <v>23</v>
      </c>
      <c r="G448" t="s">
        <v>14</v>
      </c>
      <c r="H448" t="s">
        <v>23</v>
      </c>
      <c r="N448" s="2" t="s">
        <v>18</v>
      </c>
      <c r="O448" s="2" t="s">
        <v>19</v>
      </c>
      <c r="P448" s="2">
        <v>80000000</v>
      </c>
      <c r="Q448" s="2">
        <v>5.5</v>
      </c>
      <c r="R448" s="2" t="s">
        <v>1046</v>
      </c>
      <c r="S448" s="2"/>
      <c r="U448" s="2" t="s">
        <v>1047</v>
      </c>
      <c r="V448">
        <f ca="1" t="shared" si="13"/>
        <v>5.5</v>
      </c>
      <c r="AC448" s="2"/>
      <c r="AD448" t="str">
        <f>IFERROR(__xludf.DUMMYFUNCTION("""COMPUTED_VALUE"""),"Jurassic Park III ")</f>
        <v>Jurassic Park III </v>
      </c>
      <c r="AE448">
        <f t="shared" si="14"/>
        <v>181166023</v>
      </c>
    </row>
    <row r="449" customHeight="1" spans="1:31">
      <c r="A449" s="2" t="s">
        <v>399</v>
      </c>
      <c r="B449" s="2">
        <v>135</v>
      </c>
      <c r="C449" s="2">
        <v>76081498</v>
      </c>
      <c r="D449" s="2" t="s">
        <v>1048</v>
      </c>
      <c r="E449" s="2" t="s">
        <v>12</v>
      </c>
      <c r="F449" t="s">
        <v>13</v>
      </c>
      <c r="G449" t="s">
        <v>24</v>
      </c>
      <c r="H449" t="s">
        <v>14</v>
      </c>
      <c r="N449" s="2" t="s">
        <v>18</v>
      </c>
      <c r="O449" s="2" t="s">
        <v>19</v>
      </c>
      <c r="P449" s="2">
        <v>75000000</v>
      </c>
      <c r="Q449" s="2">
        <v>6.7</v>
      </c>
      <c r="R449" s="2" t="s">
        <v>1049</v>
      </c>
      <c r="S449" s="2"/>
      <c r="U449" s="2" t="s">
        <v>1050</v>
      </c>
      <c r="V449">
        <f ca="1" t="shared" si="13"/>
        <v>6.45</v>
      </c>
      <c r="AC449" s="2"/>
      <c r="AD449" t="str">
        <f>IFERROR(__xludf.DUMMYFUNCTION("""COMPUTED_VALUE"""),"Rise of the Planet of the Apes ")</f>
        <v>Rise of the Planet of the Apes </v>
      </c>
      <c r="AE449">
        <f t="shared" si="14"/>
        <v>176740545</v>
      </c>
    </row>
    <row r="450" customHeight="1" spans="1:31">
      <c r="A450" s="2" t="s">
        <v>210</v>
      </c>
      <c r="B450" s="2">
        <v>134</v>
      </c>
      <c r="C450" s="2">
        <v>85707116</v>
      </c>
      <c r="D450" s="2" t="s">
        <v>536</v>
      </c>
      <c r="E450" s="2" t="s">
        <v>12</v>
      </c>
      <c r="F450" t="s">
        <v>28</v>
      </c>
      <c r="G450" t="s">
        <v>35</v>
      </c>
      <c r="H450" t="s">
        <v>24</v>
      </c>
      <c r="N450" s="2" t="s">
        <v>18</v>
      </c>
      <c r="O450" s="2" t="s">
        <v>19</v>
      </c>
      <c r="P450" s="2">
        <v>68000000</v>
      </c>
      <c r="Q450" s="2">
        <v>7.6</v>
      </c>
      <c r="R450" s="2" t="s">
        <v>1051</v>
      </c>
      <c r="S450" s="2"/>
      <c r="U450" s="2" t="s">
        <v>1052</v>
      </c>
      <c r="V450">
        <f ca="1" t="shared" si="13"/>
        <v>5.9</v>
      </c>
      <c r="AC450" s="2"/>
      <c r="AD450" t="str">
        <f>IFERROR(__xludf.DUMMYFUNCTION("""COMPUTED_VALUE"""),"The Spiderwick Chronicles ")</f>
        <v>The Spiderwick Chronicles </v>
      </c>
      <c r="AE450">
        <f t="shared" si="14"/>
        <v>71148592</v>
      </c>
    </row>
    <row r="451" customHeight="1" spans="1:31">
      <c r="A451" s="2" t="s">
        <v>816</v>
      </c>
      <c r="B451" s="2">
        <v>98</v>
      </c>
      <c r="C451" s="2">
        <v>74329966</v>
      </c>
      <c r="D451" s="2" t="s">
        <v>1053</v>
      </c>
      <c r="E451" s="2" t="s">
        <v>12</v>
      </c>
      <c r="F451" t="s">
        <v>40</v>
      </c>
      <c r="G451" t="s">
        <v>23</v>
      </c>
      <c r="H451" t="s">
        <v>24</v>
      </c>
      <c r="N451" s="2" t="s">
        <v>18</v>
      </c>
      <c r="O451" s="2" t="s">
        <v>19</v>
      </c>
      <c r="P451" s="2">
        <v>70000000</v>
      </c>
      <c r="Q451" s="2">
        <v>5.7</v>
      </c>
      <c r="R451" s="2" t="s">
        <v>1054</v>
      </c>
      <c r="S451" s="2"/>
      <c r="U451" s="2" t="s">
        <v>1055</v>
      </c>
      <c r="V451">
        <f ca="1" t="shared" si="13"/>
        <v>5.55</v>
      </c>
      <c r="AC451" s="2"/>
      <c r="AD451" t="str">
        <f>IFERROR(__xludf.DUMMYFUNCTION("""COMPUTED_VALUE"""),"A Good Day to Die Hard ")</f>
        <v>A Good Day to Die Hard </v>
      </c>
      <c r="AE451">
        <f t="shared" si="14"/>
        <v>67344291</v>
      </c>
    </row>
    <row r="452" customHeight="1" spans="1:31">
      <c r="A452" s="2" t="s">
        <v>818</v>
      </c>
      <c r="B452" s="2">
        <v>80</v>
      </c>
      <c r="C452" s="2">
        <v>100169068</v>
      </c>
      <c r="D452" s="2" t="s">
        <v>189</v>
      </c>
      <c r="E452" s="2" t="s">
        <v>13</v>
      </c>
      <c r="F452" t="s">
        <v>23</v>
      </c>
      <c r="G452" t="s">
        <v>24</v>
      </c>
      <c r="H452" t="s">
        <v>29</v>
      </c>
      <c r="N452" s="2" t="s">
        <v>18</v>
      </c>
      <c r="O452" s="2" t="s">
        <v>19</v>
      </c>
      <c r="P452" s="2">
        <v>80000000</v>
      </c>
      <c r="Q452" s="2">
        <v>4.6</v>
      </c>
      <c r="R452" s="2" t="s">
        <v>1056</v>
      </c>
      <c r="S452" s="2"/>
      <c r="U452" s="2" t="s">
        <v>1057</v>
      </c>
      <c r="V452">
        <f ca="1" t="shared" si="13"/>
        <v>4.4</v>
      </c>
      <c r="AC452" s="2"/>
      <c r="AD452" t="str">
        <f>IFERROR(__xludf.DUMMYFUNCTION("""COMPUTED_VALUE"""),"The Alamo ")</f>
        <v>The Alamo </v>
      </c>
      <c r="AE452">
        <f t="shared" si="14"/>
        <v>22406225</v>
      </c>
    </row>
    <row r="453" customHeight="1" spans="1:31">
      <c r="A453" s="2" t="s">
        <v>820</v>
      </c>
      <c r="B453" s="2">
        <v>83</v>
      </c>
      <c r="C453" s="2">
        <v>73215310</v>
      </c>
      <c r="D453" s="2" t="s">
        <v>1058</v>
      </c>
      <c r="E453" s="2" t="s">
        <v>13</v>
      </c>
      <c r="F453" t="s">
        <v>13</v>
      </c>
      <c r="G453" t="s">
        <v>40</v>
      </c>
      <c r="H453" t="s">
        <v>23</v>
      </c>
      <c r="N453" s="2" t="s">
        <v>18</v>
      </c>
      <c r="O453" s="2" t="s">
        <v>19</v>
      </c>
      <c r="P453" s="2">
        <v>80000000</v>
      </c>
      <c r="Q453" s="2">
        <v>7</v>
      </c>
      <c r="R453" s="2" t="s">
        <v>1059</v>
      </c>
      <c r="S453" s="2"/>
      <c r="U453" s="2" t="s">
        <v>1060</v>
      </c>
      <c r="V453">
        <f ca="1" t="shared" si="13"/>
        <v>7.18</v>
      </c>
      <c r="AC453" s="2"/>
      <c r="AD453" t="str">
        <f>IFERROR(__xludf.DUMMYFUNCTION("""COMPUTED_VALUE"""),"The Incredibles ")</f>
        <v>The Incredibles </v>
      </c>
      <c r="AE453">
        <f t="shared" si="14"/>
        <v>261437463</v>
      </c>
    </row>
    <row r="454" customHeight="1" spans="1:31">
      <c r="A454" s="2" t="s">
        <v>588</v>
      </c>
      <c r="B454" s="2">
        <v>102</v>
      </c>
      <c r="C454" s="2">
        <v>80360866</v>
      </c>
      <c r="D454" s="2" t="s">
        <v>1061</v>
      </c>
      <c r="E454" s="2" t="s">
        <v>40</v>
      </c>
      <c r="F454" t="s">
        <v>13</v>
      </c>
      <c r="G454" t="s">
        <v>24</v>
      </c>
      <c r="H454" t="s">
        <v>24</v>
      </c>
      <c r="N454" s="2" t="s">
        <v>18</v>
      </c>
      <c r="O454" s="2" t="s">
        <v>19</v>
      </c>
      <c r="P454" s="2">
        <v>80000000</v>
      </c>
      <c r="Q454" s="2">
        <v>5.2</v>
      </c>
      <c r="R454" s="2" t="s">
        <v>1062</v>
      </c>
      <c r="S454" s="2"/>
      <c r="U454" s="2" t="s">
        <v>1063</v>
      </c>
      <c r="V454">
        <f ca="1" t="shared" si="13"/>
        <v>5.8</v>
      </c>
      <c r="AC454" s="2"/>
      <c r="AD454" t="str">
        <f>IFERROR(__xludf.DUMMYFUNCTION("""COMPUTED_VALUE"""),"Cutthroat Island ")</f>
        <v>Cutthroat Island </v>
      </c>
      <c r="AE454">
        <f t="shared" si="14"/>
        <v>10999876</v>
      </c>
    </row>
    <row r="455" customHeight="1" spans="1:31">
      <c r="A455" s="2" t="s">
        <v>823</v>
      </c>
      <c r="B455" s="2">
        <v>130</v>
      </c>
      <c r="C455" s="2">
        <v>69102910</v>
      </c>
      <c r="D455" s="2" t="s">
        <v>1064</v>
      </c>
      <c r="E455" s="2" t="s">
        <v>12</v>
      </c>
      <c r="F455" t="s">
        <v>56</v>
      </c>
      <c r="G455" t="s">
        <v>30</v>
      </c>
      <c r="H455" t="s">
        <v>28</v>
      </c>
      <c r="N455" s="2" t="s">
        <v>18</v>
      </c>
      <c r="O455" s="2" t="s">
        <v>19</v>
      </c>
      <c r="P455" s="2">
        <v>80000000</v>
      </c>
      <c r="Q455" s="2">
        <v>5.1</v>
      </c>
      <c r="R455" s="2" t="s">
        <v>1065</v>
      </c>
      <c r="S455" s="2"/>
      <c r="U455" s="2" t="s">
        <v>1066</v>
      </c>
      <c r="V455">
        <f ca="1" t="shared" si="13"/>
        <v>6.93333333333333</v>
      </c>
      <c r="AC455" s="2"/>
      <c r="AD455" t="str">
        <f>IFERROR(__xludf.DUMMYFUNCTION("""COMPUTED_VALUE"""),"Percy Jackson &amp; the Olympians: The Lightning Thief ")</f>
        <v>Percy Jackson &amp; the Olympians: The Lightning Thief </v>
      </c>
      <c r="AE455">
        <f t="shared" si="14"/>
        <v>88761602</v>
      </c>
    </row>
    <row r="456" customHeight="1" spans="1:31">
      <c r="A456" s="2" t="s">
        <v>826</v>
      </c>
      <c r="B456" s="2">
        <v>129</v>
      </c>
      <c r="C456" s="2">
        <v>65948711</v>
      </c>
      <c r="D456" s="2" t="s">
        <v>840</v>
      </c>
      <c r="E456" s="2" t="s">
        <v>30</v>
      </c>
      <c r="F456" t="s">
        <v>13</v>
      </c>
      <c r="G456" t="s">
        <v>30</v>
      </c>
      <c r="H456" t="s">
        <v>24</v>
      </c>
      <c r="N456" s="2" t="s">
        <v>18</v>
      </c>
      <c r="O456" s="2" t="s">
        <v>19</v>
      </c>
      <c r="P456" s="2">
        <v>80000000</v>
      </c>
      <c r="Q456" s="2">
        <v>6.6</v>
      </c>
      <c r="R456" s="2" t="s">
        <v>1067</v>
      </c>
      <c r="S456" s="2"/>
      <c r="U456" s="2" t="s">
        <v>1068</v>
      </c>
      <c r="V456">
        <f ca="1" t="shared" si="13"/>
        <v>7.7</v>
      </c>
      <c r="AC456" s="2"/>
      <c r="AD456" t="str">
        <f>IFERROR(__xludf.DUMMYFUNCTION("""COMPUTED_VALUE"""),"Men in Black ")</f>
        <v>Men in Black </v>
      </c>
      <c r="AE456">
        <f t="shared" si="14"/>
        <v>250147517</v>
      </c>
    </row>
    <row r="457" customHeight="1" spans="1:31">
      <c r="A457" s="2" t="s">
        <v>752</v>
      </c>
      <c r="B457" s="2">
        <v>89</v>
      </c>
      <c r="C457" s="2">
        <v>169692572</v>
      </c>
      <c r="D457" s="2" t="s">
        <v>303</v>
      </c>
      <c r="E457" s="2" t="s">
        <v>35</v>
      </c>
      <c r="F457" t="s">
        <v>14</v>
      </c>
      <c r="G457" t="s">
        <v>40</v>
      </c>
      <c r="H457" t="s">
        <v>24</v>
      </c>
      <c r="N457" s="2" t="s">
        <v>18</v>
      </c>
      <c r="O457" s="2" t="s">
        <v>19</v>
      </c>
      <c r="P457" s="2">
        <v>80000000</v>
      </c>
      <c r="Q457" s="2">
        <v>6.7</v>
      </c>
      <c r="R457" s="2" t="s">
        <v>1069</v>
      </c>
      <c r="S457" s="2"/>
      <c r="U457" s="2" t="s">
        <v>1070</v>
      </c>
      <c r="V457">
        <f ca="1" t="shared" si="13"/>
        <v>6.21666666666667</v>
      </c>
      <c r="AC457" s="2"/>
      <c r="AD457" t="str">
        <f>IFERROR(__xludf.DUMMYFUNCTION("""COMPUTED_VALUE"""),"Toy Story 2 ")</f>
        <v>Toy Story 2 </v>
      </c>
      <c r="AE457">
        <f t="shared" si="14"/>
        <v>245823315</v>
      </c>
    </row>
    <row r="458" customHeight="1" spans="1:31">
      <c r="A458" s="2" t="s">
        <v>829</v>
      </c>
      <c r="B458" s="2">
        <v>74</v>
      </c>
      <c r="C458" s="2">
        <v>60507228</v>
      </c>
      <c r="D458" s="2" t="s">
        <v>1071</v>
      </c>
      <c r="E458" s="2" t="s">
        <v>35</v>
      </c>
      <c r="F458" t="s">
        <v>14</v>
      </c>
      <c r="G458" t="s">
        <v>16</v>
      </c>
      <c r="H458" t="s">
        <v>24</v>
      </c>
      <c r="N458" s="2" t="s">
        <v>18</v>
      </c>
      <c r="O458" s="2" t="s">
        <v>19</v>
      </c>
      <c r="P458" s="2">
        <v>80000000</v>
      </c>
      <c r="Q458" s="2">
        <v>7.3</v>
      </c>
      <c r="R458" s="2" t="s">
        <v>1072</v>
      </c>
      <c r="S458" s="2"/>
      <c r="U458" s="2" t="s">
        <v>1073</v>
      </c>
      <c r="V458">
        <f ca="1" t="shared" si="13"/>
        <v>6.01666666666667</v>
      </c>
      <c r="AC458" s="2"/>
      <c r="AD458" t="str">
        <f>IFERROR(__xludf.DUMMYFUNCTION("""COMPUTED_VALUE"""),"Unstoppable ")</f>
        <v>Unstoppable </v>
      </c>
      <c r="AE458">
        <f t="shared" si="14"/>
        <v>81557381</v>
      </c>
    </row>
    <row r="459" customHeight="1" spans="1:31">
      <c r="A459" s="2" t="s">
        <v>357</v>
      </c>
      <c r="B459" s="2">
        <v>96</v>
      </c>
      <c r="C459" s="2">
        <v>56684819</v>
      </c>
      <c r="D459" s="2" t="s">
        <v>38</v>
      </c>
      <c r="E459" s="2" t="s">
        <v>12</v>
      </c>
      <c r="F459" t="s">
        <v>13</v>
      </c>
      <c r="G459" t="s">
        <v>83</v>
      </c>
      <c r="H459" t="s">
        <v>14</v>
      </c>
      <c r="N459" s="2" t="s">
        <v>18</v>
      </c>
      <c r="O459" s="2" t="s">
        <v>19</v>
      </c>
      <c r="P459" s="2">
        <v>80000000</v>
      </c>
      <c r="Q459" s="2">
        <v>5.9</v>
      </c>
      <c r="R459" s="2" t="s">
        <v>1074</v>
      </c>
      <c r="S459" s="2"/>
      <c r="U459" s="2" t="s">
        <v>1075</v>
      </c>
      <c r="V459">
        <f ca="1" t="shared" si="13"/>
        <v>6.45</v>
      </c>
      <c r="AC459" s="2"/>
      <c r="AD459" t="str">
        <f>IFERROR(__xludf.DUMMYFUNCTION("""COMPUTED_VALUE"""),"Rush Hour 2 ")</f>
        <v>Rush Hour 2 </v>
      </c>
      <c r="AE459">
        <f t="shared" si="14"/>
        <v>226138364</v>
      </c>
    </row>
    <row r="460" customHeight="1" spans="1:31">
      <c r="A460" s="2" t="s">
        <v>665</v>
      </c>
      <c r="B460" s="2">
        <v>114</v>
      </c>
      <c r="C460" s="2">
        <v>50628009</v>
      </c>
      <c r="D460" s="2" t="s">
        <v>1076</v>
      </c>
      <c r="E460" s="2" t="s">
        <v>12</v>
      </c>
      <c r="F460" t="s">
        <v>40</v>
      </c>
      <c r="G460" t="s">
        <v>24</v>
      </c>
      <c r="H460" t="s">
        <v>24</v>
      </c>
      <c r="N460" s="2" t="s">
        <v>18</v>
      </c>
      <c r="O460" s="2" t="s">
        <v>19</v>
      </c>
      <c r="P460" s="2">
        <v>90000000</v>
      </c>
      <c r="Q460" s="2">
        <v>5.6</v>
      </c>
      <c r="R460" s="2" t="s">
        <v>1077</v>
      </c>
      <c r="S460" s="2"/>
      <c r="U460" s="2" t="s">
        <v>1078</v>
      </c>
      <c r="V460">
        <f ca="1" t="shared" si="13"/>
        <v>6.3</v>
      </c>
      <c r="AC460" s="2"/>
      <c r="AD460" t="str">
        <f>IFERROR(__xludf.DUMMYFUNCTION("""COMPUTED_VALUE"""),"What Lies Beneath ")</f>
        <v>What Lies Beneath </v>
      </c>
      <c r="AE460">
        <f t="shared" si="14"/>
        <v>155370232</v>
      </c>
    </row>
    <row r="461" customHeight="1" spans="1:31">
      <c r="A461" s="2" t="s">
        <v>610</v>
      </c>
      <c r="B461" s="2">
        <v>99</v>
      </c>
      <c r="C461" s="2">
        <v>69772969</v>
      </c>
      <c r="D461" s="2" t="s">
        <v>150</v>
      </c>
      <c r="E461" s="2" t="s">
        <v>12</v>
      </c>
      <c r="F461" t="s">
        <v>15</v>
      </c>
      <c r="G461" t="s">
        <v>24</v>
      </c>
      <c r="H461" t="s">
        <v>15</v>
      </c>
      <c r="N461" s="2" t="s">
        <v>18</v>
      </c>
      <c r="O461" s="2" t="s">
        <v>19</v>
      </c>
      <c r="P461" s="2">
        <v>80000000</v>
      </c>
      <c r="Q461" s="2">
        <v>6.5</v>
      </c>
      <c r="R461" s="2" t="s">
        <v>1079</v>
      </c>
      <c r="S461" s="2"/>
      <c r="U461" s="2" t="s">
        <v>1080</v>
      </c>
      <c r="V461">
        <f ca="1" t="shared" si="13"/>
        <v>6.5</v>
      </c>
      <c r="AC461" s="2"/>
      <c r="AD461" t="str">
        <f>IFERROR(__xludf.DUMMYFUNCTION("""COMPUTED_VALUE"""),"Cloudy with a Chance of Meatballs ")</f>
        <v>Cloudy with a Chance of Meatballs </v>
      </c>
      <c r="AE461">
        <f t="shared" si="14"/>
        <v>124870185</v>
      </c>
    </row>
    <row r="462" customHeight="1" spans="1:31">
      <c r="A462" s="2" t="s">
        <v>143</v>
      </c>
      <c r="B462" s="2">
        <v>129</v>
      </c>
      <c r="C462" s="2">
        <v>45356386</v>
      </c>
      <c r="D462" s="2" t="s">
        <v>75</v>
      </c>
      <c r="E462" s="2" t="s">
        <v>12</v>
      </c>
      <c r="F462" t="s">
        <v>55</v>
      </c>
      <c r="G462" t="s">
        <v>17</v>
      </c>
      <c r="H462" t="s">
        <v>28</v>
      </c>
      <c r="N462" s="2" t="s">
        <v>1081</v>
      </c>
      <c r="O462" s="2" t="s">
        <v>19</v>
      </c>
      <c r="P462" s="2">
        <v>75000000</v>
      </c>
      <c r="Q462" s="2">
        <v>5.9</v>
      </c>
      <c r="R462" s="2" t="s">
        <v>1082</v>
      </c>
      <c r="S462" s="2"/>
      <c r="U462" s="2" t="s">
        <v>1083</v>
      </c>
      <c r="V462">
        <f ca="1" t="shared" si="13"/>
        <v>5.3</v>
      </c>
      <c r="AC462" s="2"/>
      <c r="AD462" t="str">
        <f>IFERROR(__xludf.DUMMYFUNCTION("""COMPUTED_VALUE"""),"Ice Age: Dawn of the Dinosaurs ")</f>
        <v>Ice Age: Dawn of the Dinosaurs </v>
      </c>
      <c r="AE462">
        <f t="shared" si="14"/>
        <v>196573611</v>
      </c>
    </row>
    <row r="463" customHeight="1" spans="1:31">
      <c r="A463" s="2" t="s">
        <v>831</v>
      </c>
      <c r="B463" s="2">
        <v>113</v>
      </c>
      <c r="C463" s="2">
        <v>55350897</v>
      </c>
      <c r="D463" s="2" t="s">
        <v>266</v>
      </c>
      <c r="E463" s="2" t="s">
        <v>30</v>
      </c>
      <c r="F463" t="s">
        <v>13</v>
      </c>
      <c r="G463" t="s">
        <v>40</v>
      </c>
      <c r="H463" t="s">
        <v>28</v>
      </c>
      <c r="N463" s="2" t="s">
        <v>18</v>
      </c>
      <c r="O463" s="2" t="s">
        <v>19</v>
      </c>
      <c r="P463" s="2">
        <v>85000000</v>
      </c>
      <c r="Q463" s="2">
        <v>7</v>
      </c>
      <c r="R463" s="2" t="s">
        <v>1084</v>
      </c>
      <c r="S463" s="2"/>
      <c r="U463" s="2" t="s">
        <v>1085</v>
      </c>
      <c r="V463">
        <f ca="1" t="shared" si="13"/>
        <v>5.4</v>
      </c>
      <c r="AC463" s="2"/>
      <c r="AD463" t="str">
        <f>IFERROR(__xludf.DUMMYFUNCTION("""COMPUTED_VALUE"""),"The Secret Life of Walter Mitty ")</f>
        <v>The Secret Life of Walter Mitty </v>
      </c>
      <c r="AE463">
        <f t="shared" si="14"/>
        <v>58229006</v>
      </c>
    </row>
    <row r="464" customHeight="1" spans="1:31">
      <c r="A464" s="2" t="s">
        <v>834</v>
      </c>
      <c r="B464" s="2">
        <v>90</v>
      </c>
      <c r="C464" s="2">
        <v>39442871</v>
      </c>
      <c r="D464" s="2" t="s">
        <v>1086</v>
      </c>
      <c r="E464" s="2" t="s">
        <v>40</v>
      </c>
      <c r="F464" t="s">
        <v>35</v>
      </c>
      <c r="G464" t="s">
        <v>17</v>
      </c>
      <c r="H464" t="s">
        <v>28</v>
      </c>
      <c r="N464" s="2" t="s">
        <v>18</v>
      </c>
      <c r="O464" s="2" t="s">
        <v>19</v>
      </c>
      <c r="P464" s="2">
        <v>80000000</v>
      </c>
      <c r="Q464" s="2">
        <v>5.3</v>
      </c>
      <c r="R464" s="2" t="s">
        <v>1087</v>
      </c>
      <c r="S464" s="2"/>
      <c r="U464" s="2" t="s">
        <v>1088</v>
      </c>
      <c r="V464">
        <f ca="1" t="shared" si="13"/>
        <v>6.2</v>
      </c>
      <c r="AC464" s="2"/>
      <c r="AD464" t="str">
        <f>IFERROR(__xludf.DUMMYFUNCTION("""COMPUTED_VALUE"""),"Charlie's Angels ")</f>
        <v>Charlie's Angels </v>
      </c>
      <c r="AE464">
        <f t="shared" si="14"/>
        <v>125305451</v>
      </c>
    </row>
    <row r="465" customHeight="1" spans="1:31">
      <c r="A465" s="2" t="s">
        <v>836</v>
      </c>
      <c r="B465" s="2">
        <v>118</v>
      </c>
      <c r="C465" s="2">
        <v>37899638</v>
      </c>
      <c r="D465" s="2" t="s">
        <v>1089</v>
      </c>
      <c r="E465" s="2" t="s">
        <v>12</v>
      </c>
      <c r="F465" t="s">
        <v>13</v>
      </c>
      <c r="G465" t="s">
        <v>23</v>
      </c>
      <c r="H465" t="s">
        <v>24</v>
      </c>
      <c r="N465" s="2" t="s">
        <v>18</v>
      </c>
      <c r="O465" s="2" t="s">
        <v>19</v>
      </c>
      <c r="P465" s="2">
        <v>88000000</v>
      </c>
      <c r="Q465" s="2">
        <v>5.9</v>
      </c>
      <c r="R465" s="2" t="s">
        <v>1090</v>
      </c>
      <c r="S465" s="2"/>
      <c r="U465" s="2" t="s">
        <v>1091</v>
      </c>
      <c r="V465">
        <f ca="1" t="shared" si="13"/>
        <v>6.4</v>
      </c>
      <c r="AC465" s="2"/>
      <c r="AD465" t="str">
        <f>IFERROR(__xludf.DUMMYFUNCTION("""COMPUTED_VALUE"""),"The Departed ")</f>
        <v>The Departed </v>
      </c>
      <c r="AE465">
        <f t="shared" si="14"/>
        <v>132373291</v>
      </c>
    </row>
    <row r="466" customHeight="1" spans="1:31">
      <c r="A466" s="2" t="s">
        <v>117</v>
      </c>
      <c r="B466" s="2">
        <v>106</v>
      </c>
      <c r="C466" s="2">
        <v>37754208</v>
      </c>
      <c r="D466" s="2" t="s">
        <v>703</v>
      </c>
      <c r="E466" s="2" t="s">
        <v>12</v>
      </c>
      <c r="F466" t="s">
        <v>35</v>
      </c>
      <c r="G466" t="s">
        <v>30</v>
      </c>
      <c r="H466" t="s">
        <v>40</v>
      </c>
      <c r="N466" s="2" t="s">
        <v>18</v>
      </c>
      <c r="O466" s="2" t="s">
        <v>19</v>
      </c>
      <c r="P466" s="2">
        <v>70000000</v>
      </c>
      <c r="Q466" s="2">
        <v>6.3</v>
      </c>
      <c r="R466" s="2" t="s">
        <v>1092</v>
      </c>
      <c r="S466" s="2"/>
      <c r="U466" s="2" t="s">
        <v>1093</v>
      </c>
      <c r="V466">
        <f ca="1" t="shared" si="13"/>
        <v>6.3</v>
      </c>
      <c r="AC466" s="2"/>
      <c r="AD466" t="str">
        <f>IFERROR(__xludf.DUMMYFUNCTION("""COMPUTED_VALUE"""),"Mulan ")</f>
        <v>Mulan </v>
      </c>
      <c r="AE466">
        <f t="shared" si="14"/>
        <v>120618315</v>
      </c>
    </row>
    <row r="467" customHeight="1" spans="1:31">
      <c r="A467" s="2" t="s">
        <v>255</v>
      </c>
      <c r="B467" s="2">
        <v>89</v>
      </c>
      <c r="C467" s="2">
        <v>38542418</v>
      </c>
      <c r="D467" s="2" t="s">
        <v>1094</v>
      </c>
      <c r="E467" s="2" t="s">
        <v>12</v>
      </c>
      <c r="F467" t="s">
        <v>16</v>
      </c>
      <c r="G467" t="s">
        <v>17</v>
      </c>
      <c r="H467" t="s">
        <v>55</v>
      </c>
      <c r="N467" s="2" t="s">
        <v>18</v>
      </c>
      <c r="O467" s="2" t="s">
        <v>19</v>
      </c>
      <c r="P467" s="2">
        <v>80000000</v>
      </c>
      <c r="Q467" s="2">
        <v>6.3</v>
      </c>
      <c r="R467" s="2" t="s">
        <v>1095</v>
      </c>
      <c r="S467" s="2"/>
      <c r="U467" s="2" t="s">
        <v>1096</v>
      </c>
      <c r="V467">
        <f ca="1" t="shared" si="13"/>
        <v>6.52</v>
      </c>
      <c r="AC467" s="2"/>
      <c r="AD467" t="str">
        <f>IFERROR(__xludf.DUMMYFUNCTION("""COMPUTED_VALUE"""),"Tropic Thunder ")</f>
        <v>Tropic Thunder </v>
      </c>
      <c r="AE467">
        <f t="shared" si="14"/>
        <v>110416581</v>
      </c>
    </row>
    <row r="468" customHeight="1" spans="1:31">
      <c r="A468" s="2" t="s">
        <v>543</v>
      </c>
      <c r="B468" s="2">
        <v>145</v>
      </c>
      <c r="C468" s="2">
        <v>34566746</v>
      </c>
      <c r="D468" s="2" t="s">
        <v>1097</v>
      </c>
      <c r="E468" s="2" t="s">
        <v>30</v>
      </c>
      <c r="F468" t="s">
        <v>13</v>
      </c>
      <c r="G468" t="s">
        <v>17</v>
      </c>
      <c r="H468" t="s">
        <v>24</v>
      </c>
      <c r="N468" s="2" t="s">
        <v>18</v>
      </c>
      <c r="O468" s="2" t="s">
        <v>19</v>
      </c>
      <c r="P468" s="2">
        <v>80000000</v>
      </c>
      <c r="Q468" s="2">
        <v>7.3</v>
      </c>
      <c r="R468" s="2" t="s">
        <v>1098</v>
      </c>
      <c r="S468" s="2"/>
      <c r="U468" s="2" t="s">
        <v>1099</v>
      </c>
      <c r="V468">
        <f ca="1" t="shared" si="13"/>
        <v>6.1</v>
      </c>
      <c r="AC468" s="2"/>
      <c r="AD468" t="str">
        <f>IFERROR(__xludf.DUMMYFUNCTION("""COMPUTED_VALUE"""),"The Girl with the Dragon Tattoo ")</f>
        <v>The Girl with the Dragon Tattoo </v>
      </c>
      <c r="AE468">
        <f t="shared" si="14"/>
        <v>102515635</v>
      </c>
    </row>
    <row r="469" customHeight="1" spans="1:31">
      <c r="A469" s="2" t="s">
        <v>207</v>
      </c>
      <c r="B469" s="2">
        <v>114</v>
      </c>
      <c r="C469" s="2">
        <v>32885565</v>
      </c>
      <c r="D469" s="2" t="s">
        <v>276</v>
      </c>
      <c r="E469" s="2" t="s">
        <v>12</v>
      </c>
      <c r="F469" t="s">
        <v>13</v>
      </c>
      <c r="G469" t="s">
        <v>14</v>
      </c>
      <c r="H469" t="s">
        <v>24</v>
      </c>
      <c r="N469" s="2" t="s">
        <v>18</v>
      </c>
      <c r="O469" s="2" t="s">
        <v>19</v>
      </c>
      <c r="P469" s="2">
        <v>80000000</v>
      </c>
      <c r="Q469" s="2">
        <v>5.8</v>
      </c>
      <c r="R469" s="2" t="s">
        <v>1100</v>
      </c>
      <c r="S469" s="2"/>
      <c r="U469" s="2" t="s">
        <v>1101</v>
      </c>
      <c r="V469">
        <f ca="1" t="shared" si="13"/>
        <v>7.8</v>
      </c>
      <c r="AC469" s="2"/>
      <c r="AD469" t="str">
        <f>IFERROR(__xludf.DUMMYFUNCTION("""COMPUTED_VALUE"""),"Die Hard with a Vengeance ")</f>
        <v>Die Hard with a Vengeance </v>
      </c>
      <c r="AE469">
        <f t="shared" si="14"/>
        <v>100012372</v>
      </c>
    </row>
    <row r="470" customHeight="1" spans="1:31">
      <c r="A470" s="2" t="s">
        <v>839</v>
      </c>
      <c r="B470" s="2">
        <v>87</v>
      </c>
      <c r="C470" s="2">
        <v>36073232</v>
      </c>
      <c r="D470" s="2" t="s">
        <v>1102</v>
      </c>
      <c r="E470" s="2" t="s">
        <v>13</v>
      </c>
      <c r="F470" t="s">
        <v>40</v>
      </c>
      <c r="G470" t="s">
        <v>30</v>
      </c>
      <c r="H470" t="s">
        <v>55</v>
      </c>
      <c r="N470" s="2" t="s">
        <v>18</v>
      </c>
      <c r="O470" s="2" t="s">
        <v>19</v>
      </c>
      <c r="P470" s="2">
        <v>80000000</v>
      </c>
      <c r="Q470" s="2">
        <v>5.2</v>
      </c>
      <c r="R470" s="2" t="s">
        <v>1103</v>
      </c>
      <c r="S470" s="2"/>
      <c r="U470" s="2" t="s">
        <v>1104</v>
      </c>
      <c r="V470">
        <f ca="1" t="shared" si="13"/>
        <v>6.63333333333333</v>
      </c>
      <c r="AC470" s="2"/>
      <c r="AD470" t="str">
        <f>IFERROR(__xludf.DUMMYFUNCTION("""COMPUTED_VALUE"""),"Sherlock Holmes ")</f>
        <v>Sherlock Holmes </v>
      </c>
      <c r="AE470">
        <f t="shared" si="14"/>
        <v>209019361</v>
      </c>
    </row>
    <row r="471" customHeight="1" spans="1:31">
      <c r="A471" s="2" t="s">
        <v>842</v>
      </c>
      <c r="B471" s="2">
        <v>119</v>
      </c>
      <c r="C471" s="2">
        <v>21471685</v>
      </c>
      <c r="D471" s="2" t="s">
        <v>38</v>
      </c>
      <c r="E471" s="2" t="s">
        <v>12</v>
      </c>
      <c r="F471" t="s">
        <v>13</v>
      </c>
      <c r="G471" t="s">
        <v>35</v>
      </c>
      <c r="H471" t="s">
        <v>30</v>
      </c>
      <c r="N471" s="2" t="s">
        <v>18</v>
      </c>
      <c r="O471" s="2" t="s">
        <v>19</v>
      </c>
      <c r="P471" s="2">
        <v>44000000</v>
      </c>
      <c r="Q471" s="2">
        <v>2.4</v>
      </c>
      <c r="R471" s="2" t="s">
        <v>1105</v>
      </c>
      <c r="S471" s="2"/>
      <c r="U471" s="2" t="s">
        <v>1106</v>
      </c>
      <c r="V471">
        <f ca="1" t="shared" si="13"/>
        <v>5.3</v>
      </c>
      <c r="AC471" s="2"/>
      <c r="AD471" t="str">
        <f>IFERROR(__xludf.DUMMYFUNCTION("""COMPUTED_VALUE"""),"Atlantis: The Lost Empire ")</f>
        <v>Atlantis: The Lost Empire </v>
      </c>
      <c r="AE471">
        <f t="shared" si="14"/>
        <v>84036944</v>
      </c>
    </row>
    <row r="472" customHeight="1" spans="1:31">
      <c r="A472" s="2" t="s">
        <v>845</v>
      </c>
      <c r="B472" s="2">
        <v>91</v>
      </c>
      <c r="C472" s="2">
        <v>20950820</v>
      </c>
      <c r="D472" s="2" t="s">
        <v>442</v>
      </c>
      <c r="E472" s="2" t="s">
        <v>13</v>
      </c>
      <c r="F472" t="s">
        <v>15</v>
      </c>
      <c r="G472" t="s">
        <v>56</v>
      </c>
      <c r="H472" t="s">
        <v>30</v>
      </c>
      <c r="N472" s="2" t="s">
        <v>18</v>
      </c>
      <c r="O472" s="2" t="s">
        <v>293</v>
      </c>
      <c r="P472" s="2">
        <v>80000000</v>
      </c>
      <c r="Q472" s="2">
        <v>5.7</v>
      </c>
      <c r="R472" s="2" t="s">
        <v>1107</v>
      </c>
      <c r="S472" s="2"/>
      <c r="U472" s="2" t="s">
        <v>1108</v>
      </c>
      <c r="V472">
        <f ca="1" t="shared" si="13"/>
        <v>6.475</v>
      </c>
      <c r="AC472" s="2"/>
      <c r="AD472" t="str">
        <f>IFERROR(__xludf.DUMMYFUNCTION("""COMPUTED_VALUE"""),"Alvin and the Chipmunks: The Road Chip ")</f>
        <v>Alvin and the Chipmunks: The Road Chip </v>
      </c>
      <c r="AE472">
        <f t="shared" si="14"/>
        <v>85884723</v>
      </c>
    </row>
    <row r="473" customHeight="1" spans="1:31">
      <c r="A473" s="2" t="s">
        <v>82</v>
      </c>
      <c r="B473" s="2">
        <v>118</v>
      </c>
      <c r="C473" s="2">
        <v>19673424</v>
      </c>
      <c r="D473" s="2" t="s">
        <v>1109</v>
      </c>
      <c r="E473" s="2" t="s">
        <v>30</v>
      </c>
      <c r="F473" t="s">
        <v>35</v>
      </c>
      <c r="G473" t="s">
        <v>15</v>
      </c>
      <c r="H473" t="s">
        <v>24</v>
      </c>
      <c r="N473" s="2" t="s">
        <v>18</v>
      </c>
      <c r="O473" s="2" t="s">
        <v>19</v>
      </c>
      <c r="P473" s="2">
        <v>80000000</v>
      </c>
      <c r="Q473" s="2">
        <v>5.8</v>
      </c>
      <c r="R473" s="2" t="s">
        <v>1110</v>
      </c>
      <c r="S473" s="2"/>
      <c r="U473" s="2" t="s">
        <v>1111</v>
      </c>
      <c r="V473">
        <f ca="1" t="shared" si="13"/>
        <v>5.975</v>
      </c>
      <c r="AC473" s="2"/>
      <c r="AD473" t="str">
        <f>IFERROR(__xludf.DUMMYFUNCTION("""COMPUTED_VALUE"""),"Valkyrie ")</f>
        <v>Valkyrie </v>
      </c>
      <c r="AE473">
        <f t="shared" si="14"/>
        <v>83077349</v>
      </c>
    </row>
    <row r="474" customHeight="1" spans="1:31">
      <c r="A474" s="2" t="s">
        <v>399</v>
      </c>
      <c r="B474" s="2">
        <v>116</v>
      </c>
      <c r="C474" s="2">
        <v>19480739</v>
      </c>
      <c r="D474" s="2" t="s">
        <v>38</v>
      </c>
      <c r="E474" s="2" t="s">
        <v>12</v>
      </c>
      <c r="F474" t="s">
        <v>30</v>
      </c>
      <c r="G474" t="s">
        <v>14</v>
      </c>
      <c r="H474" t="s">
        <v>28</v>
      </c>
      <c r="N474" s="2" t="s">
        <v>18</v>
      </c>
      <c r="O474" s="2" t="s">
        <v>19</v>
      </c>
      <c r="P474" s="2">
        <v>80000000</v>
      </c>
      <c r="Q474" s="2">
        <v>5.6</v>
      </c>
      <c r="R474" s="2" t="s">
        <v>1112</v>
      </c>
      <c r="S474" s="2"/>
      <c r="U474" s="2" t="s">
        <v>1113</v>
      </c>
      <c r="V474">
        <f ca="1" t="shared" si="13"/>
        <v>6.4</v>
      </c>
      <c r="AC474" s="2"/>
      <c r="AD474" t="str">
        <f>IFERROR(__xludf.DUMMYFUNCTION("""COMPUTED_VALUE"""),"You Don't Mess with the Zohan ")</f>
        <v>You Don't Mess with the Zohan </v>
      </c>
      <c r="AE474">
        <f t="shared" si="14"/>
        <v>100018724</v>
      </c>
    </row>
    <row r="475" customHeight="1" spans="1:31">
      <c r="A475" s="2" t="s">
        <v>849</v>
      </c>
      <c r="B475" s="2">
        <v>177</v>
      </c>
      <c r="C475" s="2">
        <v>17593391</v>
      </c>
      <c r="D475" s="2" t="s">
        <v>234</v>
      </c>
      <c r="E475" s="2" t="s">
        <v>12</v>
      </c>
      <c r="F475" t="s">
        <v>13</v>
      </c>
      <c r="G475" t="s">
        <v>30</v>
      </c>
      <c r="H475" t="s">
        <v>56</v>
      </c>
      <c r="N475" s="2" t="s">
        <v>18</v>
      </c>
      <c r="O475" s="2" t="s">
        <v>19</v>
      </c>
      <c r="P475" s="2">
        <v>80000000</v>
      </c>
      <c r="Q475" s="2">
        <v>6</v>
      </c>
      <c r="R475" s="2" t="s">
        <v>1114</v>
      </c>
      <c r="S475" s="2"/>
      <c r="U475" s="2" t="s">
        <v>1115</v>
      </c>
      <c r="V475">
        <f ca="1" t="shared" si="13"/>
        <v>6.15</v>
      </c>
      <c r="AC475" s="2"/>
      <c r="AD475" t="str">
        <f>IFERROR(__xludf.DUMMYFUNCTION("""COMPUTED_VALUE"""),"Pixels ")</f>
        <v>Pixels </v>
      </c>
      <c r="AE475">
        <f t="shared" si="14"/>
        <v>78747479</v>
      </c>
    </row>
    <row r="476" customHeight="1" spans="1:31">
      <c r="A476" s="2" t="s">
        <v>325</v>
      </c>
      <c r="B476" s="2">
        <v>97</v>
      </c>
      <c r="C476" s="2">
        <v>18318000</v>
      </c>
      <c r="D476" s="2" t="s">
        <v>943</v>
      </c>
      <c r="E476" s="2" t="s">
        <v>13</v>
      </c>
      <c r="F476" t="s">
        <v>13</v>
      </c>
      <c r="G476" t="s">
        <v>15</v>
      </c>
      <c r="H476" t="s">
        <v>15</v>
      </c>
      <c r="N476" s="2" t="s">
        <v>18</v>
      </c>
      <c r="O476" s="2" t="s">
        <v>159</v>
      </c>
      <c r="P476" s="2">
        <v>80000000</v>
      </c>
      <c r="Q476" s="2">
        <v>5.8</v>
      </c>
      <c r="R476" s="2" t="s">
        <v>1116</v>
      </c>
      <c r="S476" s="2"/>
      <c r="U476" s="2" t="s">
        <v>1117</v>
      </c>
      <c r="V476">
        <f ca="1" t="shared" si="13"/>
        <v>6.475</v>
      </c>
      <c r="AC476" s="2"/>
      <c r="AD476" t="str">
        <f>IFERROR(__xludf.DUMMYFUNCTION("""COMPUTED_VALUE"""),"A.I. Artificial Intelligence ")</f>
        <v>A.I. Artificial Intelligence </v>
      </c>
      <c r="AE476">
        <f t="shared" si="14"/>
        <v>78616543</v>
      </c>
    </row>
    <row r="477" customHeight="1" spans="1:31">
      <c r="A477" s="2" t="s">
        <v>405</v>
      </c>
      <c r="B477" s="2">
        <v>106</v>
      </c>
      <c r="C477" s="2">
        <v>27356090</v>
      </c>
      <c r="D477" s="2" t="s">
        <v>22</v>
      </c>
      <c r="E477" s="2" t="s">
        <v>12</v>
      </c>
      <c r="F477" t="s">
        <v>30</v>
      </c>
      <c r="G477" t="s">
        <v>40</v>
      </c>
      <c r="H477" t="s">
        <v>24</v>
      </c>
      <c r="N477" s="2" t="s">
        <v>18</v>
      </c>
      <c r="O477" s="2" t="s">
        <v>19</v>
      </c>
      <c r="P477" s="2">
        <v>90000000</v>
      </c>
      <c r="Q477" s="2">
        <v>6</v>
      </c>
      <c r="R477" s="2" t="s">
        <v>1118</v>
      </c>
      <c r="S477" s="2"/>
      <c r="U477" s="2" t="s">
        <v>1119</v>
      </c>
      <c r="V477">
        <f ca="1" t="shared" si="13"/>
        <v>6.05</v>
      </c>
      <c r="AC477" s="2"/>
      <c r="AD477" t="str">
        <f>IFERROR(__xludf.DUMMYFUNCTION("""COMPUTED_VALUE"""),"The Haunted Mansion ")</f>
        <v>The Haunted Mansion </v>
      </c>
      <c r="AE477">
        <f t="shared" si="14"/>
        <v>75817906</v>
      </c>
    </row>
    <row r="478" customHeight="1" spans="1:31">
      <c r="A478" s="2" t="s">
        <v>851</v>
      </c>
      <c r="B478" s="2">
        <v>106</v>
      </c>
      <c r="C478" s="2">
        <v>17473245</v>
      </c>
      <c r="D478" s="2" t="s">
        <v>1094</v>
      </c>
      <c r="E478" s="2" t="s">
        <v>12</v>
      </c>
      <c r="F478" t="s">
        <v>35</v>
      </c>
      <c r="G478" t="s">
        <v>24</v>
      </c>
      <c r="H478" t="s">
        <v>30</v>
      </c>
      <c r="N478" s="2" t="s">
        <v>18</v>
      </c>
      <c r="O478" s="2" t="s">
        <v>19</v>
      </c>
      <c r="P478" s="2">
        <v>70000000</v>
      </c>
      <c r="Q478" s="2">
        <v>5.7</v>
      </c>
      <c r="R478" s="2" t="s">
        <v>1120</v>
      </c>
      <c r="S478" s="2"/>
      <c r="U478" s="2" t="s">
        <v>1121</v>
      </c>
      <c r="V478">
        <f ca="1" t="shared" si="13"/>
        <v>6.6</v>
      </c>
      <c r="AC478" s="2"/>
      <c r="AD478" t="str">
        <f>IFERROR(__xludf.DUMMYFUNCTION("""COMPUTED_VALUE"""),"Contact ")</f>
        <v>Contact </v>
      </c>
      <c r="AE478">
        <f t="shared" si="14"/>
        <v>100853685</v>
      </c>
    </row>
    <row r="479" customHeight="1" spans="1:31">
      <c r="A479" s="2" t="s">
        <v>685</v>
      </c>
      <c r="B479" s="2">
        <v>94</v>
      </c>
      <c r="C479" s="2">
        <v>15131330</v>
      </c>
      <c r="D479" s="2" t="s">
        <v>250</v>
      </c>
      <c r="E479" s="2" t="s">
        <v>13</v>
      </c>
      <c r="F479" t="s">
        <v>13</v>
      </c>
      <c r="G479" t="s">
        <v>15</v>
      </c>
      <c r="H479" t="s">
        <v>71</v>
      </c>
      <c r="N479" s="2" t="s">
        <v>18</v>
      </c>
      <c r="O479" s="2" t="s">
        <v>707</v>
      </c>
      <c r="P479" s="2">
        <v>86000000</v>
      </c>
      <c r="Q479" s="2">
        <v>6</v>
      </c>
      <c r="R479" s="2" t="s">
        <v>1122</v>
      </c>
      <c r="S479" s="2"/>
      <c r="U479" s="2" t="s">
        <v>1123</v>
      </c>
      <c r="V479">
        <f ca="1" t="shared" si="13"/>
        <v>6.7</v>
      </c>
      <c r="AC479" s="2"/>
      <c r="AD479" t="str">
        <f>IFERROR(__xludf.DUMMYFUNCTION("""COMPUTED_VALUE"""),"Hollow Man ")</f>
        <v>Hollow Man </v>
      </c>
      <c r="AE479">
        <f t="shared" si="14"/>
        <v>73209221</v>
      </c>
    </row>
    <row r="480" customHeight="1" spans="1:31">
      <c r="A480" s="2" t="s">
        <v>854</v>
      </c>
      <c r="B480" s="2">
        <v>104</v>
      </c>
      <c r="C480" s="2">
        <v>19406406</v>
      </c>
      <c r="D480" s="2" t="s">
        <v>1124</v>
      </c>
      <c r="E480" s="2" t="s">
        <v>65</v>
      </c>
      <c r="F480" t="s">
        <v>40</v>
      </c>
      <c r="G480" t="s">
        <v>40</v>
      </c>
      <c r="H480" t="s">
        <v>24</v>
      </c>
      <c r="N480" s="2" t="s">
        <v>1125</v>
      </c>
      <c r="O480" s="2" t="s">
        <v>707</v>
      </c>
      <c r="P480" s="2">
        <v>40000000</v>
      </c>
      <c r="Q480" s="2">
        <v>7.8</v>
      </c>
      <c r="R480" s="2" t="s">
        <v>1126</v>
      </c>
      <c r="S480" s="2"/>
      <c r="U480" s="2" t="s">
        <v>1127</v>
      </c>
      <c r="V480">
        <f ca="1" t="shared" si="13"/>
        <v>6.9</v>
      </c>
      <c r="AC480" s="2"/>
      <c r="AD480" t="str">
        <f>IFERROR(__xludf.DUMMYFUNCTION("""COMPUTED_VALUE"""),"The Interpreter ")</f>
        <v>The Interpreter </v>
      </c>
      <c r="AE480">
        <f t="shared" si="14"/>
        <v>72515232</v>
      </c>
    </row>
    <row r="481" customHeight="1" spans="1:31">
      <c r="A481" s="2" t="s">
        <v>648</v>
      </c>
      <c r="B481" s="2">
        <v>102</v>
      </c>
      <c r="C481" s="2">
        <v>1891821</v>
      </c>
      <c r="D481" s="2" t="s">
        <v>152</v>
      </c>
      <c r="E481" s="2" t="s">
        <v>12</v>
      </c>
      <c r="F481" t="s">
        <v>30</v>
      </c>
      <c r="G481" t="s">
        <v>40</v>
      </c>
      <c r="H481" t="s">
        <v>83</v>
      </c>
      <c r="N481" s="2" t="s">
        <v>18</v>
      </c>
      <c r="O481" s="2" t="s">
        <v>31</v>
      </c>
      <c r="P481" s="2">
        <v>52000000</v>
      </c>
      <c r="Q481" s="2">
        <v>4.2</v>
      </c>
      <c r="R481" s="2" t="s">
        <v>1128</v>
      </c>
      <c r="S481" s="2"/>
      <c r="U481" s="2" t="s">
        <v>1129</v>
      </c>
      <c r="V481">
        <f ca="1" t="shared" si="13"/>
        <v>5.86</v>
      </c>
      <c r="AC481" s="2"/>
      <c r="AD481" t="str">
        <f>IFERROR(__xludf.DUMMYFUNCTION("""COMPUTED_VALUE"""),"Percy Jackson: Sea of Monsters ")</f>
        <v>Percy Jackson: Sea of Monsters </v>
      </c>
      <c r="AE481">
        <f t="shared" si="14"/>
        <v>68558556</v>
      </c>
    </row>
    <row r="482" customHeight="1" spans="1:31">
      <c r="A482" s="2" t="s">
        <v>750</v>
      </c>
      <c r="B482" s="2">
        <v>105</v>
      </c>
      <c r="C482" s="2">
        <v>23219748</v>
      </c>
      <c r="D482" s="2" t="s">
        <v>1130</v>
      </c>
      <c r="E482" s="2" t="s">
        <v>12</v>
      </c>
      <c r="F482" t="s">
        <v>13</v>
      </c>
      <c r="G482" t="s">
        <v>24</v>
      </c>
      <c r="H482" t="s">
        <v>23</v>
      </c>
      <c r="N482" s="2" t="s">
        <v>18</v>
      </c>
      <c r="O482" s="2" t="s">
        <v>121</v>
      </c>
      <c r="P482" s="2">
        <v>80000000</v>
      </c>
      <c r="Q482" s="2">
        <v>5.6</v>
      </c>
      <c r="R482" s="2" t="s">
        <v>1131</v>
      </c>
      <c r="S482" s="2"/>
      <c r="U482" s="2" t="s">
        <v>1132</v>
      </c>
      <c r="V482">
        <f ca="1" t="shared" si="13"/>
        <v>6.83333333333333</v>
      </c>
      <c r="AC482" s="2"/>
      <c r="AD482" t="str">
        <f>IFERROR(__xludf.DUMMYFUNCTION("""COMPUTED_VALUE"""),"Lara Croft Tomb Raider: The Cradle of Life ")</f>
        <v>Lara Croft Tomb Raider: The Cradle of Life </v>
      </c>
      <c r="AE482">
        <f t="shared" si="14"/>
        <v>65653641</v>
      </c>
    </row>
    <row r="483" customHeight="1" spans="1:31">
      <c r="A483" s="2" t="s">
        <v>327</v>
      </c>
      <c r="B483" s="2">
        <v>135</v>
      </c>
      <c r="C483" s="2">
        <v>170708996</v>
      </c>
      <c r="D483" s="2" t="s">
        <v>562</v>
      </c>
      <c r="E483" s="2" t="s">
        <v>59</v>
      </c>
      <c r="F483" t="s">
        <v>56</v>
      </c>
      <c r="G483" t="s">
        <v>39</v>
      </c>
      <c r="H483" t="s">
        <v>24</v>
      </c>
      <c r="N483" s="2" t="s">
        <v>18</v>
      </c>
      <c r="O483" s="2" t="s">
        <v>19</v>
      </c>
      <c r="P483" s="2">
        <v>58000000</v>
      </c>
      <c r="Q483" s="2">
        <v>8.2</v>
      </c>
      <c r="R483" s="2" t="s">
        <v>1133</v>
      </c>
      <c r="S483" s="2"/>
      <c r="U483" s="2" t="s">
        <v>1134</v>
      </c>
      <c r="V483">
        <f ca="1" t="shared" si="13"/>
        <v>6</v>
      </c>
      <c r="AC483" s="2"/>
      <c r="AD483" t="str">
        <f>IFERROR(__xludf.DUMMYFUNCTION("""COMPUTED_VALUE"""),"Now You See Me 2 ")</f>
        <v>Now You See Me 2 </v>
      </c>
      <c r="AE483">
        <f t="shared" si="14"/>
        <v>64685230</v>
      </c>
    </row>
    <row r="484" customHeight="1" spans="1:31">
      <c r="A484" s="2" t="s">
        <v>760</v>
      </c>
      <c r="B484" s="2">
        <v>73</v>
      </c>
      <c r="C484" s="2">
        <v>422783777</v>
      </c>
      <c r="D484" s="2" t="s">
        <v>1135</v>
      </c>
      <c r="E484" s="2" t="s">
        <v>13</v>
      </c>
      <c r="F484" t="s">
        <v>35</v>
      </c>
      <c r="G484" t="s">
        <v>14</v>
      </c>
      <c r="H484" t="s">
        <v>15</v>
      </c>
      <c r="N484" s="2" t="s">
        <v>18</v>
      </c>
      <c r="O484" s="2" t="s">
        <v>19</v>
      </c>
      <c r="P484" s="2">
        <v>45000000</v>
      </c>
      <c r="Q484" s="2">
        <v>8.5</v>
      </c>
      <c r="R484" s="2" t="s">
        <v>1136</v>
      </c>
      <c r="S484" s="2"/>
      <c r="U484" s="2" t="s">
        <v>1137</v>
      </c>
      <c r="V484">
        <f ca="1" t="shared" si="13"/>
        <v>5.75</v>
      </c>
      <c r="AC484" s="2"/>
      <c r="AD484" t="str">
        <f>IFERROR(__xludf.DUMMYFUNCTION("""COMPUTED_VALUE"""),"The Saint ")</f>
        <v>The Saint </v>
      </c>
      <c r="AE484">
        <f t="shared" si="14"/>
        <v>61355320</v>
      </c>
    </row>
    <row r="485" customHeight="1" spans="1:31">
      <c r="A485" s="2" t="s">
        <v>551</v>
      </c>
      <c r="B485" s="2">
        <v>94</v>
      </c>
      <c r="C485" s="2">
        <v>103812241</v>
      </c>
      <c r="D485" s="2" t="s">
        <v>86</v>
      </c>
      <c r="E485" s="2" t="s">
        <v>12</v>
      </c>
      <c r="F485" t="s">
        <v>24</v>
      </c>
      <c r="G485" t="s">
        <v>55</v>
      </c>
      <c r="H485" t="s">
        <v>24</v>
      </c>
      <c r="N485" s="2" t="s">
        <v>18</v>
      </c>
      <c r="O485" s="2" t="s">
        <v>19</v>
      </c>
      <c r="P485" s="2">
        <v>79000000</v>
      </c>
      <c r="Q485" s="2">
        <v>5.8</v>
      </c>
      <c r="R485" s="2" t="s">
        <v>1138</v>
      </c>
      <c r="S485" s="2"/>
      <c r="U485" s="2" t="s">
        <v>1139</v>
      </c>
      <c r="V485">
        <f ca="1" t="shared" si="13"/>
        <v>6.63333333333333</v>
      </c>
      <c r="AC485" s="2"/>
      <c r="AD485" t="str">
        <f>IFERROR(__xludf.DUMMYFUNCTION("""COMPUTED_VALUE"""),"Spy Game ")</f>
        <v>Spy Game </v>
      </c>
      <c r="AE485">
        <f t="shared" si="14"/>
        <v>26757</v>
      </c>
    </row>
    <row r="486" customHeight="1" spans="1:31">
      <c r="A486" s="2" t="s">
        <v>857</v>
      </c>
      <c r="B486" s="2">
        <v>95</v>
      </c>
      <c r="C486" s="2">
        <v>119793567</v>
      </c>
      <c r="D486" s="2" t="s">
        <v>1140</v>
      </c>
      <c r="E486" s="2" t="s">
        <v>35</v>
      </c>
      <c r="F486" t="s">
        <v>35</v>
      </c>
      <c r="G486" t="s">
        <v>29</v>
      </c>
      <c r="H486" t="s">
        <v>24</v>
      </c>
      <c r="N486" s="2" t="s">
        <v>18</v>
      </c>
      <c r="O486" s="2" t="s">
        <v>19</v>
      </c>
      <c r="P486" s="2">
        <v>78000000</v>
      </c>
      <c r="Q486" s="2">
        <v>6.5</v>
      </c>
      <c r="R486" s="2" t="s">
        <v>1141</v>
      </c>
      <c r="S486" s="2"/>
      <c r="U486" s="2" t="s">
        <v>1142</v>
      </c>
      <c r="V486">
        <f ca="1" t="shared" si="13"/>
        <v>6.175</v>
      </c>
      <c r="AC486" s="2"/>
      <c r="AD486" t="str">
        <f>IFERROR(__xludf.DUMMYFUNCTION("""COMPUTED_VALUE"""),"Mission to Mars ")</f>
        <v>Mission to Mars </v>
      </c>
      <c r="AE486">
        <f t="shared" si="14"/>
        <v>60874501</v>
      </c>
    </row>
    <row r="487" customHeight="1" spans="1:31">
      <c r="A487" s="2" t="s">
        <v>119</v>
      </c>
      <c r="B487" s="2">
        <v>124</v>
      </c>
      <c r="C487" s="2">
        <v>92930005</v>
      </c>
      <c r="D487" s="2" t="s">
        <v>805</v>
      </c>
      <c r="E487" s="2" t="s">
        <v>56</v>
      </c>
      <c r="F487" t="s">
        <v>40</v>
      </c>
      <c r="G487" t="s">
        <v>40</v>
      </c>
      <c r="H487" t="s">
        <v>24</v>
      </c>
      <c r="N487" s="2" t="s">
        <v>18</v>
      </c>
      <c r="O487" s="2" t="s">
        <v>293</v>
      </c>
      <c r="P487" s="2">
        <v>78000000</v>
      </c>
      <c r="Q487" s="2">
        <v>7.2</v>
      </c>
      <c r="R487" s="2" t="s">
        <v>1143</v>
      </c>
      <c r="S487" s="2"/>
      <c r="U487" s="2" t="s">
        <v>1144</v>
      </c>
      <c r="V487">
        <f ca="1" t="shared" si="13"/>
        <v>5.78</v>
      </c>
      <c r="AC487" s="2"/>
      <c r="AD487" t="str">
        <f>IFERROR(__xludf.DUMMYFUNCTION("""COMPUTED_VALUE"""),"Rio ")</f>
        <v>Rio </v>
      </c>
      <c r="AE487">
        <f t="shared" si="14"/>
        <v>143618288</v>
      </c>
    </row>
    <row r="488" customHeight="1" spans="1:31">
      <c r="A488" s="2" t="s">
        <v>345</v>
      </c>
      <c r="B488" s="2">
        <v>136</v>
      </c>
      <c r="C488" s="2">
        <v>67286731</v>
      </c>
      <c r="D488" s="2" t="s">
        <v>75</v>
      </c>
      <c r="E488" s="2" t="s">
        <v>12</v>
      </c>
      <c r="F488" t="s">
        <v>13</v>
      </c>
      <c r="G488" t="s">
        <v>39</v>
      </c>
      <c r="H488" t="s">
        <v>17</v>
      </c>
      <c r="N488" s="2" t="s">
        <v>18</v>
      </c>
      <c r="O488" s="2" t="s">
        <v>19</v>
      </c>
      <c r="P488" s="2">
        <v>100000000</v>
      </c>
      <c r="Q488" s="2">
        <v>6.7</v>
      </c>
      <c r="R488" s="2" t="s">
        <v>1145</v>
      </c>
      <c r="S488" s="2"/>
      <c r="U488" s="2" t="s">
        <v>1146</v>
      </c>
      <c r="V488">
        <f ca="1" t="shared" si="13"/>
        <v>6.46666666666667</v>
      </c>
      <c r="AC488" s="2"/>
      <c r="AD488" t="str">
        <f>IFERROR(__xludf.DUMMYFUNCTION("""COMPUTED_VALUE"""),"Bicentennial Man ")</f>
        <v>Bicentennial Man </v>
      </c>
      <c r="AE488">
        <f t="shared" si="14"/>
        <v>58220644</v>
      </c>
    </row>
    <row r="489" customHeight="1" spans="1:31">
      <c r="A489" s="2" t="s">
        <v>724</v>
      </c>
      <c r="B489" s="2">
        <v>91</v>
      </c>
      <c r="C489" s="2">
        <v>74158157</v>
      </c>
      <c r="D489" s="2" t="s">
        <v>40</v>
      </c>
      <c r="E489" s="2" t="s">
        <v>40</v>
      </c>
      <c r="F489" t="s">
        <v>40</v>
      </c>
      <c r="G489" t="s">
        <v>23</v>
      </c>
      <c r="H489" t="s">
        <v>14</v>
      </c>
      <c r="N489" s="2" t="s">
        <v>18</v>
      </c>
      <c r="O489" s="2" t="s">
        <v>19</v>
      </c>
      <c r="P489" s="2">
        <v>79000000</v>
      </c>
      <c r="Q489" s="2">
        <v>3.4</v>
      </c>
      <c r="R489" s="2" t="s">
        <v>1147</v>
      </c>
      <c r="S489" s="2"/>
      <c r="U489" s="2" t="s">
        <v>1148</v>
      </c>
      <c r="V489">
        <f ca="1" t="shared" si="13"/>
        <v>6.65</v>
      </c>
      <c r="AC489" s="2"/>
      <c r="AD489" t="str">
        <f>IFERROR(__xludf.DUMMYFUNCTION("""COMPUTED_VALUE"""),"Volcano ")</f>
        <v>Volcano </v>
      </c>
      <c r="AE489">
        <f t="shared" si="14"/>
        <v>47474008</v>
      </c>
    </row>
    <row r="490" customHeight="1" spans="1:31">
      <c r="A490" s="2" t="s">
        <v>859</v>
      </c>
      <c r="B490" s="2">
        <v>107</v>
      </c>
      <c r="C490" s="2">
        <v>127083765</v>
      </c>
      <c r="D490" s="2" t="s">
        <v>150</v>
      </c>
      <c r="E490" s="2" t="s">
        <v>12</v>
      </c>
      <c r="F490" t="s">
        <v>13</v>
      </c>
      <c r="G490" t="s">
        <v>17</v>
      </c>
      <c r="H490" t="s">
        <v>24</v>
      </c>
      <c r="N490" s="2" t="s">
        <v>18</v>
      </c>
      <c r="O490" s="2" t="s">
        <v>19</v>
      </c>
      <c r="P490" s="2">
        <v>76000000</v>
      </c>
      <c r="Q490" s="2">
        <v>5.9</v>
      </c>
      <c r="R490" s="2" t="s">
        <v>1149</v>
      </c>
      <c r="S490" s="2"/>
      <c r="U490" s="2" t="s">
        <v>1150</v>
      </c>
      <c r="V490">
        <f ca="1" t="shared" si="13"/>
        <v>4.9</v>
      </c>
      <c r="AC490" s="2"/>
      <c r="AD490" t="str">
        <f>IFERROR(__xludf.DUMMYFUNCTION("""COMPUTED_VALUE"""),"The Devil's Own ")</f>
        <v>The Devil's Own </v>
      </c>
      <c r="AE490">
        <f t="shared" si="14"/>
        <v>42877054</v>
      </c>
    </row>
    <row r="491" customHeight="1" spans="1:31">
      <c r="A491" s="2" t="s">
        <v>435</v>
      </c>
      <c r="B491" s="2">
        <v>108</v>
      </c>
      <c r="C491" s="2">
        <v>1339152</v>
      </c>
      <c r="D491" s="2" t="s">
        <v>1151</v>
      </c>
      <c r="E491" s="2" t="s">
        <v>13</v>
      </c>
      <c r="F491" t="s">
        <v>13</v>
      </c>
      <c r="G491" t="s">
        <v>14</v>
      </c>
      <c r="H491" t="s">
        <v>24</v>
      </c>
      <c r="N491" s="2" t="s">
        <v>18</v>
      </c>
      <c r="O491" s="2" t="s">
        <v>707</v>
      </c>
      <c r="P491" s="2">
        <v>81200000</v>
      </c>
      <c r="Q491" s="2">
        <v>7.8</v>
      </c>
      <c r="R491" s="2" t="s">
        <v>1152</v>
      </c>
      <c r="S491" s="2"/>
      <c r="U491" s="2" t="s">
        <v>1153</v>
      </c>
      <c r="V491">
        <f ca="1" t="shared" si="13"/>
        <v>6.68571428571429</v>
      </c>
      <c r="AC491" s="2"/>
      <c r="AD491" t="str">
        <f>IFERROR(__xludf.DUMMYFUNCTION("""COMPUTED_VALUE"""),"K-19: The Widowmaker ")</f>
        <v>K-19: The Widowmaker </v>
      </c>
      <c r="AE491">
        <f t="shared" si="14"/>
        <v>35168539</v>
      </c>
    </row>
    <row r="492" customHeight="1" spans="1:31">
      <c r="A492" s="2" t="s">
        <v>861</v>
      </c>
      <c r="B492" s="2">
        <v>99</v>
      </c>
      <c r="C492" s="2">
        <v>15071514</v>
      </c>
      <c r="D492" s="2" t="s">
        <v>1154</v>
      </c>
      <c r="E492" s="2" t="s">
        <v>15</v>
      </c>
      <c r="F492" t="s">
        <v>35</v>
      </c>
      <c r="G492" t="s">
        <v>24</v>
      </c>
      <c r="H492" t="s">
        <v>24</v>
      </c>
      <c r="N492" s="2" t="s">
        <v>18</v>
      </c>
      <c r="O492" s="2" t="s">
        <v>19</v>
      </c>
      <c r="P492" s="2">
        <v>80000000</v>
      </c>
      <c r="Q492" s="2">
        <v>5.9</v>
      </c>
      <c r="R492" s="2" t="s">
        <v>1155</v>
      </c>
      <c r="S492" s="2"/>
      <c r="U492" s="2" t="s">
        <v>1156</v>
      </c>
      <c r="V492">
        <f ca="1" t="shared" si="13"/>
        <v>6</v>
      </c>
      <c r="AC492" s="2"/>
      <c r="AD492" t="str">
        <f>IFERROR(__xludf.DUMMYFUNCTION("""COMPUTED_VALUE"""),"Conan the Barbarian ")</f>
        <v>Conan the Barbarian </v>
      </c>
      <c r="AE492">
        <f t="shared" si="14"/>
        <v>37567311</v>
      </c>
    </row>
    <row r="493" customHeight="1" spans="1:31">
      <c r="A493" s="2" t="s">
        <v>863</v>
      </c>
      <c r="B493" s="2">
        <v>92</v>
      </c>
      <c r="C493" s="2">
        <v>26000610</v>
      </c>
      <c r="D493" s="2" t="s">
        <v>124</v>
      </c>
      <c r="E493" s="2" t="s">
        <v>13</v>
      </c>
      <c r="F493" t="s">
        <v>15</v>
      </c>
      <c r="G493" t="s">
        <v>40</v>
      </c>
      <c r="H493" t="s">
        <v>16</v>
      </c>
      <c r="N493" s="2" t="s">
        <v>18</v>
      </c>
      <c r="O493" s="2" t="s">
        <v>19</v>
      </c>
      <c r="P493" s="2">
        <v>76000000</v>
      </c>
      <c r="Q493" s="2">
        <v>4.1</v>
      </c>
      <c r="R493" s="2" t="s">
        <v>1157</v>
      </c>
      <c r="S493" s="2"/>
      <c r="U493" s="2" t="s">
        <v>1158</v>
      </c>
      <c r="V493">
        <f ca="1" t="shared" si="13"/>
        <v>7.5</v>
      </c>
      <c r="AC493" s="2"/>
      <c r="AD493" t="str">
        <f>IFERROR(__xludf.DUMMYFUNCTION("""COMPUTED_VALUE"""),"Cinderella Man ")</f>
        <v>Cinderella Man </v>
      </c>
      <c r="AE493">
        <f t="shared" si="14"/>
        <v>61644177</v>
      </c>
    </row>
    <row r="494" customHeight="1" spans="1:31">
      <c r="A494" s="2" t="s">
        <v>865</v>
      </c>
      <c r="B494" s="2">
        <v>87</v>
      </c>
      <c r="C494" s="2">
        <v>323505540</v>
      </c>
      <c r="D494" s="2" t="s">
        <v>1159</v>
      </c>
      <c r="E494" s="2" t="s">
        <v>35</v>
      </c>
      <c r="F494" t="s">
        <v>13</v>
      </c>
      <c r="G494" t="s">
        <v>40</v>
      </c>
      <c r="H494" t="s">
        <v>24</v>
      </c>
      <c r="N494" s="2" t="s">
        <v>18</v>
      </c>
      <c r="O494" s="2" t="s">
        <v>1160</v>
      </c>
      <c r="P494" s="2">
        <v>75000000</v>
      </c>
      <c r="Q494" s="2">
        <v>6.8</v>
      </c>
      <c r="R494" s="2" t="s">
        <v>1161</v>
      </c>
      <c r="S494" s="2"/>
      <c r="U494" s="2" t="s">
        <v>1162</v>
      </c>
      <c r="V494">
        <f ca="1" t="shared" si="13"/>
        <v>6.175</v>
      </c>
      <c r="AC494" s="2"/>
      <c r="AD494" t="str">
        <f>IFERROR(__xludf.DUMMYFUNCTION("""COMPUTED_VALUE"""),"The Nutcracker in 3D ")</f>
        <v>The Nutcracker in 3D </v>
      </c>
      <c r="AE494">
        <f t="shared" si="14"/>
        <v>190452</v>
      </c>
    </row>
    <row r="495" customHeight="1" spans="1:31">
      <c r="A495" s="2" t="s">
        <v>868</v>
      </c>
      <c r="B495" s="2">
        <v>110</v>
      </c>
      <c r="C495" s="2">
        <v>66462600</v>
      </c>
      <c r="D495" s="2" t="s">
        <v>11</v>
      </c>
      <c r="E495" s="2" t="s">
        <v>12</v>
      </c>
      <c r="F495" t="s">
        <v>56</v>
      </c>
      <c r="G495" t="s">
        <v>24</v>
      </c>
      <c r="H495" t="s">
        <v>17</v>
      </c>
      <c r="N495" s="2" t="s">
        <v>18</v>
      </c>
      <c r="O495" s="2" t="s">
        <v>19</v>
      </c>
      <c r="P495" s="2">
        <v>78000000</v>
      </c>
      <c r="Q495" s="2">
        <v>5.8</v>
      </c>
      <c r="R495" s="2" t="s">
        <v>1163</v>
      </c>
      <c r="S495" s="2"/>
      <c r="U495" s="2" t="s">
        <v>1164</v>
      </c>
      <c r="V495">
        <f ca="1" t="shared" si="13"/>
        <v>6.56</v>
      </c>
      <c r="AC495" s="2"/>
      <c r="AD495" t="str">
        <f>IFERROR(__xludf.DUMMYFUNCTION("""COMPUTED_VALUE"""),"Seabiscuit ")</f>
        <v>Seabiscuit </v>
      </c>
      <c r="AE495">
        <f t="shared" si="14"/>
        <v>120147305</v>
      </c>
    </row>
    <row r="496" customHeight="1" spans="1:31">
      <c r="A496" s="2" t="s">
        <v>870</v>
      </c>
      <c r="B496" s="2">
        <v>98</v>
      </c>
      <c r="C496" s="2">
        <v>368049635</v>
      </c>
      <c r="D496" s="2" t="s">
        <v>794</v>
      </c>
      <c r="E496" s="2" t="s">
        <v>35</v>
      </c>
      <c r="F496" t="s">
        <v>13</v>
      </c>
      <c r="G496" t="s">
        <v>40</v>
      </c>
      <c r="H496" t="s">
        <v>23</v>
      </c>
      <c r="N496" s="2" t="s">
        <v>18</v>
      </c>
      <c r="O496" s="2" t="s">
        <v>19</v>
      </c>
      <c r="P496" s="2">
        <v>76000000</v>
      </c>
      <c r="Q496" s="2">
        <v>7.5</v>
      </c>
      <c r="R496" s="2" t="s">
        <v>1165</v>
      </c>
      <c r="S496" s="2"/>
      <c r="U496" s="2" t="s">
        <v>1166</v>
      </c>
      <c r="V496">
        <f ca="1" t="shared" si="13"/>
        <v>6.56</v>
      </c>
      <c r="AC496" s="2"/>
      <c r="AD496" t="str">
        <f>IFERROR(__xludf.DUMMYFUNCTION("""COMPUTED_VALUE"""),"Twister ")</f>
        <v>Twister </v>
      </c>
      <c r="AE496">
        <f t="shared" si="14"/>
        <v>241688272</v>
      </c>
    </row>
    <row r="497" customHeight="1" spans="1:31">
      <c r="A497" s="2" t="s">
        <v>176</v>
      </c>
      <c r="B497" s="2">
        <v>154</v>
      </c>
      <c r="C497" s="2">
        <v>306124059</v>
      </c>
      <c r="D497" s="2" t="s">
        <v>38</v>
      </c>
      <c r="E497" s="2" t="s">
        <v>12</v>
      </c>
      <c r="F497" t="s">
        <v>13</v>
      </c>
      <c r="G497" t="s">
        <v>29</v>
      </c>
      <c r="H497" t="s">
        <v>17</v>
      </c>
      <c r="N497" s="2" t="s">
        <v>18</v>
      </c>
      <c r="O497" s="2" t="s">
        <v>19</v>
      </c>
      <c r="P497" s="2">
        <v>75000000</v>
      </c>
      <c r="Q497" s="2">
        <v>6.9</v>
      </c>
      <c r="R497" s="2" t="s">
        <v>1167</v>
      </c>
      <c r="S497" s="2"/>
      <c r="U497" s="2" t="s">
        <v>1168</v>
      </c>
      <c r="V497">
        <f ca="1" t="shared" si="13"/>
        <v>6.65</v>
      </c>
      <c r="AC497" s="2"/>
      <c r="AD497" t="str">
        <f>IFERROR(__xludf.DUMMYFUNCTION("""COMPUTED_VALUE"""),"Cast Away ")</f>
        <v>Cast Away </v>
      </c>
      <c r="AE497">
        <f t="shared" si="14"/>
        <v>233630335</v>
      </c>
    </row>
    <row r="498" customHeight="1" spans="1:31">
      <c r="A498" s="2" t="s">
        <v>166</v>
      </c>
      <c r="B498" s="2">
        <v>129</v>
      </c>
      <c r="C498" s="2">
        <v>229074524</v>
      </c>
      <c r="D498" s="2" t="s">
        <v>38</v>
      </c>
      <c r="E498" s="2" t="s">
        <v>12</v>
      </c>
      <c r="F498" t="s">
        <v>17</v>
      </c>
      <c r="G498" t="s">
        <v>23</v>
      </c>
      <c r="H498" t="s">
        <v>39</v>
      </c>
      <c r="N498" s="2" t="s">
        <v>18</v>
      </c>
      <c r="O498" s="2" t="s">
        <v>19</v>
      </c>
      <c r="P498" s="2">
        <v>73000000</v>
      </c>
      <c r="Q498" s="2">
        <v>6.5</v>
      </c>
      <c r="R498" s="2" t="s">
        <v>1169</v>
      </c>
      <c r="S498" s="2"/>
      <c r="U498" s="2" t="s">
        <v>1170</v>
      </c>
      <c r="V498">
        <f ca="1" t="shared" si="13"/>
        <v>7.3</v>
      </c>
      <c r="AC498" s="2"/>
      <c r="AD498" t="str">
        <f>IFERROR(__xludf.DUMMYFUNCTION("""COMPUTED_VALUE"""),"Happy Feet ")</f>
        <v>Happy Feet </v>
      </c>
      <c r="AE498">
        <f t="shared" si="14"/>
        <v>197992719</v>
      </c>
    </row>
    <row r="499" customHeight="1" spans="1:31">
      <c r="A499" s="2" t="s">
        <v>312</v>
      </c>
      <c r="B499" s="2">
        <v>86</v>
      </c>
      <c r="C499" s="2">
        <v>193136719</v>
      </c>
      <c r="D499" s="2" t="s">
        <v>189</v>
      </c>
      <c r="E499" s="2" t="s">
        <v>13</v>
      </c>
      <c r="F499" t="s">
        <v>30</v>
      </c>
      <c r="G499" t="s">
        <v>56</v>
      </c>
      <c r="H499" t="s">
        <v>39</v>
      </c>
      <c r="N499" s="2" t="s">
        <v>18</v>
      </c>
      <c r="O499" s="2" t="s">
        <v>19</v>
      </c>
      <c r="P499" s="2">
        <v>75000000</v>
      </c>
      <c r="Q499" s="2">
        <v>6.9</v>
      </c>
      <c r="R499" s="2" t="s">
        <v>1171</v>
      </c>
      <c r="S499" s="2"/>
      <c r="U499" s="2" t="s">
        <v>1172</v>
      </c>
      <c r="V499">
        <f ca="1" t="shared" si="13"/>
        <v>6.3</v>
      </c>
      <c r="AC499" s="2"/>
      <c r="AD499" t="str">
        <f>IFERROR(__xludf.DUMMYFUNCTION("""COMPUTED_VALUE"""),"The Bourne Supremacy ")</f>
        <v>The Bourne Supremacy </v>
      </c>
      <c r="AE499">
        <f t="shared" si="14"/>
        <v>176049022</v>
      </c>
    </row>
    <row r="500" customHeight="1" spans="1:31">
      <c r="A500" s="2" t="s">
        <v>454</v>
      </c>
      <c r="B500" s="2">
        <v>109</v>
      </c>
      <c r="C500" s="2">
        <v>35286428</v>
      </c>
      <c r="D500" s="2" t="s">
        <v>1045</v>
      </c>
      <c r="E500" s="2" t="s">
        <v>30</v>
      </c>
      <c r="F500" t="s">
        <v>28</v>
      </c>
      <c r="G500" t="s">
        <v>17</v>
      </c>
      <c r="H500" t="s">
        <v>17</v>
      </c>
      <c r="N500" s="2" t="s">
        <v>18</v>
      </c>
      <c r="O500" s="2" t="s">
        <v>19</v>
      </c>
      <c r="P500" s="2">
        <v>76000000</v>
      </c>
      <c r="Q500" s="2">
        <v>7.9</v>
      </c>
      <c r="R500" s="2" t="s">
        <v>1173</v>
      </c>
      <c r="S500" s="2"/>
      <c r="U500" s="2" t="s">
        <v>1174</v>
      </c>
      <c r="V500">
        <f ca="1" t="shared" si="13"/>
        <v>7.46666666666667</v>
      </c>
      <c r="AC500" s="2"/>
      <c r="AD500" t="str">
        <f>IFERROR(__xludf.DUMMYFUNCTION("""COMPUTED_VALUE"""),"Air Force One ")</f>
        <v>Air Force One </v>
      </c>
      <c r="AE500">
        <f t="shared" si="14"/>
        <v>172620600</v>
      </c>
    </row>
    <row r="501" customHeight="1" spans="1:31">
      <c r="A501" s="2" t="s">
        <v>67</v>
      </c>
      <c r="B501" s="2">
        <v>104</v>
      </c>
      <c r="C501" s="2">
        <v>157299717</v>
      </c>
      <c r="D501" s="2" t="s">
        <v>38</v>
      </c>
      <c r="E501" s="2" t="s">
        <v>12</v>
      </c>
      <c r="F501" t="s">
        <v>13</v>
      </c>
      <c r="G501" t="s">
        <v>28</v>
      </c>
      <c r="H501" t="s">
        <v>24</v>
      </c>
      <c r="N501" s="2" t="s">
        <v>18</v>
      </c>
      <c r="O501" s="2" t="s">
        <v>19</v>
      </c>
      <c r="P501" s="2">
        <v>75000000</v>
      </c>
      <c r="Q501" s="2">
        <v>7.4</v>
      </c>
      <c r="R501" s="2" t="s">
        <v>1175</v>
      </c>
      <c r="S501" s="2"/>
      <c r="U501" s="2" t="s">
        <v>1176</v>
      </c>
      <c r="V501">
        <f ca="1" t="shared" si="13"/>
        <v>6.52</v>
      </c>
      <c r="AC501" s="2"/>
      <c r="AD501" t="str">
        <f>IFERROR(__xludf.DUMMYFUNCTION("""COMPUTED_VALUE"""),"Ocean's Eleven ")</f>
        <v>Ocean's Eleven </v>
      </c>
      <c r="AE501">
        <f t="shared" si="14"/>
        <v>183405655</v>
      </c>
    </row>
    <row r="502" customHeight="1" spans="1:31">
      <c r="A502" s="2" t="s">
        <v>872</v>
      </c>
      <c r="B502" s="2">
        <v>110</v>
      </c>
      <c r="C502" s="2">
        <v>134568845</v>
      </c>
      <c r="D502" s="2" t="s">
        <v>1177</v>
      </c>
      <c r="E502" s="2" t="s">
        <v>12</v>
      </c>
      <c r="F502" t="s">
        <v>28</v>
      </c>
      <c r="G502" t="s">
        <v>15</v>
      </c>
      <c r="H502" t="s">
        <v>24</v>
      </c>
      <c r="N502" s="2" t="s">
        <v>18</v>
      </c>
      <c r="O502" s="2" t="s">
        <v>19</v>
      </c>
      <c r="P502" s="2">
        <v>75000000</v>
      </c>
      <c r="Q502" s="2">
        <v>6.7</v>
      </c>
      <c r="R502" s="2" t="s">
        <v>1178</v>
      </c>
      <c r="S502" s="2"/>
      <c r="U502" s="2" t="s">
        <v>1179</v>
      </c>
      <c r="V502">
        <f ca="1" t="shared" si="13"/>
        <v>6.775</v>
      </c>
      <c r="AC502" s="2"/>
      <c r="AD502" t="str">
        <f>IFERROR(__xludf.DUMMYFUNCTION("""COMPUTED_VALUE"""),"The Three Musketeers ")</f>
        <v>The Three Musketeers </v>
      </c>
      <c r="AE502">
        <f t="shared" si="14"/>
        <v>20315214</v>
      </c>
    </row>
    <row r="503" customHeight="1" spans="1:31">
      <c r="A503" s="2" t="s">
        <v>126</v>
      </c>
      <c r="B503" s="2">
        <v>136</v>
      </c>
      <c r="C503" s="2">
        <v>134006721</v>
      </c>
      <c r="D503" s="2" t="s">
        <v>27</v>
      </c>
      <c r="E503" s="2" t="s">
        <v>12</v>
      </c>
      <c r="F503" t="s">
        <v>30</v>
      </c>
      <c r="G503" t="s">
        <v>23</v>
      </c>
      <c r="H503" t="s">
        <v>23</v>
      </c>
      <c r="N503" s="2" t="s">
        <v>18</v>
      </c>
      <c r="O503" s="2" t="s">
        <v>19</v>
      </c>
      <c r="P503" s="2">
        <v>75000000</v>
      </c>
      <c r="Q503" s="2">
        <v>7.4</v>
      </c>
      <c r="R503" s="2" t="s">
        <v>1180</v>
      </c>
      <c r="S503" s="2"/>
      <c r="U503" s="2" t="s">
        <v>1181</v>
      </c>
      <c r="V503">
        <f ca="1" t="shared" ref="V503:V566" si="15">AVERAGEIF(A387:A4172,U503,Q388:Q4172)</f>
        <v>6.76666666666667</v>
      </c>
      <c r="AC503" s="2"/>
      <c r="AD503" t="str">
        <f>IFERROR(__xludf.DUMMYFUNCTION("""COMPUTED_VALUE"""),"Hotel Transylvania ")</f>
        <v>Hotel Transylvania </v>
      </c>
      <c r="AE503">
        <f t="shared" ref="AE503:AE566" si="16">C387-B387</f>
        <v>148312957</v>
      </c>
    </row>
    <row r="504" customHeight="1" spans="1:31">
      <c r="A504" s="2" t="s">
        <v>474</v>
      </c>
      <c r="B504" s="2">
        <v>115</v>
      </c>
      <c r="C504" s="2">
        <v>195329763</v>
      </c>
      <c r="D504" s="2" t="s">
        <v>392</v>
      </c>
      <c r="E504" s="2" t="s">
        <v>12</v>
      </c>
      <c r="F504" t="s">
        <v>23</v>
      </c>
      <c r="G504" t="s">
        <v>55</v>
      </c>
      <c r="H504" t="s">
        <v>17</v>
      </c>
      <c r="N504" s="2" t="s">
        <v>18</v>
      </c>
      <c r="O504" s="2" t="s">
        <v>19</v>
      </c>
      <c r="P504" s="2">
        <v>80000000</v>
      </c>
      <c r="Q504" s="2">
        <v>6.9</v>
      </c>
      <c r="R504" s="2" t="s">
        <v>1182</v>
      </c>
      <c r="S504" s="2"/>
      <c r="U504" s="2" t="s">
        <v>1183</v>
      </c>
      <c r="V504">
        <f ca="1" t="shared" si="15"/>
        <v>6.5</v>
      </c>
      <c r="AC504" s="2"/>
      <c r="AD504" t="str">
        <f>IFERROR(__xludf.DUMMYFUNCTION("""COMPUTED_VALUE"""),"Enchanted ")</f>
        <v>Enchanted </v>
      </c>
      <c r="AE504">
        <f t="shared" si="16"/>
        <v>127706770</v>
      </c>
    </row>
    <row r="505" customHeight="1" spans="1:31">
      <c r="A505" s="2" t="s">
        <v>781</v>
      </c>
      <c r="B505" s="2">
        <v>99</v>
      </c>
      <c r="C505" s="2">
        <v>120776832</v>
      </c>
      <c r="D505" s="2" t="s">
        <v>607</v>
      </c>
      <c r="E505" s="2" t="s">
        <v>40</v>
      </c>
      <c r="F505" t="s">
        <v>13</v>
      </c>
      <c r="G505" t="s">
        <v>15</v>
      </c>
      <c r="H505" t="s">
        <v>24</v>
      </c>
      <c r="N505" s="2" t="s">
        <v>18</v>
      </c>
      <c r="O505" s="2" t="s">
        <v>19</v>
      </c>
      <c r="P505" s="2">
        <v>75000000</v>
      </c>
      <c r="Q505" s="2">
        <v>6.8</v>
      </c>
      <c r="R505" s="2" t="s">
        <v>1184</v>
      </c>
      <c r="S505" s="2"/>
      <c r="U505" s="2" t="s">
        <v>1185</v>
      </c>
      <c r="V505">
        <f ca="1" t="shared" si="15"/>
        <v>6.5</v>
      </c>
      <c r="AC505" s="2"/>
      <c r="AD505" t="str">
        <f>IFERROR(__xludf.DUMMYFUNCTION("""COMPUTED_VALUE"""),"Safe House ")</f>
        <v>Safe House </v>
      </c>
      <c r="AE505">
        <f t="shared" si="16"/>
        <v>126149540</v>
      </c>
    </row>
    <row r="506" customHeight="1" spans="1:31">
      <c r="A506" s="2" t="s">
        <v>796</v>
      </c>
      <c r="B506" s="2">
        <v>117</v>
      </c>
      <c r="C506" s="2">
        <v>118823091</v>
      </c>
      <c r="D506" s="2" t="s">
        <v>1186</v>
      </c>
      <c r="E506" s="2" t="s">
        <v>40</v>
      </c>
      <c r="F506" t="s">
        <v>40</v>
      </c>
      <c r="G506" t="s">
        <v>14</v>
      </c>
      <c r="H506" t="s">
        <v>24</v>
      </c>
      <c r="N506" s="2" t="s">
        <v>18</v>
      </c>
      <c r="O506" s="2" t="s">
        <v>19</v>
      </c>
      <c r="P506" s="2">
        <v>75000000</v>
      </c>
      <c r="Q506" s="2">
        <v>6.7</v>
      </c>
      <c r="R506" s="2" t="s">
        <v>1187</v>
      </c>
      <c r="S506" s="2"/>
      <c r="U506" s="2" t="s">
        <v>1188</v>
      </c>
      <c r="V506">
        <f ca="1" t="shared" si="15"/>
        <v>5.86666666666667</v>
      </c>
      <c r="AC506" s="2"/>
      <c r="AD506" t="str">
        <f>IFERROR(__xludf.DUMMYFUNCTION("""COMPUTED_VALUE"""),"102 Dalmatians ")</f>
        <v>102 Dalmatians </v>
      </c>
      <c r="AE506">
        <f t="shared" si="16"/>
        <v>66941459</v>
      </c>
    </row>
    <row r="507" customHeight="1" spans="1:31">
      <c r="A507" s="2" t="s">
        <v>709</v>
      </c>
      <c r="B507" s="2">
        <v>125</v>
      </c>
      <c r="C507" s="2">
        <v>41814863</v>
      </c>
      <c r="D507" s="2" t="s">
        <v>1189</v>
      </c>
      <c r="E507" s="2" t="s">
        <v>72</v>
      </c>
      <c r="F507" t="s">
        <v>35</v>
      </c>
      <c r="G507" t="s">
        <v>17</v>
      </c>
      <c r="H507" t="s">
        <v>30</v>
      </c>
      <c r="N507" s="2" t="s">
        <v>18</v>
      </c>
      <c r="O507" s="2" t="s">
        <v>19</v>
      </c>
      <c r="P507" s="2">
        <v>50000000</v>
      </c>
      <c r="Q507" s="2">
        <v>5.1</v>
      </c>
      <c r="R507" s="2" t="s">
        <v>1190</v>
      </c>
      <c r="S507" s="2"/>
      <c r="U507" s="2" t="s">
        <v>1191</v>
      </c>
      <c r="V507">
        <f ca="1" t="shared" si="15"/>
        <v>5.7</v>
      </c>
      <c r="AC507" s="2"/>
      <c r="AD507" t="str">
        <f>IFERROR(__xludf.DUMMYFUNCTION("""COMPUTED_VALUE"""),"Tower Heist ")</f>
        <v>Tower Heist </v>
      </c>
      <c r="AE507">
        <f t="shared" si="16"/>
        <v>78009051</v>
      </c>
    </row>
    <row r="508" customHeight="1" spans="1:31">
      <c r="A508" s="2" t="s">
        <v>874</v>
      </c>
      <c r="B508" s="2">
        <v>110</v>
      </c>
      <c r="C508" s="2">
        <v>97360069</v>
      </c>
      <c r="D508" s="2" t="s">
        <v>1192</v>
      </c>
      <c r="E508" s="2" t="s">
        <v>12</v>
      </c>
      <c r="F508" t="s">
        <v>83</v>
      </c>
      <c r="G508" t="s">
        <v>15</v>
      </c>
      <c r="H508" t="s">
        <v>14</v>
      </c>
      <c r="N508" s="2" t="s">
        <v>18</v>
      </c>
      <c r="O508" s="2" t="s">
        <v>19</v>
      </c>
      <c r="P508" s="2">
        <v>75000000</v>
      </c>
      <c r="Q508" s="2">
        <v>4.1</v>
      </c>
      <c r="R508" s="2" t="s">
        <v>1193</v>
      </c>
      <c r="S508" s="2"/>
      <c r="U508" s="2" t="s">
        <v>1194</v>
      </c>
      <c r="V508">
        <f ca="1" t="shared" si="15"/>
        <v>6</v>
      </c>
      <c r="AC508" s="2"/>
      <c r="AD508" t="str">
        <f>IFERROR(__xludf.DUMMYFUNCTION("""COMPUTED_VALUE"""),"The Holiday ")</f>
        <v>The Holiday </v>
      </c>
      <c r="AE508">
        <f t="shared" si="16"/>
        <v>63224711</v>
      </c>
    </row>
    <row r="509" customHeight="1" spans="1:31">
      <c r="A509" s="2" t="s">
        <v>421</v>
      </c>
      <c r="B509" s="2">
        <v>125</v>
      </c>
      <c r="C509" s="2">
        <v>117698894</v>
      </c>
      <c r="D509" s="2" t="s">
        <v>846</v>
      </c>
      <c r="E509" s="2" t="s">
        <v>56</v>
      </c>
      <c r="F509" t="s">
        <v>56</v>
      </c>
      <c r="G509" t="s">
        <v>14</v>
      </c>
      <c r="H509" t="s">
        <v>24</v>
      </c>
      <c r="N509" s="2" t="s">
        <v>18</v>
      </c>
      <c r="O509" s="2" t="s">
        <v>19</v>
      </c>
      <c r="P509" s="2">
        <v>75000000</v>
      </c>
      <c r="Q509" s="2">
        <v>7.3</v>
      </c>
      <c r="R509" s="2" t="s">
        <v>1195</v>
      </c>
      <c r="S509" s="2"/>
      <c r="U509" s="2" t="s">
        <v>1196</v>
      </c>
      <c r="V509">
        <f ca="1" t="shared" si="15"/>
        <v>6.7</v>
      </c>
      <c r="AC509" s="2"/>
      <c r="AD509" t="str">
        <f>IFERROR(__xludf.DUMMYFUNCTION("""COMPUTED_VALUE"""),"Enemy of the State ")</f>
        <v>Enemy of the State </v>
      </c>
      <c r="AE509">
        <f t="shared" si="16"/>
        <v>111544305</v>
      </c>
    </row>
    <row r="510" customHeight="1" spans="1:31">
      <c r="A510" s="2" t="s">
        <v>724</v>
      </c>
      <c r="B510" s="2">
        <v>102</v>
      </c>
      <c r="C510" s="2">
        <v>162001186</v>
      </c>
      <c r="D510" s="2" t="s">
        <v>40</v>
      </c>
      <c r="E510" s="2" t="s">
        <v>40</v>
      </c>
      <c r="F510" t="s">
        <v>55</v>
      </c>
      <c r="G510" t="s">
        <v>14</v>
      </c>
      <c r="H510" t="s">
        <v>14</v>
      </c>
      <c r="N510" s="2" t="s">
        <v>18</v>
      </c>
      <c r="O510" s="2" t="s">
        <v>19</v>
      </c>
      <c r="P510" s="2">
        <v>80000000</v>
      </c>
      <c r="Q510" s="2">
        <v>6</v>
      </c>
      <c r="R510" s="2" t="s">
        <v>1197</v>
      </c>
      <c r="S510" s="2"/>
      <c r="U510" s="2" t="s">
        <v>1198</v>
      </c>
      <c r="V510">
        <f ca="1" t="shared" si="15"/>
        <v>6.7</v>
      </c>
      <c r="AC510" s="2"/>
      <c r="AD510" t="str">
        <f>IFERROR(__xludf.DUMMYFUNCTION("""COMPUTED_VALUE"""),"It's Complicated ")</f>
        <v>It's Complicated </v>
      </c>
      <c r="AE510">
        <f t="shared" si="16"/>
        <v>112703350</v>
      </c>
    </row>
    <row r="511" customHeight="1" spans="1:31">
      <c r="A511" s="2" t="s">
        <v>166</v>
      </c>
      <c r="B511" s="2">
        <v>128</v>
      </c>
      <c r="C511" s="2">
        <v>77032279</v>
      </c>
      <c r="D511" s="2" t="s">
        <v>975</v>
      </c>
      <c r="E511" s="2" t="s">
        <v>40</v>
      </c>
      <c r="F511" t="s">
        <v>30</v>
      </c>
      <c r="G511" t="s">
        <v>30</v>
      </c>
      <c r="H511" t="s">
        <v>15</v>
      </c>
      <c r="N511" s="2" t="s">
        <v>18</v>
      </c>
      <c r="O511" s="2" t="s">
        <v>19</v>
      </c>
      <c r="P511" s="2">
        <v>60000000</v>
      </c>
      <c r="Q511" s="2">
        <v>7.3</v>
      </c>
      <c r="R511" s="2" t="s">
        <v>1199</v>
      </c>
      <c r="S511" s="2"/>
      <c r="U511" s="2" t="s">
        <v>1200</v>
      </c>
      <c r="V511">
        <f ca="1" t="shared" si="15"/>
        <v>6.85</v>
      </c>
      <c r="AC511" s="2"/>
      <c r="AD511" t="str">
        <f>IFERROR(__xludf.DUMMYFUNCTION("""COMPUTED_VALUE"""),"Ocean's Thirteen ")</f>
        <v>Ocean's Thirteen </v>
      </c>
      <c r="AE511">
        <f t="shared" si="16"/>
        <v>117144343</v>
      </c>
    </row>
    <row r="512" customHeight="1" spans="1:31">
      <c r="A512" s="2" t="s">
        <v>730</v>
      </c>
      <c r="B512" s="2">
        <v>100</v>
      </c>
      <c r="C512" s="2">
        <v>73023275</v>
      </c>
      <c r="D512" s="2" t="s">
        <v>1201</v>
      </c>
      <c r="E512" s="2" t="s">
        <v>40</v>
      </c>
      <c r="F512" t="s">
        <v>40</v>
      </c>
      <c r="G512" t="s">
        <v>40</v>
      </c>
      <c r="H512" t="s">
        <v>24</v>
      </c>
      <c r="N512" s="2" t="s">
        <v>18</v>
      </c>
      <c r="O512" s="2" t="s">
        <v>19</v>
      </c>
      <c r="P512" s="2">
        <v>35000000</v>
      </c>
      <c r="Q512" s="2">
        <v>5.4</v>
      </c>
      <c r="R512" s="2" t="s">
        <v>1202</v>
      </c>
      <c r="S512" s="2"/>
      <c r="U512" s="2" t="s">
        <v>1203</v>
      </c>
      <c r="V512">
        <f ca="1" t="shared" si="15"/>
        <v>5.66666666666667</v>
      </c>
      <c r="AC512" s="2"/>
      <c r="AD512" t="str">
        <f>IFERROR(__xludf.DUMMYFUNCTION("""COMPUTED_VALUE"""),"Open Season ")</f>
        <v>Open Season </v>
      </c>
      <c r="AE512">
        <f t="shared" si="16"/>
        <v>84303475</v>
      </c>
    </row>
    <row r="513" customHeight="1" spans="1:31">
      <c r="A513" s="2" t="s">
        <v>143</v>
      </c>
      <c r="B513" s="2">
        <v>124</v>
      </c>
      <c r="C513" s="2">
        <v>68473360</v>
      </c>
      <c r="D513" s="2" t="s">
        <v>276</v>
      </c>
      <c r="E513" s="2" t="s">
        <v>12</v>
      </c>
      <c r="F513" t="s">
        <v>13</v>
      </c>
      <c r="G513" t="s">
        <v>72</v>
      </c>
      <c r="H513" t="s">
        <v>56</v>
      </c>
      <c r="N513" s="2" t="s">
        <v>18</v>
      </c>
      <c r="O513" s="2" t="s">
        <v>19</v>
      </c>
      <c r="P513" s="2">
        <v>75000000</v>
      </c>
      <c r="Q513" s="2">
        <v>5.9</v>
      </c>
      <c r="R513" s="2" t="s">
        <v>1204</v>
      </c>
      <c r="S513" s="2"/>
      <c r="U513" s="2" t="s">
        <v>1205</v>
      </c>
      <c r="V513">
        <f ca="1" t="shared" si="15"/>
        <v>5.95</v>
      </c>
      <c r="AC513" s="2"/>
      <c r="AD513" t="str">
        <f>IFERROR(__xludf.DUMMYFUNCTION("""COMPUTED_VALUE"""),"Divergent ")</f>
        <v>Divergent </v>
      </c>
      <c r="AE513">
        <f t="shared" si="16"/>
        <v>150832064</v>
      </c>
    </row>
    <row r="514" customHeight="1" spans="1:31">
      <c r="A514" s="2" t="s">
        <v>876</v>
      </c>
      <c r="B514" s="2">
        <v>102</v>
      </c>
      <c r="C514" s="2">
        <v>66636385</v>
      </c>
      <c r="D514" s="2" t="s">
        <v>1206</v>
      </c>
      <c r="E514" s="2" t="s">
        <v>59</v>
      </c>
      <c r="F514" t="s">
        <v>30</v>
      </c>
      <c r="G514" t="s">
        <v>40</v>
      </c>
      <c r="H514" t="s">
        <v>24</v>
      </c>
      <c r="N514" s="2" t="s">
        <v>18</v>
      </c>
      <c r="O514" s="2" t="s">
        <v>19</v>
      </c>
      <c r="P514" s="2">
        <v>75000000</v>
      </c>
      <c r="Q514" s="2">
        <v>7.1</v>
      </c>
      <c r="R514" s="2" t="s">
        <v>1207</v>
      </c>
      <c r="S514" s="2"/>
      <c r="U514" s="2" t="s">
        <v>1208</v>
      </c>
      <c r="V514">
        <f ca="1" t="shared" si="15"/>
        <v>5.6</v>
      </c>
      <c r="AC514" s="2"/>
      <c r="AD514" t="str">
        <f>IFERROR(__xludf.DUMMYFUNCTION("""COMPUTED_VALUE"""),"Enemy at the Gates ")</f>
        <v>Enemy at the Gates </v>
      </c>
      <c r="AE514">
        <f t="shared" si="16"/>
        <v>51396650</v>
      </c>
    </row>
    <row r="515" customHeight="1" spans="1:31">
      <c r="A515" s="2" t="s">
        <v>689</v>
      </c>
      <c r="B515" s="2">
        <v>90</v>
      </c>
      <c r="C515" s="2">
        <v>160762022</v>
      </c>
      <c r="D515" s="2" t="s">
        <v>189</v>
      </c>
      <c r="E515" s="2" t="s">
        <v>13</v>
      </c>
      <c r="F515" t="s">
        <v>40</v>
      </c>
      <c r="G515" t="s">
        <v>72</v>
      </c>
      <c r="H515" t="s">
        <v>30</v>
      </c>
      <c r="N515" s="2" t="s">
        <v>18</v>
      </c>
      <c r="O515" s="2" t="s">
        <v>19</v>
      </c>
      <c r="P515" s="2">
        <v>75000000</v>
      </c>
      <c r="Q515" s="2">
        <v>6</v>
      </c>
      <c r="R515" s="2" t="s">
        <v>1209</v>
      </c>
      <c r="S515" s="2"/>
      <c r="U515" s="2" t="s">
        <v>1210</v>
      </c>
      <c r="V515">
        <f ca="1" t="shared" si="15"/>
        <v>5.6</v>
      </c>
      <c r="AC515" s="2"/>
      <c r="AD515" t="str">
        <f>IFERROR(__xludf.DUMMYFUNCTION("""COMPUTED_VALUE"""),"The Rundown ")</f>
        <v>The Rundown </v>
      </c>
      <c r="AE515">
        <f t="shared" si="16"/>
        <v>47592721</v>
      </c>
    </row>
    <row r="516" customHeight="1" spans="1:31">
      <c r="A516" s="2" t="s">
        <v>416</v>
      </c>
      <c r="B516" s="2">
        <v>130</v>
      </c>
      <c r="C516" s="2">
        <v>103338338</v>
      </c>
      <c r="D516" s="2" t="s">
        <v>1211</v>
      </c>
      <c r="E516" s="2" t="s">
        <v>30</v>
      </c>
      <c r="F516" t="s">
        <v>56</v>
      </c>
      <c r="G516" t="s">
        <v>16</v>
      </c>
      <c r="H516" t="s">
        <v>29</v>
      </c>
      <c r="N516" s="2" t="s">
        <v>18</v>
      </c>
      <c r="O516" s="2" t="s">
        <v>19</v>
      </c>
      <c r="P516" s="2">
        <v>70000000</v>
      </c>
      <c r="Q516" s="2">
        <v>6.5</v>
      </c>
      <c r="R516" s="2" t="s">
        <v>1212</v>
      </c>
      <c r="S516" s="2"/>
      <c r="U516" s="2" t="s">
        <v>1213</v>
      </c>
      <c r="V516">
        <f ca="1" t="shared" si="15"/>
        <v>6.4</v>
      </c>
      <c r="AC516" s="2"/>
      <c r="AD516" t="str">
        <f>IFERROR(__xludf.DUMMYFUNCTION("""COMPUTED_VALUE"""),"Last Action Hero ")</f>
        <v>Last Action Hero </v>
      </c>
      <c r="AE516">
        <f t="shared" si="16"/>
        <v>50016264</v>
      </c>
    </row>
    <row r="517" customHeight="1" spans="1:31">
      <c r="A517" s="2" t="s">
        <v>878</v>
      </c>
      <c r="B517" s="2">
        <v>118</v>
      </c>
      <c r="C517" s="2">
        <v>55808744</v>
      </c>
      <c r="D517" s="2" t="s">
        <v>1214</v>
      </c>
      <c r="E517" s="2" t="s">
        <v>40</v>
      </c>
      <c r="F517" t="s">
        <v>13</v>
      </c>
      <c r="G517" t="s">
        <v>24</v>
      </c>
      <c r="H517" t="s">
        <v>16</v>
      </c>
      <c r="N517" s="2" t="s">
        <v>18</v>
      </c>
      <c r="O517" s="2" t="s">
        <v>19</v>
      </c>
      <c r="P517" s="2">
        <v>53000000</v>
      </c>
      <c r="Q517" s="2">
        <v>5.7</v>
      </c>
      <c r="R517" s="2" t="s">
        <v>1215</v>
      </c>
      <c r="S517" s="2"/>
      <c r="U517" s="2" t="s">
        <v>1216</v>
      </c>
      <c r="V517">
        <f ca="1" t="shared" si="15"/>
        <v>7.7</v>
      </c>
      <c r="AC517" s="2"/>
      <c r="AD517" t="str">
        <f>IFERROR(__xludf.DUMMYFUNCTION("""COMPUTED_VALUE"""),"Memoirs of a Geisha ")</f>
        <v>Memoirs of a Geisha </v>
      </c>
      <c r="AE517">
        <f t="shared" si="16"/>
        <v>57010708</v>
      </c>
    </row>
    <row r="518" customHeight="1" spans="1:31">
      <c r="A518" s="2" t="s">
        <v>166</v>
      </c>
      <c r="B518" s="2">
        <v>163</v>
      </c>
      <c r="C518" s="2">
        <v>47379090</v>
      </c>
      <c r="D518" s="2" t="s">
        <v>1097</v>
      </c>
      <c r="E518" s="2" t="s">
        <v>30</v>
      </c>
      <c r="F518" t="s">
        <v>55</v>
      </c>
      <c r="G518" t="s">
        <v>39</v>
      </c>
      <c r="H518" t="s">
        <v>15</v>
      </c>
      <c r="N518" s="2" t="s">
        <v>18</v>
      </c>
      <c r="O518" s="2" t="s">
        <v>707</v>
      </c>
      <c r="P518" s="2">
        <v>70000000</v>
      </c>
      <c r="Q518" s="2">
        <v>7.6</v>
      </c>
      <c r="R518" s="2" t="s">
        <v>1217</v>
      </c>
      <c r="S518" s="2"/>
      <c r="U518" s="2" t="s">
        <v>1218</v>
      </c>
      <c r="V518">
        <f ca="1" t="shared" si="15"/>
        <v>6.5</v>
      </c>
      <c r="AC518" s="2"/>
      <c r="AD518" t="str">
        <f>IFERROR(__xludf.DUMMYFUNCTION("""COMPUTED_VALUE"""),"The Fast and the Furious: Tokyo Drift ")</f>
        <v>The Fast and the Furious: Tokyo Drift </v>
      </c>
      <c r="AE518">
        <f t="shared" si="16"/>
        <v>62494871</v>
      </c>
    </row>
    <row r="519" customHeight="1" spans="1:31">
      <c r="A519" s="2" t="s">
        <v>881</v>
      </c>
      <c r="B519" s="2">
        <v>142</v>
      </c>
      <c r="C519" s="2">
        <v>43426961</v>
      </c>
      <c r="D519" s="2" t="s">
        <v>706</v>
      </c>
      <c r="E519" s="2" t="s">
        <v>12</v>
      </c>
      <c r="F519" t="s">
        <v>30</v>
      </c>
      <c r="G519" t="s">
        <v>15</v>
      </c>
      <c r="H519" t="s">
        <v>24</v>
      </c>
      <c r="N519" s="2" t="s">
        <v>18</v>
      </c>
      <c r="O519" s="2" t="s">
        <v>19</v>
      </c>
      <c r="P519" s="2">
        <v>70000000</v>
      </c>
      <c r="Q519" s="2">
        <v>6.6</v>
      </c>
      <c r="R519" s="2" t="s">
        <v>1219</v>
      </c>
      <c r="S519" s="2"/>
      <c r="U519" s="2" t="s">
        <v>1220</v>
      </c>
      <c r="V519">
        <f ca="1" t="shared" si="15"/>
        <v>5.33333333333333</v>
      </c>
      <c r="AC519" s="2"/>
      <c r="AD519" t="str">
        <f>IFERROR(__xludf.DUMMYFUNCTION("""COMPUTED_VALUE"""),"Arthur Christmas ")</f>
        <v>Arthur Christmas </v>
      </c>
      <c r="AE519">
        <f t="shared" si="16"/>
        <v>46440394</v>
      </c>
    </row>
    <row r="520" customHeight="1" spans="1:31">
      <c r="A520" s="2" t="s">
        <v>884</v>
      </c>
      <c r="B520" s="2">
        <v>100</v>
      </c>
      <c r="C520" s="2">
        <v>47000485</v>
      </c>
      <c r="D520" s="2" t="s">
        <v>1221</v>
      </c>
      <c r="E520" s="2" t="s">
        <v>12</v>
      </c>
      <c r="F520" t="s">
        <v>56</v>
      </c>
      <c r="G520" t="s">
        <v>30</v>
      </c>
      <c r="H520" t="s">
        <v>24</v>
      </c>
      <c r="N520" s="2" t="s">
        <v>18</v>
      </c>
      <c r="O520" s="2" t="s">
        <v>19</v>
      </c>
      <c r="P520" s="2">
        <v>75000000</v>
      </c>
      <c r="Q520" s="2">
        <v>5.4</v>
      </c>
      <c r="R520" s="2" t="s">
        <v>1222</v>
      </c>
      <c r="S520" s="2"/>
      <c r="U520" s="2" t="s">
        <v>1223</v>
      </c>
      <c r="V520">
        <f ca="1" t="shared" si="15"/>
        <v>7.1</v>
      </c>
      <c r="AC520" s="2"/>
      <c r="AD520" t="str">
        <f>IFERROR(__xludf.DUMMYFUNCTION("""COMPUTED_VALUE"""),"Meet Joe Black ")</f>
        <v>Meet Joe Black </v>
      </c>
      <c r="AE520">
        <f t="shared" si="16"/>
        <v>44606157</v>
      </c>
    </row>
    <row r="521" customHeight="1" spans="1:31">
      <c r="A521" s="2" t="s">
        <v>479</v>
      </c>
      <c r="B521" s="2">
        <v>116</v>
      </c>
      <c r="C521" s="2">
        <v>45434443</v>
      </c>
      <c r="D521" s="2" t="s">
        <v>589</v>
      </c>
      <c r="E521" s="2" t="s">
        <v>12</v>
      </c>
      <c r="F521" t="s">
        <v>13</v>
      </c>
      <c r="G521" t="s">
        <v>35</v>
      </c>
      <c r="H521" t="s">
        <v>30</v>
      </c>
      <c r="N521" s="2" t="s">
        <v>18</v>
      </c>
      <c r="O521" s="2" t="s">
        <v>19</v>
      </c>
      <c r="P521" s="2">
        <v>75000000</v>
      </c>
      <c r="Q521" s="2">
        <v>7.3</v>
      </c>
      <c r="R521" s="2" t="s">
        <v>1224</v>
      </c>
      <c r="S521" s="2"/>
      <c r="U521" s="2" t="s">
        <v>1225</v>
      </c>
      <c r="V521">
        <f ca="1" t="shared" si="15"/>
        <v>6.75384615384615</v>
      </c>
      <c r="AC521" s="2"/>
      <c r="AD521" t="str">
        <f>IFERROR(__xludf.DUMMYFUNCTION("""COMPUTED_VALUE"""),"Collateral Damage ")</f>
        <v>Collateral Damage </v>
      </c>
      <c r="AE521">
        <f t="shared" si="16"/>
        <v>40048224</v>
      </c>
    </row>
    <row r="522" customHeight="1" spans="1:31">
      <c r="A522" s="2" t="s">
        <v>520</v>
      </c>
      <c r="B522" s="2">
        <v>131</v>
      </c>
      <c r="C522" s="2">
        <v>42044321</v>
      </c>
      <c r="D522" s="2" t="s">
        <v>521</v>
      </c>
      <c r="E522" s="2" t="s">
        <v>40</v>
      </c>
      <c r="F522" t="s">
        <v>40</v>
      </c>
      <c r="G522" t="s">
        <v>23</v>
      </c>
      <c r="H522" t="s">
        <v>17</v>
      </c>
      <c r="N522" s="2" t="s">
        <v>18</v>
      </c>
      <c r="O522" s="2" t="s">
        <v>19</v>
      </c>
      <c r="P522" s="2">
        <v>80000000</v>
      </c>
      <c r="Q522" s="2">
        <v>6.5</v>
      </c>
      <c r="R522" s="2" t="s">
        <v>1226</v>
      </c>
      <c r="S522" s="2"/>
      <c r="U522" s="2" t="s">
        <v>1227</v>
      </c>
      <c r="V522">
        <f ca="1" t="shared" si="15"/>
        <v>6.3</v>
      </c>
      <c r="AC522" s="2"/>
      <c r="AD522" t="str">
        <f>IFERROR(__xludf.DUMMYFUNCTION("""COMPUTED_VALUE"""),"Mirror Mirror ")</f>
        <v>Mirror Mirror </v>
      </c>
      <c r="AE522">
        <f t="shared" si="16"/>
        <v>64933564</v>
      </c>
    </row>
    <row r="523" customHeight="1" spans="1:31">
      <c r="A523" s="2" t="s">
        <v>886</v>
      </c>
      <c r="B523" s="2">
        <v>91</v>
      </c>
      <c r="C523" s="2">
        <v>73661010</v>
      </c>
      <c r="D523" s="2" t="s">
        <v>1228</v>
      </c>
      <c r="E523" s="2" t="s">
        <v>35</v>
      </c>
      <c r="F523" t="s">
        <v>30</v>
      </c>
      <c r="G523" t="s">
        <v>30</v>
      </c>
      <c r="H523" t="s">
        <v>24</v>
      </c>
      <c r="N523" s="2" t="s">
        <v>18</v>
      </c>
      <c r="O523" s="2" t="s">
        <v>19</v>
      </c>
      <c r="P523" s="2">
        <v>75000000</v>
      </c>
      <c r="Q523" s="2">
        <v>6.6</v>
      </c>
      <c r="R523" s="2" t="s">
        <v>1229</v>
      </c>
      <c r="S523" s="2"/>
      <c r="U523" s="2" t="s">
        <v>1230</v>
      </c>
      <c r="V523">
        <f ca="1" t="shared" si="15"/>
        <v>6.15</v>
      </c>
      <c r="AC523" s="2"/>
      <c r="AD523" t="str">
        <f>IFERROR(__xludf.DUMMYFUNCTION("""COMPUTED_VALUE"""),"Scott Pilgrim vs. the World ")</f>
        <v>Scott Pilgrim vs. the World </v>
      </c>
      <c r="AE523">
        <f t="shared" si="16"/>
        <v>31494158</v>
      </c>
    </row>
    <row r="524" customHeight="1" spans="1:31">
      <c r="A524" s="2" t="s">
        <v>889</v>
      </c>
      <c r="B524" s="2">
        <v>123</v>
      </c>
      <c r="C524" s="2">
        <v>41523271</v>
      </c>
      <c r="D524" s="2" t="s">
        <v>1231</v>
      </c>
      <c r="E524" s="2" t="s">
        <v>40</v>
      </c>
      <c r="F524" t="s">
        <v>40</v>
      </c>
      <c r="G524" t="s">
        <v>28</v>
      </c>
      <c r="H524" t="s">
        <v>24</v>
      </c>
      <c r="N524" s="2" t="s">
        <v>18</v>
      </c>
      <c r="O524" s="2" t="s">
        <v>19</v>
      </c>
      <c r="P524" s="2">
        <v>80000000</v>
      </c>
      <c r="Q524" s="2">
        <v>6.6</v>
      </c>
      <c r="R524" s="2" t="s">
        <v>1232</v>
      </c>
      <c r="S524" s="2"/>
      <c r="U524" s="2" t="s">
        <v>1233</v>
      </c>
      <c r="V524">
        <f ca="1" t="shared" si="15"/>
        <v>7.625</v>
      </c>
      <c r="AC524" s="2"/>
      <c r="AD524" t="str">
        <f>IFERROR(__xludf.DUMMYFUNCTION("""COMPUTED_VALUE"""),"The Core ")</f>
        <v>The Core </v>
      </c>
      <c r="AE524">
        <f t="shared" si="16"/>
        <v>31111125</v>
      </c>
    </row>
    <row r="525" customHeight="1" spans="1:31">
      <c r="A525" s="2" t="s">
        <v>892</v>
      </c>
      <c r="B525" s="2">
        <v>134</v>
      </c>
      <c r="C525" s="2">
        <v>37600435</v>
      </c>
      <c r="D525" s="2" t="s">
        <v>1234</v>
      </c>
      <c r="E525" s="2" t="s">
        <v>12</v>
      </c>
      <c r="F525" t="s">
        <v>13</v>
      </c>
      <c r="G525" t="s">
        <v>24</v>
      </c>
      <c r="H525" t="s">
        <v>24</v>
      </c>
      <c r="N525" s="2" t="s">
        <v>18</v>
      </c>
      <c r="O525" s="2" t="s">
        <v>19</v>
      </c>
      <c r="P525" s="2">
        <v>55000000</v>
      </c>
      <c r="Q525" s="2">
        <v>5.9</v>
      </c>
      <c r="R525" s="2" t="s">
        <v>1235</v>
      </c>
      <c r="S525" s="2"/>
      <c r="U525" s="2" t="s">
        <v>1236</v>
      </c>
      <c r="V525">
        <f ca="1" t="shared" si="15"/>
        <v>5.1</v>
      </c>
      <c r="AC525" s="2"/>
      <c r="AD525" t="str">
        <f>IFERROR(__xludf.DUMMYFUNCTION("""COMPUTED_VALUE"""),"Nutty Professor II: The Klumps ")</f>
        <v>Nutty Professor II: The Klumps </v>
      </c>
      <c r="AE525">
        <f t="shared" si="16"/>
        <v>123307836</v>
      </c>
    </row>
    <row r="526" customHeight="1" spans="1:31">
      <c r="A526" s="2" t="s">
        <v>894</v>
      </c>
      <c r="B526" s="2">
        <v>148</v>
      </c>
      <c r="C526" s="2">
        <v>39251128</v>
      </c>
      <c r="D526" s="2" t="s">
        <v>1237</v>
      </c>
      <c r="E526" s="2" t="s">
        <v>30</v>
      </c>
      <c r="F526" t="s">
        <v>28</v>
      </c>
      <c r="G526" t="s">
        <v>28</v>
      </c>
      <c r="H526" t="s">
        <v>24</v>
      </c>
      <c r="N526" s="2" t="s">
        <v>18</v>
      </c>
      <c r="O526" s="2" t="s">
        <v>19</v>
      </c>
      <c r="P526" s="2">
        <v>75000000</v>
      </c>
      <c r="Q526" s="2">
        <v>6.7</v>
      </c>
      <c r="R526" s="2" t="s">
        <v>1238</v>
      </c>
      <c r="S526" s="2"/>
      <c r="U526" s="2" t="s">
        <v>1239</v>
      </c>
      <c r="V526">
        <f ca="1" t="shared" si="15"/>
        <v>6.775</v>
      </c>
      <c r="AC526" s="2"/>
      <c r="AD526" t="str">
        <f>IFERROR(__xludf.DUMMYFUNCTION("""COMPUTED_VALUE"""),"Scooby-Doo ")</f>
        <v>Scooby-Doo </v>
      </c>
      <c r="AE526">
        <f t="shared" si="16"/>
        <v>153288096</v>
      </c>
    </row>
    <row r="527" customHeight="1" spans="1:31">
      <c r="A527" s="2" t="s">
        <v>774</v>
      </c>
      <c r="B527" s="2">
        <v>110</v>
      </c>
      <c r="C527" s="2">
        <v>83503161</v>
      </c>
      <c r="D527" s="2" t="s">
        <v>1240</v>
      </c>
      <c r="E527" s="2" t="s">
        <v>12</v>
      </c>
      <c r="F527" t="s">
        <v>35</v>
      </c>
      <c r="G527" t="s">
        <v>14</v>
      </c>
      <c r="H527" t="s">
        <v>14</v>
      </c>
      <c r="N527" s="2" t="s">
        <v>18</v>
      </c>
      <c r="O527" s="2" t="s">
        <v>19</v>
      </c>
      <c r="P527" s="2">
        <v>75000000</v>
      </c>
      <c r="Q527" s="2">
        <v>6.1</v>
      </c>
      <c r="R527" s="2" t="s">
        <v>1241</v>
      </c>
      <c r="S527" s="2"/>
      <c r="U527" s="2" t="s">
        <v>1242</v>
      </c>
      <c r="V527">
        <f ca="1" t="shared" si="15"/>
        <v>5.96666666666667</v>
      </c>
      <c r="AC527" s="2"/>
      <c r="AD527" t="str">
        <f>IFERROR(__xludf.DUMMYFUNCTION("""COMPUTED_VALUE"""),"Dredd ")</f>
        <v>Dredd </v>
      </c>
      <c r="AE527">
        <f t="shared" si="16"/>
        <v>13401588</v>
      </c>
    </row>
    <row r="528" customHeight="1" spans="1:31">
      <c r="A528" s="2" t="s">
        <v>896</v>
      </c>
      <c r="B528" s="2">
        <v>113</v>
      </c>
      <c r="C528" s="2">
        <v>34636443</v>
      </c>
      <c r="D528" s="2" t="s">
        <v>915</v>
      </c>
      <c r="E528" s="2" t="s">
        <v>12</v>
      </c>
      <c r="F528" t="s">
        <v>14</v>
      </c>
      <c r="G528" t="s">
        <v>24</v>
      </c>
      <c r="H528" t="s">
        <v>17</v>
      </c>
      <c r="N528" s="2" t="s">
        <v>18</v>
      </c>
      <c r="O528" s="2" t="s">
        <v>19</v>
      </c>
      <c r="P528" s="2">
        <v>52000000</v>
      </c>
      <c r="Q528" s="2">
        <v>6.6</v>
      </c>
      <c r="R528" s="2" t="s">
        <v>1243</v>
      </c>
      <c r="S528" s="2"/>
      <c r="U528" s="2" t="s">
        <v>1244</v>
      </c>
      <c r="V528">
        <f ca="1" t="shared" si="15"/>
        <v>6.025</v>
      </c>
      <c r="AC528" s="2"/>
      <c r="AD528" t="str">
        <f>IFERROR(__xludf.DUMMYFUNCTION("""COMPUTED_VALUE"""),"Click ")</f>
        <v>Click </v>
      </c>
      <c r="AE528">
        <f t="shared" si="16"/>
        <v>137340039</v>
      </c>
    </row>
    <row r="529" customHeight="1" spans="1:31">
      <c r="A529" s="2" t="s">
        <v>898</v>
      </c>
      <c r="B529" s="2">
        <v>94</v>
      </c>
      <c r="C529" s="2">
        <v>22751979</v>
      </c>
      <c r="D529" s="2" t="s">
        <v>1245</v>
      </c>
      <c r="E529" s="2" t="s">
        <v>12</v>
      </c>
      <c r="F529" t="s">
        <v>28</v>
      </c>
      <c r="G529" t="s">
        <v>14</v>
      </c>
      <c r="H529" t="s">
        <v>39</v>
      </c>
      <c r="N529" s="2" t="s">
        <v>18</v>
      </c>
      <c r="O529" s="2" t="s">
        <v>19</v>
      </c>
      <c r="P529" s="2">
        <v>75000000</v>
      </c>
      <c r="Q529" s="2">
        <v>6.6</v>
      </c>
      <c r="R529" s="2" t="s">
        <v>1246</v>
      </c>
      <c r="S529" s="2"/>
      <c r="U529" s="2" t="s">
        <v>1247</v>
      </c>
      <c r="V529">
        <f ca="1" t="shared" si="15"/>
        <v>6.5</v>
      </c>
      <c r="AC529" s="2"/>
      <c r="AD529" t="str">
        <f>IFERROR(__xludf.DUMMYFUNCTION("""COMPUTED_VALUE"""),"Cats &amp; Dogs: The Revenge of Kitty Galore ")</f>
        <v>Cats &amp; Dogs: The Revenge of Kitty Galore </v>
      </c>
      <c r="AE529">
        <f t="shared" si="16"/>
        <v>43575634</v>
      </c>
    </row>
    <row r="530" customHeight="1" spans="1:31">
      <c r="A530" s="2" t="s">
        <v>900</v>
      </c>
      <c r="B530" s="2">
        <v>116</v>
      </c>
      <c r="C530" s="2">
        <v>30013346</v>
      </c>
      <c r="D530" s="2" t="s">
        <v>174</v>
      </c>
      <c r="E530" s="2" t="s">
        <v>12</v>
      </c>
      <c r="F530" t="s">
        <v>28</v>
      </c>
      <c r="G530" t="s">
        <v>24</v>
      </c>
      <c r="H530" t="s">
        <v>23</v>
      </c>
      <c r="N530" s="2" t="s">
        <v>18</v>
      </c>
      <c r="O530" s="2" t="s">
        <v>19</v>
      </c>
      <c r="P530" s="2">
        <v>75000000</v>
      </c>
      <c r="Q530" s="2">
        <v>5.3</v>
      </c>
      <c r="R530" s="2" t="s">
        <v>1248</v>
      </c>
      <c r="S530" s="2"/>
      <c r="U530" s="2" t="s">
        <v>1249</v>
      </c>
      <c r="V530">
        <f ca="1" t="shared" si="15"/>
        <v>6.425</v>
      </c>
      <c r="AC530" s="2"/>
      <c r="AD530" t="str">
        <f>IFERROR(__xludf.DUMMYFUNCTION("""COMPUTED_VALUE"""),"Jumper ")</f>
        <v>Jumper </v>
      </c>
      <c r="AE530">
        <f t="shared" si="16"/>
        <v>80170058</v>
      </c>
    </row>
    <row r="531" customHeight="1" spans="1:31">
      <c r="A531" s="2" t="s">
        <v>750</v>
      </c>
      <c r="B531" s="2">
        <v>99</v>
      </c>
      <c r="C531" s="2">
        <v>14567883</v>
      </c>
      <c r="D531" s="2" t="s">
        <v>1250</v>
      </c>
      <c r="E531" s="2" t="s">
        <v>12</v>
      </c>
      <c r="F531" t="s">
        <v>35</v>
      </c>
      <c r="G531" t="s">
        <v>23</v>
      </c>
      <c r="H531" t="s">
        <v>24</v>
      </c>
      <c r="N531" s="2" t="s">
        <v>18</v>
      </c>
      <c r="O531" s="2" t="s">
        <v>31</v>
      </c>
      <c r="P531" s="2">
        <v>75000000</v>
      </c>
      <c r="Q531" s="2">
        <v>6</v>
      </c>
      <c r="R531" s="2" t="s">
        <v>1251</v>
      </c>
      <c r="S531" s="2"/>
      <c r="U531" s="2" t="s">
        <v>1252</v>
      </c>
      <c r="V531">
        <f ca="1" t="shared" si="15"/>
        <v>6.9</v>
      </c>
      <c r="AC531" s="2"/>
      <c r="AD531" t="str">
        <f>IFERROR(__xludf.DUMMYFUNCTION("""COMPUTED_VALUE"""),"Hellboy II: The Golden Army ")</f>
        <v>Hellboy II: The Golden Army </v>
      </c>
      <c r="AE531">
        <f t="shared" si="16"/>
        <v>75754550</v>
      </c>
    </row>
    <row r="532" customHeight="1" spans="1:31">
      <c r="A532" s="2" t="s">
        <v>902</v>
      </c>
      <c r="B532" s="2">
        <v>93</v>
      </c>
      <c r="C532" s="2">
        <v>5409517</v>
      </c>
      <c r="D532" s="2" t="s">
        <v>1253</v>
      </c>
      <c r="E532" s="2" t="s">
        <v>35</v>
      </c>
      <c r="F532" t="s">
        <v>13</v>
      </c>
      <c r="G532" t="s">
        <v>56</v>
      </c>
      <c r="H532" t="s">
        <v>71</v>
      </c>
      <c r="N532" s="2" t="s">
        <v>18</v>
      </c>
      <c r="O532" s="2" t="s">
        <v>19</v>
      </c>
      <c r="P532" s="2">
        <v>75000000</v>
      </c>
      <c r="Q532" s="2">
        <v>4.7</v>
      </c>
      <c r="R532" s="2" t="s">
        <v>1254</v>
      </c>
      <c r="S532" s="2"/>
      <c r="U532" s="2" t="s">
        <v>1255</v>
      </c>
      <c r="V532">
        <f ca="1" t="shared" si="15"/>
        <v>6.3</v>
      </c>
      <c r="AC532" s="2"/>
      <c r="AD532" t="str">
        <f>IFERROR(__xludf.DUMMYFUNCTION("""COMPUTED_VALUE"""),"Zodiac ")</f>
        <v>Zodiac </v>
      </c>
      <c r="AE532">
        <f t="shared" si="16"/>
        <v>33048191</v>
      </c>
    </row>
    <row r="533" customHeight="1" spans="1:31">
      <c r="A533" s="2" t="s">
        <v>702</v>
      </c>
      <c r="B533" s="2">
        <v>113</v>
      </c>
      <c r="C533" s="2">
        <v>21009180</v>
      </c>
      <c r="D533" s="2" t="s">
        <v>276</v>
      </c>
      <c r="E533" s="2" t="s">
        <v>12</v>
      </c>
      <c r="F533" t="s">
        <v>30</v>
      </c>
      <c r="G533" t="s">
        <v>55</v>
      </c>
      <c r="H533" t="s">
        <v>17</v>
      </c>
      <c r="N533" s="2" t="s">
        <v>18</v>
      </c>
      <c r="O533" s="2" t="s">
        <v>19</v>
      </c>
      <c r="P533" s="2">
        <v>45000000</v>
      </c>
      <c r="Q533" s="2">
        <v>6.1</v>
      </c>
      <c r="R533" s="2" t="s">
        <v>1256</v>
      </c>
      <c r="S533" s="2"/>
      <c r="U533" s="2" t="s">
        <v>1257</v>
      </c>
      <c r="V533">
        <f ca="1" t="shared" si="15"/>
        <v>6.8</v>
      </c>
      <c r="AC533" s="2"/>
      <c r="AD533" t="str">
        <f>IFERROR(__xludf.DUMMYFUNCTION("""COMPUTED_VALUE"""),"The 6th Day ")</f>
        <v>The 6th Day </v>
      </c>
      <c r="AE533">
        <f t="shared" si="16"/>
        <v>34543578</v>
      </c>
    </row>
    <row r="534" customHeight="1" spans="1:31">
      <c r="A534" s="2" t="s">
        <v>352</v>
      </c>
      <c r="B534" s="2">
        <v>106</v>
      </c>
      <c r="C534" s="2">
        <v>94999143</v>
      </c>
      <c r="D534" s="2" t="s">
        <v>840</v>
      </c>
      <c r="E534" s="2" t="s">
        <v>30</v>
      </c>
      <c r="F534" t="s">
        <v>30</v>
      </c>
      <c r="G534" t="s">
        <v>14</v>
      </c>
      <c r="H534" t="s">
        <v>24</v>
      </c>
      <c r="N534" s="2" t="s">
        <v>18</v>
      </c>
      <c r="O534" s="2" t="s">
        <v>19</v>
      </c>
      <c r="P534" s="2">
        <v>75000000</v>
      </c>
      <c r="Q534" s="2">
        <v>7.2</v>
      </c>
      <c r="R534" s="2" t="s">
        <v>1258</v>
      </c>
      <c r="S534" s="2"/>
      <c r="U534" s="2" t="s">
        <v>1259</v>
      </c>
      <c r="V534">
        <f ca="1" t="shared" si="15"/>
        <v>5.84666666666667</v>
      </c>
      <c r="AC534" s="2"/>
      <c r="AD534" t="str">
        <f>IFERROR(__xludf.DUMMYFUNCTION("""COMPUTED_VALUE"""),"Bruce Almighty ")</f>
        <v>Bruce Almighty </v>
      </c>
      <c r="AE534">
        <f t="shared" si="16"/>
        <v>242589479</v>
      </c>
    </row>
    <row r="535" customHeight="1" spans="1:31">
      <c r="A535" s="2" t="s">
        <v>905</v>
      </c>
      <c r="B535" s="2">
        <v>91</v>
      </c>
      <c r="C535" s="2">
        <v>336029560</v>
      </c>
      <c r="D535" s="2" t="s">
        <v>464</v>
      </c>
      <c r="E535" s="2" t="s">
        <v>12</v>
      </c>
      <c r="F535" t="s">
        <v>40</v>
      </c>
      <c r="G535" t="s">
        <v>24</v>
      </c>
      <c r="H535" t="s">
        <v>17</v>
      </c>
      <c r="N535" s="2" t="s">
        <v>18</v>
      </c>
      <c r="O535" s="2" t="s">
        <v>19</v>
      </c>
      <c r="P535" s="2">
        <v>74000000</v>
      </c>
      <c r="Q535" s="2">
        <v>6.4</v>
      </c>
      <c r="R535" s="2" t="s">
        <v>1260</v>
      </c>
      <c r="S535" s="2"/>
      <c r="U535" s="2" t="s">
        <v>1261</v>
      </c>
      <c r="V535">
        <f ca="1" t="shared" si="15"/>
        <v>5.5</v>
      </c>
      <c r="AC535" s="2"/>
      <c r="AD535" t="str">
        <f>IFERROR(__xludf.DUMMYFUNCTION("""COMPUTED_VALUE"""),"The Expendables ")</f>
        <v>The Expendables </v>
      </c>
      <c r="AE535">
        <f t="shared" si="16"/>
        <v>102981458</v>
      </c>
    </row>
    <row r="536" customHeight="1" spans="1:31">
      <c r="A536" s="2" t="s">
        <v>64</v>
      </c>
      <c r="B536" s="2">
        <v>128</v>
      </c>
      <c r="C536" s="2">
        <v>36381716</v>
      </c>
      <c r="D536" s="2" t="s">
        <v>1262</v>
      </c>
      <c r="E536" s="2" t="s">
        <v>12</v>
      </c>
      <c r="F536" t="s">
        <v>23</v>
      </c>
      <c r="G536" t="s">
        <v>24</v>
      </c>
      <c r="H536" t="s">
        <v>17</v>
      </c>
      <c r="N536" s="2" t="s">
        <v>18</v>
      </c>
      <c r="O536" s="2" t="s">
        <v>19</v>
      </c>
      <c r="P536" s="2">
        <v>82000000</v>
      </c>
      <c r="Q536" s="2">
        <v>6.1</v>
      </c>
      <c r="R536" s="2" t="s">
        <v>1263</v>
      </c>
      <c r="S536" s="2"/>
      <c r="U536" s="2" t="s">
        <v>1264</v>
      </c>
      <c r="V536">
        <f ca="1" t="shared" si="15"/>
        <v>6.775</v>
      </c>
      <c r="AC536" s="2"/>
      <c r="AD536" t="str">
        <f>IFERROR(__xludf.DUMMYFUNCTION("""COMPUTED_VALUE"""),"Mission: Impossible ")</f>
        <v>Mission: Impossible </v>
      </c>
      <c r="AE536">
        <f t="shared" si="16"/>
        <v>180965127</v>
      </c>
    </row>
    <row r="537" customHeight="1" spans="1:31">
      <c r="A537" s="2" t="s">
        <v>733</v>
      </c>
      <c r="B537" s="2">
        <v>98</v>
      </c>
      <c r="C537" s="2">
        <v>55585389</v>
      </c>
      <c r="D537" s="2" t="s">
        <v>846</v>
      </c>
      <c r="E537" s="2" t="s">
        <v>56</v>
      </c>
      <c r="F537" t="s">
        <v>30</v>
      </c>
      <c r="G537" t="s">
        <v>72</v>
      </c>
      <c r="H537" t="s">
        <v>14</v>
      </c>
      <c r="N537" s="2" t="s">
        <v>18</v>
      </c>
      <c r="O537" s="2" t="s">
        <v>19</v>
      </c>
      <c r="P537" s="2">
        <v>69000000</v>
      </c>
      <c r="Q537" s="2">
        <v>5.9</v>
      </c>
      <c r="R537" s="2" t="s">
        <v>1265</v>
      </c>
      <c r="S537" s="2"/>
      <c r="U537" s="2" t="s">
        <v>1266</v>
      </c>
      <c r="V537">
        <f ca="1" t="shared" si="15"/>
        <v>6.625</v>
      </c>
      <c r="AC537" s="2"/>
      <c r="AD537" t="str">
        <f>IFERROR(__xludf.DUMMYFUNCTION("""COMPUTED_VALUE"""),"The Hunger Games ")</f>
        <v>The Hunger Games </v>
      </c>
      <c r="AE537">
        <f t="shared" si="16"/>
        <v>407999113</v>
      </c>
    </row>
    <row r="538" customHeight="1" spans="1:31">
      <c r="A538" s="2" t="s">
        <v>889</v>
      </c>
      <c r="B538" s="2">
        <v>134</v>
      </c>
      <c r="C538" s="2">
        <v>36976367</v>
      </c>
      <c r="D538" s="2" t="s">
        <v>840</v>
      </c>
      <c r="E538" s="2" t="s">
        <v>30</v>
      </c>
      <c r="F538" t="s">
        <v>30</v>
      </c>
      <c r="G538" t="s">
        <v>17</v>
      </c>
      <c r="H538" t="s">
        <v>29</v>
      </c>
      <c r="N538" s="2" t="s">
        <v>18</v>
      </c>
      <c r="O538" s="2" t="s">
        <v>19</v>
      </c>
      <c r="P538" s="2">
        <v>75000000</v>
      </c>
      <c r="Q538" s="2">
        <v>6</v>
      </c>
      <c r="R538" s="2" t="s">
        <v>1267</v>
      </c>
      <c r="S538" s="2"/>
      <c r="U538" s="2" t="s">
        <v>1268</v>
      </c>
      <c r="V538">
        <f ca="1" t="shared" si="15"/>
        <v>7.4</v>
      </c>
      <c r="AC538" s="2"/>
      <c r="AD538" t="str">
        <f>IFERROR(__xludf.DUMMYFUNCTION("""COMPUTED_VALUE"""),"The Hangover Part II ")</f>
        <v>The Hangover Part II </v>
      </c>
      <c r="AE538">
        <f t="shared" si="16"/>
        <v>254455884</v>
      </c>
    </row>
    <row r="539" customHeight="1" spans="1:31">
      <c r="A539" s="2" t="s">
        <v>907</v>
      </c>
      <c r="B539" s="2">
        <v>97</v>
      </c>
      <c r="C539" s="2">
        <v>107225164</v>
      </c>
      <c r="D539" s="2" t="s">
        <v>1269</v>
      </c>
      <c r="E539" s="2" t="s">
        <v>12</v>
      </c>
      <c r="F539" t="s">
        <v>35</v>
      </c>
      <c r="G539" t="s">
        <v>15</v>
      </c>
      <c r="H539" t="s">
        <v>23</v>
      </c>
      <c r="N539" s="2" t="s">
        <v>18</v>
      </c>
      <c r="O539" s="2" t="s">
        <v>19</v>
      </c>
      <c r="P539" s="2">
        <v>73000000</v>
      </c>
      <c r="Q539" s="2">
        <v>6.3</v>
      </c>
      <c r="R539" s="2" t="s">
        <v>1270</v>
      </c>
      <c r="S539" s="2"/>
      <c r="U539" s="2" t="s">
        <v>1271</v>
      </c>
      <c r="V539">
        <f ca="1" t="shared" si="15"/>
        <v>6.9</v>
      </c>
      <c r="AC539" s="2"/>
      <c r="AD539" t="str">
        <f>IFERROR(__xludf.DUMMYFUNCTION("""COMPUTED_VALUE"""),"Batman Returns ")</f>
        <v>Batman Returns </v>
      </c>
      <c r="AE539">
        <f t="shared" si="16"/>
        <v>162831572</v>
      </c>
    </row>
    <row r="540" customHeight="1" spans="1:31">
      <c r="A540" s="2" t="s">
        <v>894</v>
      </c>
      <c r="B540" s="2">
        <v>112</v>
      </c>
      <c r="C540" s="2">
        <v>70224196</v>
      </c>
      <c r="D540" s="2" t="s">
        <v>1272</v>
      </c>
      <c r="E540" s="2" t="s">
        <v>12</v>
      </c>
      <c r="F540" t="s">
        <v>17</v>
      </c>
      <c r="G540" t="s">
        <v>14</v>
      </c>
      <c r="H540" t="s">
        <v>17</v>
      </c>
      <c r="N540" s="2" t="s">
        <v>18</v>
      </c>
      <c r="O540" s="2" t="s">
        <v>19</v>
      </c>
      <c r="P540" s="2">
        <v>70000000</v>
      </c>
      <c r="Q540" s="2">
        <v>5.6</v>
      </c>
      <c r="R540" s="2" t="s">
        <v>1273</v>
      </c>
      <c r="S540" s="2"/>
      <c r="U540" s="2" t="s">
        <v>1274</v>
      </c>
      <c r="V540">
        <f ca="1" t="shared" si="15"/>
        <v>7.38</v>
      </c>
      <c r="AC540" s="2"/>
      <c r="AD540" t="str">
        <f>IFERROR(__xludf.DUMMYFUNCTION("""COMPUTED_VALUE"""),"Over the Hedge ")</f>
        <v>Over the Hedge </v>
      </c>
      <c r="AE540">
        <f t="shared" si="16"/>
        <v>155019257</v>
      </c>
    </row>
    <row r="541" customHeight="1" spans="1:31">
      <c r="A541" s="2" t="s">
        <v>910</v>
      </c>
      <c r="B541" s="2">
        <v>153</v>
      </c>
      <c r="C541" s="2">
        <v>51814190</v>
      </c>
      <c r="D541" s="2" t="s">
        <v>975</v>
      </c>
      <c r="E541" s="2" t="s">
        <v>40</v>
      </c>
      <c r="F541" t="s">
        <v>30</v>
      </c>
      <c r="G541" t="s">
        <v>29</v>
      </c>
      <c r="H541" t="s">
        <v>24</v>
      </c>
      <c r="N541" s="2" t="s">
        <v>18</v>
      </c>
      <c r="O541" s="2" t="s">
        <v>19</v>
      </c>
      <c r="P541" s="2">
        <v>75000000</v>
      </c>
      <c r="Q541" s="2">
        <v>6.4</v>
      </c>
      <c r="R541" s="2" t="s">
        <v>1275</v>
      </c>
      <c r="S541" s="2"/>
      <c r="U541" s="2" t="s">
        <v>1276</v>
      </c>
      <c r="V541">
        <f ca="1" t="shared" si="15"/>
        <v>6.76666666666667</v>
      </c>
      <c r="AC541" s="2"/>
      <c r="AD541" t="str">
        <f>IFERROR(__xludf.DUMMYFUNCTION("""COMPUTED_VALUE"""),"Lilo &amp; Stitch ")</f>
        <v>Lilo &amp; Stitch </v>
      </c>
      <c r="AE541">
        <f t="shared" si="16"/>
        <v>145771442</v>
      </c>
    </row>
    <row r="542" customHeight="1" spans="1:31">
      <c r="A542" s="2" t="s">
        <v>107</v>
      </c>
      <c r="B542" s="2">
        <v>110</v>
      </c>
      <c r="C542" s="2">
        <v>47456450</v>
      </c>
      <c r="D542" s="2" t="s">
        <v>355</v>
      </c>
      <c r="E542" s="2" t="s">
        <v>12</v>
      </c>
      <c r="F542" t="s">
        <v>30</v>
      </c>
      <c r="G542" t="s">
        <v>30</v>
      </c>
      <c r="H542" t="s">
        <v>23</v>
      </c>
      <c r="N542" s="2" t="s">
        <v>18</v>
      </c>
      <c r="O542" s="2" t="s">
        <v>19</v>
      </c>
      <c r="P542" s="2">
        <v>70000000</v>
      </c>
      <c r="Q542" s="2">
        <v>7.1</v>
      </c>
      <c r="R542" s="2" t="s">
        <v>1277</v>
      </c>
      <c r="S542" s="2"/>
      <c r="U542" s="2" t="s">
        <v>1278</v>
      </c>
      <c r="V542">
        <f ca="1" t="shared" si="15"/>
        <v>5.96666666666667</v>
      </c>
      <c r="AC542" s="2"/>
      <c r="AD542" t="str">
        <f>IFERROR(__xludf.DUMMYFUNCTION("""COMPUTED_VALUE"""),"Deep Impact ")</f>
        <v>Deep Impact </v>
      </c>
      <c r="AE542">
        <f t="shared" si="16"/>
        <v>140458979</v>
      </c>
    </row>
    <row r="543" customHeight="1" spans="1:31">
      <c r="A543" s="2" t="s">
        <v>621</v>
      </c>
      <c r="B543" s="2">
        <v>122</v>
      </c>
      <c r="C543" s="2">
        <v>148213377</v>
      </c>
      <c r="D543" s="2" t="s">
        <v>1279</v>
      </c>
      <c r="E543" s="2" t="s">
        <v>12</v>
      </c>
      <c r="F543" t="s">
        <v>28</v>
      </c>
      <c r="G543" t="s">
        <v>17</v>
      </c>
      <c r="H543" t="s">
        <v>24</v>
      </c>
      <c r="N543" s="2" t="s">
        <v>18</v>
      </c>
      <c r="O543" s="2" t="s">
        <v>19</v>
      </c>
      <c r="P543" s="2">
        <v>73000000</v>
      </c>
      <c r="Q543" s="2">
        <v>6.6</v>
      </c>
      <c r="R543" s="2" t="s">
        <v>1280</v>
      </c>
      <c r="S543" s="2"/>
      <c r="U543" s="2" t="s">
        <v>1281</v>
      </c>
      <c r="V543">
        <f ca="1" t="shared" si="15"/>
        <v>4.7</v>
      </c>
      <c r="AC543" s="2"/>
      <c r="AD543" t="str">
        <f>IFERROR(__xludf.DUMMYFUNCTION("""COMPUTED_VALUE"""),"RED 2 ")</f>
        <v>RED 2 </v>
      </c>
      <c r="AE543">
        <f t="shared" si="16"/>
        <v>53215863</v>
      </c>
    </row>
    <row r="544" customHeight="1" spans="1:31">
      <c r="A544" s="2" t="s">
        <v>912</v>
      </c>
      <c r="B544" s="2">
        <v>87</v>
      </c>
      <c r="C544" s="2">
        <v>112950721</v>
      </c>
      <c r="D544" s="2" t="s">
        <v>214</v>
      </c>
      <c r="E544" s="2" t="s">
        <v>40</v>
      </c>
      <c r="F544" t="s">
        <v>23</v>
      </c>
      <c r="G544" t="s">
        <v>40</v>
      </c>
      <c r="H544" t="s">
        <v>24</v>
      </c>
      <c r="N544" s="2" t="s">
        <v>18</v>
      </c>
      <c r="O544" s="2" t="s">
        <v>19</v>
      </c>
      <c r="P544" s="2">
        <v>72000000</v>
      </c>
      <c r="Q544" s="2">
        <v>4.6</v>
      </c>
      <c r="R544" s="2" t="s">
        <v>1282</v>
      </c>
      <c r="S544" s="2"/>
      <c r="U544" s="2" t="s">
        <v>1283</v>
      </c>
      <c r="V544">
        <f ca="1" t="shared" si="15"/>
        <v>5.5</v>
      </c>
      <c r="AC544" s="2"/>
      <c r="AD544" t="str">
        <f>IFERROR(__xludf.DUMMYFUNCTION("""COMPUTED_VALUE"""),"The Longest Yard ")</f>
        <v>The Longest Yard </v>
      </c>
      <c r="AE544">
        <f t="shared" si="16"/>
        <v>158114918</v>
      </c>
    </row>
    <row r="545" customHeight="1" spans="1:31">
      <c r="A545" s="2" t="s">
        <v>914</v>
      </c>
      <c r="B545" s="2">
        <v>178</v>
      </c>
      <c r="C545" s="2">
        <v>75600000</v>
      </c>
      <c r="D545" s="2" t="s">
        <v>1284</v>
      </c>
      <c r="E545" s="2" t="s">
        <v>59</v>
      </c>
      <c r="F545" t="s">
        <v>15</v>
      </c>
      <c r="G545" t="s">
        <v>15</v>
      </c>
      <c r="H545" t="s">
        <v>14</v>
      </c>
      <c r="N545" s="2" t="s">
        <v>18</v>
      </c>
      <c r="O545" s="2" t="s">
        <v>19</v>
      </c>
      <c r="P545" s="2">
        <v>72000000</v>
      </c>
      <c r="Q545" s="2">
        <v>8.4</v>
      </c>
      <c r="R545" s="2" t="s">
        <v>1285</v>
      </c>
      <c r="S545" s="2"/>
      <c r="U545" s="2" t="s">
        <v>1286</v>
      </c>
      <c r="V545">
        <f ca="1" t="shared" si="15"/>
        <v>5.96666666666667</v>
      </c>
      <c r="AC545" s="2"/>
      <c r="AD545" t="str">
        <f>IFERROR(__xludf.DUMMYFUNCTION("""COMPUTED_VALUE"""),"Alvin and the Chipmunks: Chipwrecked ")</f>
        <v>Alvin and the Chipmunks: Chipwrecked </v>
      </c>
      <c r="AE545">
        <f t="shared" si="16"/>
        <v>133103842</v>
      </c>
    </row>
    <row r="546" customHeight="1" spans="1:31">
      <c r="A546" s="2" t="s">
        <v>26</v>
      </c>
      <c r="B546" s="2">
        <v>125</v>
      </c>
      <c r="C546" s="2">
        <v>62647540</v>
      </c>
      <c r="D546" s="2" t="s">
        <v>536</v>
      </c>
      <c r="E546" s="2" t="s">
        <v>12</v>
      </c>
      <c r="F546" t="s">
        <v>35</v>
      </c>
      <c r="G546" t="s">
        <v>55</v>
      </c>
      <c r="H546" t="s">
        <v>16</v>
      </c>
      <c r="N546" s="2" t="s">
        <v>18</v>
      </c>
      <c r="O546" s="2" t="s">
        <v>293</v>
      </c>
      <c r="P546" s="2">
        <v>70000000</v>
      </c>
      <c r="Q546" s="2">
        <v>7.1</v>
      </c>
      <c r="R546" s="2" t="s">
        <v>1287</v>
      </c>
      <c r="S546" s="2"/>
      <c r="U546" s="2" t="s">
        <v>1288</v>
      </c>
      <c r="V546">
        <f ca="1" t="shared" si="15"/>
        <v>6.75</v>
      </c>
      <c r="AC546" s="2"/>
      <c r="AD546" t="str">
        <f>IFERROR(__xludf.DUMMYFUNCTION("""COMPUTED_VALUE"""),"Grown Ups 2 ")</f>
        <v>Grown Ups 2 </v>
      </c>
      <c r="AE546">
        <f t="shared" si="16"/>
        <v>133668424</v>
      </c>
    </row>
    <row r="547" customHeight="1" spans="1:31">
      <c r="A547" s="2" t="s">
        <v>917</v>
      </c>
      <c r="B547" s="2">
        <v>87</v>
      </c>
      <c r="C547" s="2">
        <v>183132370</v>
      </c>
      <c r="D547" s="2" t="s">
        <v>1289</v>
      </c>
      <c r="E547" s="2" t="s">
        <v>13</v>
      </c>
      <c r="F547" t="s">
        <v>35</v>
      </c>
      <c r="G547" t="s">
        <v>55</v>
      </c>
      <c r="H547" t="s">
        <v>24</v>
      </c>
      <c r="N547" s="2" t="s">
        <v>18</v>
      </c>
      <c r="O547" s="2" t="s">
        <v>19</v>
      </c>
      <c r="P547" s="2">
        <v>75000000</v>
      </c>
      <c r="Q547" s="2">
        <v>7.4</v>
      </c>
      <c r="R547" s="2" t="s">
        <v>1290</v>
      </c>
      <c r="S547" s="2"/>
      <c r="U547" s="2" t="s">
        <v>1291</v>
      </c>
      <c r="V547">
        <f ca="1" t="shared" si="15"/>
        <v>6.85</v>
      </c>
      <c r="AC547" s="2"/>
      <c r="AD547" t="str">
        <f>IFERROR(__xludf.DUMMYFUNCTION("""COMPUTED_VALUE"""),"Get Smart ")</f>
        <v>Get Smart </v>
      </c>
      <c r="AE547">
        <f t="shared" si="16"/>
        <v>130313204</v>
      </c>
    </row>
    <row r="548" customHeight="1" spans="1:31">
      <c r="A548" s="2" t="s">
        <v>919</v>
      </c>
      <c r="B548" s="2">
        <v>152</v>
      </c>
      <c r="C548" s="2">
        <v>27796042</v>
      </c>
      <c r="D548" s="2" t="s">
        <v>103</v>
      </c>
      <c r="E548" s="2" t="s">
        <v>30</v>
      </c>
      <c r="F548" t="s">
        <v>17</v>
      </c>
      <c r="G548" t="s">
        <v>14</v>
      </c>
      <c r="H548" t="s">
        <v>16</v>
      </c>
      <c r="N548" s="2" t="s">
        <v>18</v>
      </c>
      <c r="O548" s="2" t="s">
        <v>19</v>
      </c>
      <c r="P548" s="2">
        <v>72000000</v>
      </c>
      <c r="Q548" s="2">
        <v>6.9</v>
      </c>
      <c r="R548" s="2" t="s">
        <v>1292</v>
      </c>
      <c r="S548" s="2"/>
      <c r="U548" s="2" t="s">
        <v>1293</v>
      </c>
      <c r="V548">
        <f ca="1" t="shared" si="15"/>
        <v>6.9</v>
      </c>
      <c r="AC548" s="2"/>
      <c r="AD548" t="str">
        <f>IFERROR(__xludf.DUMMYFUNCTION("""COMPUTED_VALUE"""),"Something's Gotta Give ")</f>
        <v>Something's Gotta Give </v>
      </c>
      <c r="AE548">
        <f t="shared" si="16"/>
        <v>124590832</v>
      </c>
    </row>
    <row r="549" customHeight="1" spans="1:31">
      <c r="A549" s="2" t="s">
        <v>709</v>
      </c>
      <c r="B549" s="2">
        <v>116</v>
      </c>
      <c r="C549" s="2">
        <v>32616869</v>
      </c>
      <c r="D549" s="2" t="s">
        <v>1294</v>
      </c>
      <c r="E549" s="2" t="s">
        <v>12</v>
      </c>
      <c r="F549" t="s">
        <v>13</v>
      </c>
      <c r="G549" t="s">
        <v>17</v>
      </c>
      <c r="H549" t="s">
        <v>39</v>
      </c>
      <c r="N549" s="2" t="s">
        <v>18</v>
      </c>
      <c r="O549" s="2" t="s">
        <v>19</v>
      </c>
      <c r="P549" s="2">
        <v>72000000</v>
      </c>
      <c r="Q549" s="2">
        <v>4.5</v>
      </c>
      <c r="R549" s="2" t="s">
        <v>1295</v>
      </c>
      <c r="S549" s="2"/>
      <c r="U549" s="2" t="s">
        <v>1296</v>
      </c>
      <c r="V549">
        <f ca="1" t="shared" si="15"/>
        <v>5.8</v>
      </c>
      <c r="AC549" s="2"/>
      <c r="AD549" t="str">
        <f>IFERROR(__xludf.DUMMYFUNCTION("""COMPUTED_VALUE"""),"Shutter Island ")</f>
        <v>Shutter Island </v>
      </c>
      <c r="AE549">
        <f t="shared" si="16"/>
        <v>127968267</v>
      </c>
    </row>
    <row r="550" customHeight="1" spans="1:31">
      <c r="A550" s="2" t="s">
        <v>765</v>
      </c>
      <c r="B550" s="2">
        <v>109</v>
      </c>
      <c r="C550" s="2">
        <v>18947630</v>
      </c>
      <c r="D550" s="2" t="s">
        <v>1297</v>
      </c>
      <c r="E550" s="2" t="s">
        <v>13</v>
      </c>
      <c r="F550" t="s">
        <v>35</v>
      </c>
      <c r="G550" t="s">
        <v>17</v>
      </c>
      <c r="H550" t="s">
        <v>14</v>
      </c>
      <c r="N550" s="2" t="s">
        <v>18</v>
      </c>
      <c r="O550" s="2" t="s">
        <v>707</v>
      </c>
      <c r="P550" s="2">
        <v>59660000</v>
      </c>
      <c r="Q550" s="2">
        <v>7.1</v>
      </c>
      <c r="R550" s="2" t="s">
        <v>1298</v>
      </c>
      <c r="S550" s="2"/>
      <c r="U550" s="2" t="s">
        <v>1299</v>
      </c>
      <c r="V550">
        <f ca="1" t="shared" si="15"/>
        <v>5.5</v>
      </c>
      <c r="AC550" s="2"/>
      <c r="AD550" t="str">
        <f>IFERROR(__xludf.DUMMYFUNCTION("""COMPUTED_VALUE"""),"Four Christmases ")</f>
        <v>Four Christmases </v>
      </c>
      <c r="AE550">
        <f t="shared" si="16"/>
        <v>120135959</v>
      </c>
    </row>
    <row r="551" customHeight="1" spans="1:31">
      <c r="A551" s="2" t="s">
        <v>352</v>
      </c>
      <c r="B551" s="2">
        <v>108</v>
      </c>
      <c r="C551" s="2">
        <v>114195633</v>
      </c>
      <c r="D551" s="2" t="s">
        <v>1300</v>
      </c>
      <c r="E551" s="2" t="s">
        <v>30</v>
      </c>
      <c r="F551" t="s">
        <v>24</v>
      </c>
      <c r="G551" t="s">
        <v>40</v>
      </c>
      <c r="H551" t="s">
        <v>83</v>
      </c>
      <c r="N551" s="2" t="s">
        <v>18</v>
      </c>
      <c r="O551" s="2" t="s">
        <v>19</v>
      </c>
      <c r="P551" s="2">
        <v>60000000</v>
      </c>
      <c r="Q551" s="2">
        <v>6.5</v>
      </c>
      <c r="R551" s="2" t="s">
        <v>1301</v>
      </c>
      <c r="S551" s="2"/>
      <c r="U551" s="2" t="s">
        <v>1302</v>
      </c>
      <c r="V551">
        <f ca="1" t="shared" si="15"/>
        <v>6.5</v>
      </c>
      <c r="AC551" s="2"/>
      <c r="AD551" t="str">
        <f>IFERROR(__xludf.DUMMYFUNCTION("""COMPUTED_VALUE"""),"Robots ")</f>
        <v>Robots </v>
      </c>
      <c r="AE551">
        <f t="shared" si="16"/>
        <v>128199921</v>
      </c>
    </row>
    <row r="552" customHeight="1" spans="1:31">
      <c r="A552" s="2" t="s">
        <v>921</v>
      </c>
      <c r="B552" s="2">
        <v>85</v>
      </c>
      <c r="C552" s="2">
        <v>144156464</v>
      </c>
      <c r="D552" s="2" t="s">
        <v>214</v>
      </c>
      <c r="E552" s="2" t="s">
        <v>40</v>
      </c>
      <c r="F552" t="s">
        <v>30</v>
      </c>
      <c r="G552" t="s">
        <v>39</v>
      </c>
      <c r="H552" t="s">
        <v>24</v>
      </c>
      <c r="N552" s="2" t="s">
        <v>18</v>
      </c>
      <c r="O552" s="2" t="s">
        <v>19</v>
      </c>
      <c r="P552" s="2">
        <v>71500000</v>
      </c>
      <c r="Q552" s="2">
        <v>5.3</v>
      </c>
      <c r="R552" s="2" t="s">
        <v>1303</v>
      </c>
      <c r="S552" s="2"/>
      <c r="U552" s="2" t="s">
        <v>1304</v>
      </c>
      <c r="V552">
        <f ca="1" t="shared" si="15"/>
        <v>6.26666666666667</v>
      </c>
      <c r="AC552" s="2"/>
      <c r="AD552" t="str">
        <f>IFERROR(__xludf.DUMMYFUNCTION("""COMPUTED_VALUE"""),"Face/Off ")</f>
        <v>Face/Off </v>
      </c>
      <c r="AE552">
        <f t="shared" si="16"/>
        <v>112225639</v>
      </c>
    </row>
    <row r="553" customHeight="1" spans="1:31">
      <c r="A553" s="2" t="s">
        <v>352</v>
      </c>
      <c r="B553" s="2">
        <v>106</v>
      </c>
      <c r="C553" s="2">
        <v>227965690</v>
      </c>
      <c r="D553" s="2" t="s">
        <v>1045</v>
      </c>
      <c r="E553" s="2" t="s">
        <v>30</v>
      </c>
      <c r="F553" t="s">
        <v>40</v>
      </c>
      <c r="G553" t="s">
        <v>24</v>
      </c>
      <c r="H553" t="s">
        <v>24</v>
      </c>
      <c r="N553" s="2" t="s">
        <v>18</v>
      </c>
      <c r="O553" s="2" t="s">
        <v>19</v>
      </c>
      <c r="P553" s="2">
        <v>72000000</v>
      </c>
      <c r="Q553" s="2">
        <v>6.7</v>
      </c>
      <c r="R553" s="2" t="s">
        <v>1305</v>
      </c>
      <c r="S553" s="2"/>
      <c r="U553" s="2" t="s">
        <v>1306</v>
      </c>
      <c r="V553">
        <f ca="1" t="shared" si="15"/>
        <v>7.2</v>
      </c>
      <c r="AC553" s="2"/>
      <c r="AD553" t="str">
        <f>IFERROR(__xludf.DUMMYFUNCTION("""COMPUTED_VALUE"""),"Bedtime Stories ")</f>
        <v>Bedtime Stories </v>
      </c>
      <c r="AE553">
        <f t="shared" si="16"/>
        <v>109993748</v>
      </c>
    </row>
    <row r="554" customHeight="1" spans="1:31">
      <c r="A554" s="2" t="s">
        <v>78</v>
      </c>
      <c r="B554" s="2">
        <v>93</v>
      </c>
      <c r="C554" s="2">
        <v>436471036</v>
      </c>
      <c r="D554" s="2" t="s">
        <v>1307</v>
      </c>
      <c r="E554" s="2" t="s">
        <v>13</v>
      </c>
      <c r="F554" t="s">
        <v>24</v>
      </c>
      <c r="G554" t="s">
        <v>24</v>
      </c>
      <c r="H554" t="s">
        <v>17</v>
      </c>
      <c r="N554" s="2" t="s">
        <v>18</v>
      </c>
      <c r="O554" s="2" t="s">
        <v>19</v>
      </c>
      <c r="P554" s="2">
        <v>150000000</v>
      </c>
      <c r="Q554" s="2">
        <v>7.2</v>
      </c>
      <c r="R554" s="2" t="s">
        <v>1308</v>
      </c>
      <c r="S554" s="2"/>
      <c r="U554" s="2" t="s">
        <v>1309</v>
      </c>
      <c r="V554">
        <f ca="1" t="shared" si="15"/>
        <v>5.65</v>
      </c>
      <c r="AC554" s="2"/>
      <c r="AD554" t="str">
        <f>IFERROR(__xludf.DUMMYFUNCTION("""COMPUTED_VALUE"""),"Road to Perdition ")</f>
        <v>Road to Perdition </v>
      </c>
      <c r="AE554">
        <f t="shared" si="16"/>
        <v>104054397</v>
      </c>
    </row>
    <row r="555" customHeight="1" spans="1:31">
      <c r="A555" s="2" t="s">
        <v>139</v>
      </c>
      <c r="B555" s="2">
        <v>117</v>
      </c>
      <c r="C555" s="2">
        <v>244052771</v>
      </c>
      <c r="D555" s="2" t="s">
        <v>140</v>
      </c>
      <c r="E555" s="2" t="s">
        <v>13</v>
      </c>
      <c r="F555" t="s">
        <v>13</v>
      </c>
      <c r="G555" t="s">
        <v>24</v>
      </c>
      <c r="H555" t="s">
        <v>24</v>
      </c>
      <c r="N555" s="2" t="s">
        <v>18</v>
      </c>
      <c r="O555" s="2" t="s">
        <v>19</v>
      </c>
      <c r="P555" s="2">
        <v>120000000</v>
      </c>
      <c r="Q555" s="2">
        <v>7.2</v>
      </c>
      <c r="R555" s="2" t="s">
        <v>1310</v>
      </c>
      <c r="S555" s="2"/>
      <c r="U555" s="2" t="s">
        <v>1311</v>
      </c>
      <c r="V555">
        <f ca="1" t="shared" si="15"/>
        <v>6.6</v>
      </c>
      <c r="AC555" s="2"/>
      <c r="AD555" t="str">
        <f>IFERROR(__xludf.DUMMYFUNCTION("""COMPUTED_VALUE"""),"Just Go with It ")</f>
        <v>Just Go with It </v>
      </c>
      <c r="AE555">
        <f t="shared" si="16"/>
        <v>103027992</v>
      </c>
    </row>
    <row r="556" customHeight="1" spans="1:31">
      <c r="A556" s="2" t="s">
        <v>923</v>
      </c>
      <c r="B556" s="2">
        <v>116</v>
      </c>
      <c r="C556" s="2">
        <v>152149590</v>
      </c>
      <c r="D556" s="2" t="s">
        <v>607</v>
      </c>
      <c r="E556" s="2" t="s">
        <v>40</v>
      </c>
      <c r="F556" t="s">
        <v>28</v>
      </c>
      <c r="G556" t="s">
        <v>14</v>
      </c>
      <c r="H556" t="s">
        <v>24</v>
      </c>
      <c r="N556" s="2" t="s">
        <v>18</v>
      </c>
      <c r="O556" s="2" t="s">
        <v>19</v>
      </c>
      <c r="P556" s="2">
        <v>70000000</v>
      </c>
      <c r="Q556" s="2">
        <v>5.5</v>
      </c>
      <c r="R556" s="2" t="s">
        <v>1312</v>
      </c>
      <c r="S556" s="2"/>
      <c r="U556" s="2" t="s">
        <v>1313</v>
      </c>
      <c r="V556">
        <f ca="1" t="shared" si="15"/>
        <v>5.9</v>
      </c>
      <c r="AC556" s="2"/>
      <c r="AD556" t="str">
        <f>IFERROR(__xludf.DUMMYFUNCTION("""COMPUTED_VALUE"""),"Con Air ")</f>
        <v>Con Air </v>
      </c>
      <c r="AE556">
        <f t="shared" si="16"/>
        <v>101087038</v>
      </c>
    </row>
    <row r="557" customHeight="1" spans="1:31">
      <c r="A557" s="2" t="s">
        <v>207</v>
      </c>
      <c r="B557" s="2">
        <v>132</v>
      </c>
      <c r="C557" s="2">
        <v>141204016</v>
      </c>
      <c r="D557" s="2" t="s">
        <v>27</v>
      </c>
      <c r="E557" s="2" t="s">
        <v>12</v>
      </c>
      <c r="F557" t="s">
        <v>14</v>
      </c>
      <c r="G557" t="s">
        <v>24</v>
      </c>
      <c r="H557" t="s">
        <v>30</v>
      </c>
      <c r="N557" s="2" t="s">
        <v>18</v>
      </c>
      <c r="O557" s="2" t="s">
        <v>19</v>
      </c>
      <c r="P557" s="2">
        <v>70000000</v>
      </c>
      <c r="Q557" s="2">
        <v>5.8</v>
      </c>
      <c r="R557" s="2" t="s">
        <v>1314</v>
      </c>
      <c r="S557" s="2"/>
      <c r="U557" s="2" t="s">
        <v>1315</v>
      </c>
      <c r="V557">
        <f ca="1" t="shared" si="15"/>
        <v>6.5</v>
      </c>
      <c r="AC557" s="2"/>
      <c r="AD557" t="str">
        <f>IFERROR(__xludf.DUMMYFUNCTION("""COMPUTED_VALUE"""),"Eagle Eye ")</f>
        <v>Eagle Eye </v>
      </c>
      <c r="AE557">
        <f t="shared" si="16"/>
        <v>101111719</v>
      </c>
    </row>
    <row r="558" customHeight="1" spans="1:31">
      <c r="A558" s="2" t="s">
        <v>925</v>
      </c>
      <c r="B558" s="2">
        <v>92</v>
      </c>
      <c r="C558" s="2">
        <v>162495848</v>
      </c>
      <c r="D558" s="2" t="s">
        <v>124</v>
      </c>
      <c r="E558" s="2" t="s">
        <v>13</v>
      </c>
      <c r="F558" t="s">
        <v>72</v>
      </c>
      <c r="G558" t="s">
        <v>24</v>
      </c>
      <c r="H558" t="s">
        <v>24</v>
      </c>
      <c r="N558" s="2" t="s">
        <v>18</v>
      </c>
      <c r="O558" s="2" t="s">
        <v>19</v>
      </c>
      <c r="P558" s="2">
        <v>74000000</v>
      </c>
      <c r="Q558" s="2">
        <v>6</v>
      </c>
      <c r="R558" s="2" t="s">
        <v>1316</v>
      </c>
      <c r="S558" s="2"/>
      <c r="U558" s="2" t="s">
        <v>1317</v>
      </c>
      <c r="V558">
        <f ca="1" t="shared" si="15"/>
        <v>5.46666666666667</v>
      </c>
      <c r="AC558" s="2"/>
      <c r="AD558" t="str">
        <f>IFERROR(__xludf.DUMMYFUNCTION("""COMPUTED_VALUE"""),"Cold Mountain ")</f>
        <v>Cold Mountain </v>
      </c>
      <c r="AE558">
        <f t="shared" si="16"/>
        <v>95632460</v>
      </c>
    </row>
    <row r="559" customHeight="1" spans="1:31">
      <c r="A559" s="2" t="s">
        <v>327</v>
      </c>
      <c r="B559" s="2">
        <v>139</v>
      </c>
      <c r="C559" s="2">
        <v>136448821</v>
      </c>
      <c r="D559" s="2" t="s">
        <v>557</v>
      </c>
      <c r="E559" s="2" t="s">
        <v>56</v>
      </c>
      <c r="F559" t="s">
        <v>40</v>
      </c>
      <c r="G559" t="s">
        <v>23</v>
      </c>
      <c r="H559" t="s">
        <v>17</v>
      </c>
      <c r="N559" s="2" t="s">
        <v>18</v>
      </c>
      <c r="O559" s="2" t="s">
        <v>19</v>
      </c>
      <c r="P559" s="2">
        <v>80000000</v>
      </c>
      <c r="Q559" s="2">
        <v>6.6</v>
      </c>
      <c r="R559" s="2" t="s">
        <v>1318</v>
      </c>
      <c r="S559" s="2"/>
      <c r="U559" s="2" t="s">
        <v>1319</v>
      </c>
      <c r="V559">
        <f ca="1" t="shared" si="15"/>
        <v>3.5</v>
      </c>
      <c r="AC559" s="2"/>
      <c r="AD559" t="str">
        <f>IFERROR(__xludf.DUMMYFUNCTION("""COMPUTED_VALUE"""),"The Book of Eli ")</f>
        <v>The Book of Eli </v>
      </c>
      <c r="AE559">
        <f t="shared" si="16"/>
        <v>94822589</v>
      </c>
    </row>
    <row r="560" customHeight="1" spans="1:31">
      <c r="A560" s="2" t="s">
        <v>627</v>
      </c>
      <c r="B560" s="2">
        <v>153</v>
      </c>
      <c r="C560" s="2">
        <v>120523073</v>
      </c>
      <c r="D560" s="2" t="s">
        <v>1320</v>
      </c>
      <c r="E560" s="2" t="s">
        <v>13</v>
      </c>
      <c r="F560" t="s">
        <v>30</v>
      </c>
      <c r="G560" t="s">
        <v>30</v>
      </c>
      <c r="H560" t="s">
        <v>24</v>
      </c>
      <c r="N560" s="2" t="s">
        <v>18</v>
      </c>
      <c r="O560" s="2" t="s">
        <v>19</v>
      </c>
      <c r="P560" s="2">
        <v>75000000</v>
      </c>
      <c r="Q560" s="2">
        <v>8.3</v>
      </c>
      <c r="R560" s="2" t="s">
        <v>1321</v>
      </c>
      <c r="S560" s="2"/>
      <c r="U560" s="2" t="s">
        <v>1322</v>
      </c>
      <c r="V560">
        <f ca="1" t="shared" si="15"/>
        <v>5.6625</v>
      </c>
      <c r="AC560" s="2"/>
      <c r="AD560" t="str">
        <f>IFERROR(__xludf.DUMMYFUNCTION("""COMPUTED_VALUE"""),"Flubber ")</f>
        <v>Flubber </v>
      </c>
      <c r="AE560">
        <f t="shared" si="16"/>
        <v>92969734</v>
      </c>
    </row>
    <row r="561" customHeight="1" spans="1:31">
      <c r="A561" s="2" t="s">
        <v>166</v>
      </c>
      <c r="B561" s="2">
        <v>142</v>
      </c>
      <c r="C561" s="2">
        <v>119654900</v>
      </c>
      <c r="D561" s="2" t="s">
        <v>301</v>
      </c>
      <c r="E561" s="2" t="s">
        <v>13</v>
      </c>
      <c r="F561" t="s">
        <v>24</v>
      </c>
      <c r="G561" t="s">
        <v>17</v>
      </c>
      <c r="H561" t="s">
        <v>83</v>
      </c>
      <c r="N561" s="2" t="s">
        <v>18</v>
      </c>
      <c r="O561" s="2" t="s">
        <v>19</v>
      </c>
      <c r="P561" s="2">
        <v>70000000</v>
      </c>
      <c r="Q561" s="2">
        <v>6.7</v>
      </c>
      <c r="R561" s="2" t="s">
        <v>1323</v>
      </c>
      <c r="S561" s="2"/>
      <c r="U561" s="2" t="s">
        <v>1324</v>
      </c>
      <c r="V561">
        <f ca="1" t="shared" si="15"/>
        <v>4.35</v>
      </c>
      <c r="AC561" s="2"/>
      <c r="AD561" t="str">
        <f>IFERROR(__xludf.DUMMYFUNCTION("""COMPUTED_VALUE"""),"The Haunting ")</f>
        <v>The Haunting </v>
      </c>
      <c r="AE561">
        <f t="shared" si="16"/>
        <v>91188792</v>
      </c>
    </row>
    <row r="562" customHeight="1" spans="1:31">
      <c r="A562" s="2" t="s">
        <v>709</v>
      </c>
      <c r="B562" s="2">
        <v>124</v>
      </c>
      <c r="C562" s="2">
        <v>117541000</v>
      </c>
      <c r="D562" s="2" t="s">
        <v>34</v>
      </c>
      <c r="E562" s="2" t="s">
        <v>12</v>
      </c>
      <c r="F562" t="s">
        <v>13</v>
      </c>
      <c r="G562" t="s">
        <v>14</v>
      </c>
      <c r="H562" t="s">
        <v>56</v>
      </c>
      <c r="N562" s="2" t="s">
        <v>18</v>
      </c>
      <c r="O562" s="2" t="s">
        <v>19</v>
      </c>
      <c r="P562" s="2">
        <v>70000000</v>
      </c>
      <c r="Q562" s="2">
        <v>7.1</v>
      </c>
      <c r="R562" s="2" t="s">
        <v>1325</v>
      </c>
      <c r="S562" s="2"/>
      <c r="U562" s="2" t="s">
        <v>1326</v>
      </c>
      <c r="V562">
        <f ca="1" t="shared" si="15"/>
        <v>5.7</v>
      </c>
      <c r="AC562" s="2"/>
      <c r="AD562" t="str">
        <f>IFERROR(__xludf.DUMMYFUNCTION("""COMPUTED_VALUE"""),"Space Jam ")</f>
        <v>Space Jam </v>
      </c>
      <c r="AE562">
        <f t="shared" si="16"/>
        <v>90443515</v>
      </c>
    </row>
    <row r="563" customHeight="1" spans="1:31">
      <c r="A563" s="2" t="s">
        <v>927</v>
      </c>
      <c r="B563" s="2">
        <v>117</v>
      </c>
      <c r="C563" s="2">
        <v>116643346</v>
      </c>
      <c r="D563" s="2" t="s">
        <v>1327</v>
      </c>
      <c r="E563" s="2" t="s">
        <v>12</v>
      </c>
      <c r="F563" t="s">
        <v>15</v>
      </c>
      <c r="G563" t="s">
        <v>15</v>
      </c>
      <c r="H563" t="s">
        <v>24</v>
      </c>
      <c r="N563" s="2" t="s">
        <v>18</v>
      </c>
      <c r="O563" s="2" t="s">
        <v>19</v>
      </c>
      <c r="P563" s="2">
        <v>80000000</v>
      </c>
      <c r="Q563" s="2">
        <v>6</v>
      </c>
      <c r="R563" s="2" t="s">
        <v>1328</v>
      </c>
      <c r="S563" s="2"/>
      <c r="U563" s="2" t="s">
        <v>1329</v>
      </c>
      <c r="V563">
        <f ca="1" t="shared" si="15"/>
        <v>5.9</v>
      </c>
      <c r="AC563" s="2"/>
      <c r="AD563" t="str">
        <f>IFERROR(__xludf.DUMMYFUNCTION("""COMPUTED_VALUE"""),"The Pink Panther ")</f>
        <v>The Pink Panther </v>
      </c>
      <c r="AE563">
        <f t="shared" si="16"/>
        <v>82226381</v>
      </c>
    </row>
    <row r="564" customHeight="1" spans="1:31">
      <c r="A564" s="2" t="s">
        <v>929</v>
      </c>
      <c r="B564" s="2">
        <v>141</v>
      </c>
      <c r="C564" s="2">
        <v>100614858</v>
      </c>
      <c r="D564" s="2" t="s">
        <v>1330</v>
      </c>
      <c r="E564" s="2" t="s">
        <v>14</v>
      </c>
      <c r="F564" t="s">
        <v>30</v>
      </c>
      <c r="G564" t="s">
        <v>24</v>
      </c>
      <c r="H564" t="s">
        <v>17</v>
      </c>
      <c r="N564" s="2" t="s">
        <v>18</v>
      </c>
      <c r="O564" s="2" t="s">
        <v>19</v>
      </c>
      <c r="P564" s="2">
        <v>68000000</v>
      </c>
      <c r="Q564" s="2">
        <v>6.9</v>
      </c>
      <c r="R564" s="2" t="s">
        <v>1331</v>
      </c>
      <c r="S564" s="2"/>
      <c r="U564" s="2" t="s">
        <v>1332</v>
      </c>
      <c r="V564">
        <f ca="1" t="shared" si="15"/>
        <v>6.25</v>
      </c>
      <c r="AC564" s="2"/>
      <c r="AD564" t="str">
        <f>IFERROR(__xludf.DUMMYFUNCTION("""COMPUTED_VALUE"""),"The Day the Earth Stood Still ")</f>
        <v>The Day the Earth Stood Still </v>
      </c>
      <c r="AE564">
        <f t="shared" si="16"/>
        <v>79363681</v>
      </c>
    </row>
    <row r="565" customHeight="1" spans="1:31">
      <c r="A565" s="2" t="s">
        <v>352</v>
      </c>
      <c r="B565" s="2">
        <v>110</v>
      </c>
      <c r="C565" s="2">
        <v>42272747</v>
      </c>
      <c r="D565" s="2" t="s">
        <v>1333</v>
      </c>
      <c r="E565" s="2" t="s">
        <v>30</v>
      </c>
      <c r="F565" t="s">
        <v>72</v>
      </c>
      <c r="G565" t="s">
        <v>30</v>
      </c>
      <c r="H565" t="s">
        <v>24</v>
      </c>
      <c r="N565" s="2" t="s">
        <v>18</v>
      </c>
      <c r="O565" s="2" t="s">
        <v>19</v>
      </c>
      <c r="P565" s="2">
        <v>70000000</v>
      </c>
      <c r="Q565" s="2">
        <v>5.6</v>
      </c>
      <c r="R565" s="2" t="s">
        <v>1334</v>
      </c>
      <c r="S565" s="2"/>
      <c r="U565" s="2" t="s">
        <v>1335</v>
      </c>
      <c r="V565">
        <f ca="1" t="shared" si="15"/>
        <v>6.76</v>
      </c>
      <c r="AC565" s="2"/>
      <c r="AD565" t="str">
        <f>IFERROR(__xludf.DUMMYFUNCTION("""COMPUTED_VALUE"""),"Conspiracy Theory ")</f>
        <v>Conspiracy Theory </v>
      </c>
      <c r="AE565">
        <f t="shared" si="16"/>
        <v>76081363</v>
      </c>
    </row>
    <row r="566" customHeight="1" spans="1:31">
      <c r="A566" s="2" t="s">
        <v>750</v>
      </c>
      <c r="B566" s="2">
        <v>109</v>
      </c>
      <c r="C566" s="2">
        <v>80281096</v>
      </c>
      <c r="D566" s="2" t="s">
        <v>843</v>
      </c>
      <c r="E566" s="2" t="s">
        <v>12</v>
      </c>
      <c r="F566" t="s">
        <v>29</v>
      </c>
      <c r="G566" t="s">
        <v>24</v>
      </c>
      <c r="H566" t="s">
        <v>24</v>
      </c>
      <c r="N566" s="2" t="s">
        <v>18</v>
      </c>
      <c r="O566" s="2" t="s">
        <v>19</v>
      </c>
      <c r="P566" s="2">
        <v>60000000</v>
      </c>
      <c r="Q566" s="2">
        <v>5.6</v>
      </c>
      <c r="R566" s="2" t="s">
        <v>1336</v>
      </c>
      <c r="S566" s="2"/>
      <c r="U566" s="2" t="s">
        <v>1337</v>
      </c>
      <c r="V566">
        <f ca="1" t="shared" si="15"/>
        <v>6.15714285714286</v>
      </c>
      <c r="AC566" s="2"/>
      <c r="AD566" t="str">
        <f>IFERROR(__xludf.DUMMYFUNCTION("""COMPUTED_VALUE"""),"Fury ")</f>
        <v>Fury </v>
      </c>
      <c r="AE566">
        <f t="shared" si="16"/>
        <v>85706982</v>
      </c>
    </row>
    <row r="567" customHeight="1" spans="1:31">
      <c r="A567" s="2" t="s">
        <v>921</v>
      </c>
      <c r="B567" s="2">
        <v>88</v>
      </c>
      <c r="C567" s="2">
        <v>219613391</v>
      </c>
      <c r="D567" s="2" t="s">
        <v>1338</v>
      </c>
      <c r="E567" s="2" t="s">
        <v>35</v>
      </c>
      <c r="F567" t="s">
        <v>29</v>
      </c>
      <c r="G567" t="s">
        <v>40</v>
      </c>
      <c r="H567" t="s">
        <v>15</v>
      </c>
      <c r="N567" s="2" t="s">
        <v>18</v>
      </c>
      <c r="O567" s="2" t="s">
        <v>19</v>
      </c>
      <c r="P567" s="2">
        <v>75000000</v>
      </c>
      <c r="Q567" s="2">
        <v>4.5</v>
      </c>
      <c r="R567" s="2" t="s">
        <v>1339</v>
      </c>
      <c r="S567" s="2"/>
      <c r="U567" s="2" t="s">
        <v>1340</v>
      </c>
      <c r="V567">
        <f ca="1" t="shared" ref="V567:V630" si="17">AVERAGEIF(A451:A4236,U567,Q452:Q4236)</f>
        <v>6.68</v>
      </c>
      <c r="AC567" s="2"/>
      <c r="AD567" t="str">
        <f>IFERROR(__xludf.DUMMYFUNCTION("""COMPUTED_VALUE"""),"Six Days Seven Nights ")</f>
        <v>Six Days Seven Nights </v>
      </c>
      <c r="AE567">
        <f t="shared" ref="AE567:AE630" si="18">C451-B451</f>
        <v>74329868</v>
      </c>
    </row>
    <row r="568" customHeight="1" spans="1:31">
      <c r="A568" s="2" t="s">
        <v>932</v>
      </c>
      <c r="B568" s="2">
        <v>124</v>
      </c>
      <c r="C568" s="2">
        <v>78120196</v>
      </c>
      <c r="D568" s="2" t="s">
        <v>386</v>
      </c>
      <c r="E568" s="2" t="s">
        <v>12</v>
      </c>
      <c r="F568" t="s">
        <v>30</v>
      </c>
      <c r="G568" t="s">
        <v>40</v>
      </c>
      <c r="H568" t="s">
        <v>24</v>
      </c>
      <c r="N568" s="2" t="s">
        <v>18</v>
      </c>
      <c r="O568" s="2" t="s">
        <v>19</v>
      </c>
      <c r="P568" s="2">
        <v>75000000</v>
      </c>
      <c r="Q568" s="2">
        <v>7.1</v>
      </c>
      <c r="R568" s="2" t="s">
        <v>1341</v>
      </c>
      <c r="S568" s="2"/>
      <c r="U568" s="2" t="s">
        <v>1342</v>
      </c>
      <c r="V568">
        <f ca="1" t="shared" si="17"/>
        <v>7.3</v>
      </c>
      <c r="AC568" s="2"/>
      <c r="AD568" t="str">
        <f>IFERROR(__xludf.DUMMYFUNCTION("""COMPUTED_VALUE"""),"Yogi Bear ")</f>
        <v>Yogi Bear </v>
      </c>
      <c r="AE568">
        <f t="shared" si="18"/>
        <v>100168988</v>
      </c>
    </row>
    <row r="569" customHeight="1" spans="1:31">
      <c r="A569" s="2" t="s">
        <v>881</v>
      </c>
      <c r="B569" s="2">
        <v>119</v>
      </c>
      <c r="C569" s="2">
        <v>98895417</v>
      </c>
      <c r="D569" s="2" t="s">
        <v>34</v>
      </c>
      <c r="E569" s="2" t="s">
        <v>12</v>
      </c>
      <c r="F569" t="s">
        <v>30</v>
      </c>
      <c r="G569" t="s">
        <v>15</v>
      </c>
      <c r="H569" t="s">
        <v>14</v>
      </c>
      <c r="N569" s="2" t="s">
        <v>18</v>
      </c>
      <c r="O569" s="2" t="s">
        <v>19</v>
      </c>
      <c r="P569" s="2">
        <v>70000000</v>
      </c>
      <c r="Q569" s="2">
        <v>6.5</v>
      </c>
      <c r="R569" s="2" t="s">
        <v>1343</v>
      </c>
      <c r="S569" s="2"/>
      <c r="U569" s="2" t="s">
        <v>1344</v>
      </c>
      <c r="V569">
        <f ca="1" t="shared" si="17"/>
        <v>6.66666666666667</v>
      </c>
      <c r="AC569" s="2"/>
      <c r="AD569" t="str">
        <f>IFERROR(__xludf.DUMMYFUNCTION("""COMPUTED_VALUE"""),"Spirit: Stallion of the Cimarron ")</f>
        <v>Spirit: Stallion of the Cimarron </v>
      </c>
      <c r="AE569">
        <f t="shared" si="18"/>
        <v>73215227</v>
      </c>
    </row>
    <row r="570" customHeight="1" spans="1:31">
      <c r="A570" s="2" t="s">
        <v>934</v>
      </c>
      <c r="B570" s="2">
        <v>103</v>
      </c>
      <c r="C570" s="2">
        <v>70117571</v>
      </c>
      <c r="D570" s="2" t="s">
        <v>108</v>
      </c>
      <c r="E570" s="2" t="s">
        <v>12</v>
      </c>
      <c r="F570" t="s">
        <v>24</v>
      </c>
      <c r="G570" t="s">
        <v>14</v>
      </c>
      <c r="H570" t="s">
        <v>28</v>
      </c>
      <c r="N570" s="2" t="s">
        <v>18</v>
      </c>
      <c r="O570" s="2" t="s">
        <v>19</v>
      </c>
      <c r="P570" s="2">
        <v>58000000</v>
      </c>
      <c r="Q570" s="2">
        <v>6.4</v>
      </c>
      <c r="R570" s="2" t="s">
        <v>1345</v>
      </c>
      <c r="S570" s="2"/>
      <c r="U570" s="2" t="s">
        <v>1346</v>
      </c>
      <c r="V570">
        <f ca="1" t="shared" si="17"/>
        <v>5.46666666666667</v>
      </c>
      <c r="AC570" s="2"/>
      <c r="AD570" t="str">
        <f>IFERROR(__xludf.DUMMYFUNCTION("""COMPUTED_VALUE"""),"Zookeeper ")</f>
        <v>Zookeeper </v>
      </c>
      <c r="AE570">
        <f t="shared" si="18"/>
        <v>80360764</v>
      </c>
    </row>
    <row r="571" customHeight="1" spans="1:31">
      <c r="A571" s="2" t="s">
        <v>338</v>
      </c>
      <c r="B571" s="2">
        <v>116</v>
      </c>
      <c r="C571" s="2">
        <v>83552429</v>
      </c>
      <c r="D571" s="2" t="s">
        <v>256</v>
      </c>
      <c r="E571" s="2" t="s">
        <v>12</v>
      </c>
      <c r="F571" t="s">
        <v>23</v>
      </c>
      <c r="G571" t="s">
        <v>24</v>
      </c>
      <c r="H571" t="s">
        <v>24</v>
      </c>
      <c r="N571" s="2" t="s">
        <v>18</v>
      </c>
      <c r="O571" s="2" t="s">
        <v>19</v>
      </c>
      <c r="P571" s="2">
        <v>70000000</v>
      </c>
      <c r="Q571" s="2">
        <v>5.8</v>
      </c>
      <c r="R571" s="2" t="s">
        <v>1347</v>
      </c>
      <c r="S571" s="2"/>
      <c r="U571" s="2" t="s">
        <v>1348</v>
      </c>
      <c r="V571">
        <f ca="1" t="shared" si="17"/>
        <v>6.45</v>
      </c>
      <c r="AC571" s="2"/>
      <c r="AD571" t="str">
        <f>IFERROR(__xludf.DUMMYFUNCTION("""COMPUTED_VALUE"""),"Lost in Space ")</f>
        <v>Lost in Space </v>
      </c>
      <c r="AE571">
        <f t="shared" si="18"/>
        <v>69102780</v>
      </c>
    </row>
    <row r="572" customHeight="1" spans="1:31">
      <c r="A572" s="2" t="s">
        <v>117</v>
      </c>
      <c r="B572" s="2">
        <v>125</v>
      </c>
      <c r="C572" s="2">
        <v>66257002</v>
      </c>
      <c r="D572" s="2" t="s">
        <v>499</v>
      </c>
      <c r="E572" s="2" t="s">
        <v>13</v>
      </c>
      <c r="F572" t="s">
        <v>59</v>
      </c>
      <c r="G572" t="s">
        <v>17</v>
      </c>
      <c r="H572" t="s">
        <v>24</v>
      </c>
      <c r="N572" s="2" t="s">
        <v>18</v>
      </c>
      <c r="O572" s="2" t="s">
        <v>19</v>
      </c>
      <c r="P572" s="2">
        <v>70000000</v>
      </c>
      <c r="Q572" s="2">
        <v>8</v>
      </c>
      <c r="R572" s="2" t="s">
        <v>1349</v>
      </c>
      <c r="S572" s="2"/>
      <c r="U572" s="2" t="s">
        <v>1350</v>
      </c>
      <c r="V572">
        <f ca="1" t="shared" si="17"/>
        <v>4.7</v>
      </c>
      <c r="AC572" s="2"/>
      <c r="AD572" t="str">
        <f>IFERROR(__xludf.DUMMYFUNCTION("""COMPUTED_VALUE"""),"The Manchurian Candidate ")</f>
        <v>The Manchurian Candidate </v>
      </c>
      <c r="AE572">
        <f t="shared" si="18"/>
        <v>65948582</v>
      </c>
    </row>
    <row r="573" customHeight="1" spans="1:31">
      <c r="A573" s="2" t="s">
        <v>876</v>
      </c>
      <c r="B573" s="2">
        <v>125</v>
      </c>
      <c r="C573" s="2">
        <v>65012000</v>
      </c>
      <c r="D573" s="2" t="s">
        <v>1351</v>
      </c>
      <c r="E573" s="2" t="s">
        <v>30</v>
      </c>
      <c r="F573" t="s">
        <v>30</v>
      </c>
      <c r="G573" t="s">
        <v>30</v>
      </c>
      <c r="H573" t="s">
        <v>17</v>
      </c>
      <c r="N573" s="2" t="s">
        <v>18</v>
      </c>
      <c r="O573" s="2" t="s">
        <v>19</v>
      </c>
      <c r="P573" s="2">
        <v>70000000</v>
      </c>
      <c r="Q573" s="2">
        <v>6.2</v>
      </c>
      <c r="R573" s="2" t="s">
        <v>1352</v>
      </c>
      <c r="S573" s="2"/>
      <c r="U573" s="2" t="s">
        <v>1353</v>
      </c>
      <c r="V573">
        <f ca="1" t="shared" si="17"/>
        <v>6.75</v>
      </c>
      <c r="AC573" s="2"/>
      <c r="AD573" t="str">
        <f>IFERROR(__xludf.DUMMYFUNCTION("""COMPUTED_VALUE"""),"Hotel Transylvania 2 ")</f>
        <v>Hotel Transylvania 2 </v>
      </c>
      <c r="AE573">
        <f t="shared" si="18"/>
        <v>169692483</v>
      </c>
    </row>
    <row r="574" customHeight="1" spans="1:31">
      <c r="A574" s="2" t="s">
        <v>166</v>
      </c>
      <c r="B574" s="2">
        <v>146</v>
      </c>
      <c r="C574" s="2">
        <v>79883359</v>
      </c>
      <c r="D574" s="2" t="s">
        <v>1354</v>
      </c>
      <c r="E574" s="2" t="s">
        <v>30</v>
      </c>
      <c r="F574" t="s">
        <v>13</v>
      </c>
      <c r="G574" t="s">
        <v>14</v>
      </c>
      <c r="H574" t="s">
        <v>17</v>
      </c>
      <c r="N574" s="2" t="s">
        <v>18</v>
      </c>
      <c r="O574" s="2" t="s">
        <v>19</v>
      </c>
      <c r="P574" s="2">
        <v>66000000</v>
      </c>
      <c r="Q574" s="2">
        <v>7.2</v>
      </c>
      <c r="R574" s="2" t="s">
        <v>1355</v>
      </c>
      <c r="S574" s="2"/>
      <c r="U574" s="2" t="s">
        <v>1356</v>
      </c>
      <c r="V574">
        <f ca="1" t="shared" si="17"/>
        <v>7.35</v>
      </c>
      <c r="AC574" s="2"/>
      <c r="AD574" t="str">
        <f>IFERROR(__xludf.DUMMYFUNCTION("""COMPUTED_VALUE"""),"Fantasia 2000 ")</f>
        <v>Fantasia 2000 </v>
      </c>
      <c r="AE574">
        <f t="shared" si="18"/>
        <v>60507154</v>
      </c>
    </row>
    <row r="575" customHeight="1" spans="1:31">
      <c r="A575" s="2" t="s">
        <v>936</v>
      </c>
      <c r="B575" s="2">
        <v>118</v>
      </c>
      <c r="C575" s="2">
        <v>78031620</v>
      </c>
      <c r="D575" s="2" t="s">
        <v>1354</v>
      </c>
      <c r="E575" s="2" t="s">
        <v>30</v>
      </c>
      <c r="F575" t="s">
        <v>13</v>
      </c>
      <c r="G575" t="s">
        <v>56</v>
      </c>
      <c r="H575" t="s">
        <v>24</v>
      </c>
      <c r="N575" s="2" t="s">
        <v>18</v>
      </c>
      <c r="O575" s="2" t="s">
        <v>19</v>
      </c>
      <c r="P575" s="2">
        <v>70000000</v>
      </c>
      <c r="Q575" s="2">
        <v>6.1</v>
      </c>
      <c r="R575" s="2" t="s">
        <v>1357</v>
      </c>
      <c r="S575" s="2"/>
      <c r="U575" s="2" t="s">
        <v>1358</v>
      </c>
      <c r="V575">
        <f ca="1" t="shared" si="17"/>
        <v>5.13333333333333</v>
      </c>
      <c r="AC575" s="2"/>
      <c r="AD575" t="str">
        <f>IFERROR(__xludf.DUMMYFUNCTION("""COMPUTED_VALUE"""),"The Time Machine ")</f>
        <v>The Time Machine </v>
      </c>
      <c r="AE575">
        <f t="shared" si="18"/>
        <v>56684723</v>
      </c>
    </row>
    <row r="576" customHeight="1" spans="1:31">
      <c r="A576" s="2" t="s">
        <v>10</v>
      </c>
      <c r="B576" s="2">
        <v>171</v>
      </c>
      <c r="C576" s="2">
        <v>54222000</v>
      </c>
      <c r="D576" s="2" t="s">
        <v>541</v>
      </c>
      <c r="E576" s="2" t="s">
        <v>13</v>
      </c>
      <c r="F576" t="s">
        <v>13</v>
      </c>
      <c r="G576" t="s">
        <v>40</v>
      </c>
      <c r="H576" t="s">
        <v>14</v>
      </c>
      <c r="N576" s="2" t="s">
        <v>18</v>
      </c>
      <c r="O576" s="2" t="s">
        <v>19</v>
      </c>
      <c r="P576" s="2">
        <v>69500000</v>
      </c>
      <c r="Q576" s="2">
        <v>7.6</v>
      </c>
      <c r="R576" s="2" t="s">
        <v>1359</v>
      </c>
      <c r="S576" s="2"/>
      <c r="U576" s="2" t="s">
        <v>1360</v>
      </c>
      <c r="V576">
        <f ca="1" t="shared" si="17"/>
        <v>5.2</v>
      </c>
      <c r="AC576" s="2"/>
      <c r="AD576" t="str">
        <f>IFERROR(__xludf.DUMMYFUNCTION("""COMPUTED_VALUE"""),"Mighty Joe Young ")</f>
        <v>Mighty Joe Young </v>
      </c>
      <c r="AE576">
        <f t="shared" si="18"/>
        <v>50627895</v>
      </c>
    </row>
    <row r="577" customHeight="1" spans="1:31">
      <c r="A577" s="2" t="s">
        <v>291</v>
      </c>
      <c r="B577" s="2">
        <v>136</v>
      </c>
      <c r="C577" s="2">
        <v>52474616</v>
      </c>
      <c r="D577" s="2" t="s">
        <v>30</v>
      </c>
      <c r="E577" s="2" t="s">
        <v>30</v>
      </c>
      <c r="F577" t="s">
        <v>14</v>
      </c>
      <c r="G577" t="s">
        <v>24</v>
      </c>
      <c r="H577" t="s">
        <v>15</v>
      </c>
      <c r="N577" s="2" t="s">
        <v>18</v>
      </c>
      <c r="O577" s="2" t="s">
        <v>19</v>
      </c>
      <c r="P577" s="2">
        <v>70000000</v>
      </c>
      <c r="Q577" s="2">
        <v>6.3</v>
      </c>
      <c r="R577" s="2" t="s">
        <v>1361</v>
      </c>
      <c r="S577" s="2"/>
      <c r="U577" s="2" t="s">
        <v>1362</v>
      </c>
      <c r="V577">
        <f ca="1" t="shared" si="17"/>
        <v>5.03333333333333</v>
      </c>
      <c r="AC577" s="2"/>
      <c r="AD577" t="str">
        <f>IFERROR(__xludf.DUMMYFUNCTION("""COMPUTED_VALUE"""),"Swordfish ")</f>
        <v>Swordfish </v>
      </c>
      <c r="AE577">
        <f t="shared" si="18"/>
        <v>69772870</v>
      </c>
    </row>
    <row r="578" customHeight="1" spans="1:31">
      <c r="A578" s="2" t="s">
        <v>938</v>
      </c>
      <c r="B578" s="2">
        <v>92</v>
      </c>
      <c r="C578" s="2">
        <v>55942830</v>
      </c>
      <c r="D578" s="2" t="s">
        <v>1363</v>
      </c>
      <c r="E578" s="2" t="s">
        <v>12</v>
      </c>
      <c r="F578" t="s">
        <v>30</v>
      </c>
      <c r="G578" t="s">
        <v>56</v>
      </c>
      <c r="H578" t="s">
        <v>72</v>
      </c>
      <c r="N578" s="2" t="s">
        <v>18</v>
      </c>
      <c r="O578" s="2" t="s">
        <v>19</v>
      </c>
      <c r="P578" s="2">
        <v>70000000</v>
      </c>
      <c r="Q578" s="2">
        <v>6.3</v>
      </c>
      <c r="R578" s="2" t="s">
        <v>1364</v>
      </c>
      <c r="S578" s="2"/>
      <c r="U578" s="2" t="s">
        <v>1365</v>
      </c>
      <c r="V578">
        <f ca="1" t="shared" si="17"/>
        <v>6.575</v>
      </c>
      <c r="AC578" s="2"/>
      <c r="AD578" t="str">
        <f>IFERROR(__xludf.DUMMYFUNCTION("""COMPUTED_VALUE"""),"The Legend of Zorro ")</f>
        <v>The Legend of Zorro </v>
      </c>
      <c r="AE578">
        <f t="shared" si="18"/>
        <v>45356257</v>
      </c>
    </row>
    <row r="579" customHeight="1" spans="1:31">
      <c r="A579" s="2" t="s">
        <v>385</v>
      </c>
      <c r="B579" s="2">
        <v>116</v>
      </c>
      <c r="C579" s="2">
        <v>40932372</v>
      </c>
      <c r="D579" s="2" t="s">
        <v>34</v>
      </c>
      <c r="E579" s="2" t="s">
        <v>12</v>
      </c>
      <c r="F579" t="s">
        <v>29</v>
      </c>
      <c r="G579" t="s">
        <v>30</v>
      </c>
      <c r="H579" t="s">
        <v>24</v>
      </c>
      <c r="N579" s="2" t="s">
        <v>18</v>
      </c>
      <c r="O579" s="2" t="s">
        <v>19</v>
      </c>
      <c r="P579" s="2">
        <v>70000000</v>
      </c>
      <c r="Q579" s="2">
        <v>6.3</v>
      </c>
      <c r="R579" s="2" t="s">
        <v>1366</v>
      </c>
      <c r="S579" s="2"/>
      <c r="U579" s="2" t="s">
        <v>1367</v>
      </c>
      <c r="V579">
        <f ca="1" t="shared" si="17"/>
        <v>6.23333333333333</v>
      </c>
      <c r="AC579" s="2"/>
      <c r="AD579" t="str">
        <f>IFERROR(__xludf.DUMMYFUNCTION("""COMPUTED_VALUE"""),"What Dreams May Come ")</f>
        <v>What Dreams May Come </v>
      </c>
      <c r="AE579">
        <f t="shared" si="18"/>
        <v>55350784</v>
      </c>
    </row>
    <row r="580" customHeight="1" spans="1:31">
      <c r="A580" s="2" t="s">
        <v>268</v>
      </c>
      <c r="B580" s="2">
        <v>127</v>
      </c>
      <c r="C580" s="2">
        <v>38345403</v>
      </c>
      <c r="D580" s="2" t="s">
        <v>1368</v>
      </c>
      <c r="E580" s="2" t="s">
        <v>13</v>
      </c>
      <c r="F580" t="s">
        <v>56</v>
      </c>
      <c r="G580" t="s">
        <v>30</v>
      </c>
      <c r="H580" t="s">
        <v>39</v>
      </c>
      <c r="N580" s="2" t="s">
        <v>18</v>
      </c>
      <c r="O580" s="2" t="s">
        <v>31</v>
      </c>
      <c r="P580" s="2">
        <v>70000000</v>
      </c>
      <c r="Q580" s="2">
        <v>7.7</v>
      </c>
      <c r="R580" s="2" t="s">
        <v>1369</v>
      </c>
      <c r="S580" s="2"/>
      <c r="U580" s="2" t="s">
        <v>1370</v>
      </c>
      <c r="V580">
        <f ca="1" t="shared" si="17"/>
        <v>6.85</v>
      </c>
      <c r="AC580" s="2"/>
      <c r="AD580" t="str">
        <f>IFERROR(__xludf.DUMMYFUNCTION("""COMPUTED_VALUE"""),"Little Nicky ")</f>
        <v>Little Nicky </v>
      </c>
      <c r="AE580">
        <f t="shared" si="18"/>
        <v>39442781</v>
      </c>
    </row>
    <row r="581" customHeight="1" spans="1:31">
      <c r="A581" s="2" t="s">
        <v>765</v>
      </c>
      <c r="B581" s="2">
        <v>136</v>
      </c>
      <c r="C581" s="2">
        <v>37901509</v>
      </c>
      <c r="D581" s="2" t="s">
        <v>1371</v>
      </c>
      <c r="E581" s="2" t="s">
        <v>13</v>
      </c>
      <c r="F581" t="s">
        <v>15</v>
      </c>
      <c r="G581" t="s">
        <v>17</v>
      </c>
      <c r="H581" t="s">
        <v>55</v>
      </c>
      <c r="N581" s="2" t="s">
        <v>18</v>
      </c>
      <c r="O581" s="2" t="s">
        <v>19</v>
      </c>
      <c r="P581" s="2">
        <v>70000000</v>
      </c>
      <c r="Q581" s="2">
        <v>7</v>
      </c>
      <c r="R581" s="2" t="s">
        <v>1372</v>
      </c>
      <c r="S581" s="2"/>
      <c r="U581" s="2" t="s">
        <v>1373</v>
      </c>
      <c r="V581">
        <f ca="1" t="shared" si="17"/>
        <v>6.5</v>
      </c>
      <c r="AC581" s="2"/>
      <c r="AD581" t="str">
        <f>IFERROR(__xludf.DUMMYFUNCTION("""COMPUTED_VALUE"""),"The Brothers Grimm ")</f>
        <v>The Brothers Grimm </v>
      </c>
      <c r="AE581">
        <f t="shared" si="18"/>
        <v>37899520</v>
      </c>
    </row>
    <row r="582" customHeight="1" spans="1:31">
      <c r="A582" s="2" t="s">
        <v>327</v>
      </c>
      <c r="B582" s="2">
        <v>111</v>
      </c>
      <c r="C582" s="2">
        <v>48430355</v>
      </c>
      <c r="D582" s="2" t="s">
        <v>975</v>
      </c>
      <c r="E582" s="2" t="s">
        <v>40</v>
      </c>
      <c r="F582" t="s">
        <v>56</v>
      </c>
      <c r="G582" t="s">
        <v>39</v>
      </c>
      <c r="H582" t="s">
        <v>23</v>
      </c>
      <c r="N582" s="2" t="s">
        <v>18</v>
      </c>
      <c r="O582" s="2" t="s">
        <v>19</v>
      </c>
      <c r="P582" s="2">
        <v>70000000</v>
      </c>
      <c r="Q582" s="2">
        <v>5.3</v>
      </c>
      <c r="R582" s="2" t="s">
        <v>1374</v>
      </c>
      <c r="S582" s="2"/>
      <c r="U582" s="2" t="s">
        <v>1375</v>
      </c>
      <c r="V582">
        <f ca="1" t="shared" si="17"/>
        <v>5.8</v>
      </c>
      <c r="AC582" s="2"/>
      <c r="AD582" t="str">
        <f>IFERROR(__xludf.DUMMYFUNCTION("""COMPUTED_VALUE"""),"Mars Attacks! ")</f>
        <v>Mars Attacks! </v>
      </c>
      <c r="AE582">
        <f t="shared" si="18"/>
        <v>37754102</v>
      </c>
    </row>
    <row r="583" customHeight="1" spans="1:31">
      <c r="A583" s="2" t="s">
        <v>490</v>
      </c>
      <c r="B583" s="2">
        <v>116</v>
      </c>
      <c r="C583" s="2">
        <v>30157016</v>
      </c>
      <c r="D583" s="2" t="s">
        <v>406</v>
      </c>
      <c r="E583" s="2" t="s">
        <v>12</v>
      </c>
      <c r="F583" t="s">
        <v>56</v>
      </c>
      <c r="G583" t="s">
        <v>56</v>
      </c>
      <c r="H583" t="s">
        <v>15</v>
      </c>
      <c r="N583" s="2" t="s">
        <v>18</v>
      </c>
      <c r="O583" s="2" t="s">
        <v>19</v>
      </c>
      <c r="P583" s="2">
        <v>70000000</v>
      </c>
      <c r="Q583" s="2">
        <v>5.6</v>
      </c>
      <c r="R583" s="2" t="s">
        <v>1376</v>
      </c>
      <c r="S583" s="2"/>
      <c r="U583" s="2" t="s">
        <v>1377</v>
      </c>
      <c r="V583">
        <f ca="1" t="shared" si="17"/>
        <v>5.9375</v>
      </c>
      <c r="AC583" s="2"/>
      <c r="AD583" t="str">
        <f>IFERROR(__xludf.DUMMYFUNCTION("""COMPUTED_VALUE"""),"Surrogates ")</f>
        <v>Surrogates </v>
      </c>
      <c r="AE583">
        <f t="shared" si="18"/>
        <v>38542329</v>
      </c>
    </row>
    <row r="584" customHeight="1" spans="1:31">
      <c r="A584" s="2" t="s">
        <v>940</v>
      </c>
      <c r="B584" s="2">
        <v>113</v>
      </c>
      <c r="C584" s="2">
        <v>28031250</v>
      </c>
      <c r="D584" s="2" t="s">
        <v>1378</v>
      </c>
      <c r="E584" s="2" t="s">
        <v>12</v>
      </c>
      <c r="F584" t="s">
        <v>13</v>
      </c>
      <c r="G584" t="s">
        <v>28</v>
      </c>
      <c r="H584" t="s">
        <v>24</v>
      </c>
      <c r="N584" s="2" t="s">
        <v>18</v>
      </c>
      <c r="O584" s="2" t="s">
        <v>31</v>
      </c>
      <c r="P584" s="2">
        <v>60000000</v>
      </c>
      <c r="Q584" s="2">
        <v>5.2</v>
      </c>
      <c r="R584" s="2" t="s">
        <v>1379</v>
      </c>
      <c r="S584" s="2"/>
      <c r="U584" s="2" t="s">
        <v>1380</v>
      </c>
      <c r="V584">
        <f ca="1" t="shared" si="17"/>
        <v>5.7</v>
      </c>
      <c r="AC584" s="2"/>
      <c r="AD584" t="str">
        <f>IFERROR(__xludf.DUMMYFUNCTION("""COMPUTED_VALUE"""),"Thirteen Days ")</f>
        <v>Thirteen Days </v>
      </c>
      <c r="AE584">
        <f t="shared" si="18"/>
        <v>34566601</v>
      </c>
    </row>
    <row r="585" customHeight="1" spans="1:31">
      <c r="A585" s="2" t="s">
        <v>921</v>
      </c>
      <c r="B585" s="2">
        <v>97</v>
      </c>
      <c r="C585" s="2">
        <v>33105600</v>
      </c>
      <c r="D585" s="2" t="s">
        <v>406</v>
      </c>
      <c r="E585" s="2" t="s">
        <v>12</v>
      </c>
      <c r="F585" t="s">
        <v>35</v>
      </c>
      <c r="G585" t="s">
        <v>40</v>
      </c>
      <c r="H585" t="s">
        <v>24</v>
      </c>
      <c r="N585" s="2" t="s">
        <v>18</v>
      </c>
      <c r="O585" s="2" t="s">
        <v>19</v>
      </c>
      <c r="P585" s="2">
        <v>70000000</v>
      </c>
      <c r="Q585" s="2">
        <v>5.4</v>
      </c>
      <c r="R585" s="2" t="s">
        <v>1381</v>
      </c>
      <c r="S585" s="2"/>
      <c r="U585" s="2" t="s">
        <v>1382</v>
      </c>
      <c r="V585">
        <f ca="1" t="shared" si="17"/>
        <v>5.93333333333333</v>
      </c>
      <c r="AC585" s="2"/>
      <c r="AD585" t="str">
        <f>IFERROR(__xludf.DUMMYFUNCTION("""COMPUTED_VALUE"""),"Daylight ")</f>
        <v>Daylight </v>
      </c>
      <c r="AE585">
        <f t="shared" si="18"/>
        <v>32885451</v>
      </c>
    </row>
    <row r="586" customHeight="1" spans="1:31">
      <c r="A586" s="2" t="s">
        <v>942</v>
      </c>
      <c r="B586" s="2">
        <v>88</v>
      </c>
      <c r="C586" s="2">
        <v>62321039</v>
      </c>
      <c r="D586" s="2" t="s">
        <v>1383</v>
      </c>
      <c r="E586" s="2" t="s">
        <v>12</v>
      </c>
      <c r="F586" t="s">
        <v>56</v>
      </c>
      <c r="G586" t="s">
        <v>14</v>
      </c>
      <c r="H586" t="s">
        <v>15</v>
      </c>
      <c r="N586" s="2" t="s">
        <v>18</v>
      </c>
      <c r="O586" s="2" t="s">
        <v>19</v>
      </c>
      <c r="P586" s="2">
        <v>70000000</v>
      </c>
      <c r="Q586" s="2">
        <v>6.4</v>
      </c>
      <c r="R586" s="2" t="s">
        <v>1384</v>
      </c>
      <c r="S586" s="2"/>
      <c r="U586" s="2" t="s">
        <v>1385</v>
      </c>
      <c r="V586">
        <f ca="1" t="shared" si="17"/>
        <v>6.1</v>
      </c>
      <c r="AC586" s="2"/>
      <c r="AD586" t="str">
        <f>IFERROR(__xludf.DUMMYFUNCTION("""COMPUTED_VALUE"""),"Walking with Dinosaurs 3D ")</f>
        <v>Walking with Dinosaurs 3D </v>
      </c>
      <c r="AE586">
        <f t="shared" si="18"/>
        <v>36073145</v>
      </c>
    </row>
    <row r="587" customHeight="1" spans="1:31">
      <c r="A587" s="2" t="s">
        <v>796</v>
      </c>
      <c r="B587" s="2">
        <v>136</v>
      </c>
      <c r="C587" s="2">
        <v>38509342</v>
      </c>
      <c r="D587" s="2" t="s">
        <v>1386</v>
      </c>
      <c r="E587" s="2" t="s">
        <v>40</v>
      </c>
      <c r="F587" t="s">
        <v>13</v>
      </c>
      <c r="G587" t="s">
        <v>23</v>
      </c>
      <c r="H587" t="s">
        <v>24</v>
      </c>
      <c r="N587" s="2" t="s">
        <v>18</v>
      </c>
      <c r="O587" s="2" t="s">
        <v>19</v>
      </c>
      <c r="P587" s="2">
        <v>75000000</v>
      </c>
      <c r="Q587" s="2">
        <v>5.9</v>
      </c>
      <c r="R587" s="2" t="s">
        <v>1387</v>
      </c>
      <c r="S587" s="2"/>
      <c r="U587" s="2" t="s">
        <v>1388</v>
      </c>
      <c r="V587">
        <f ca="1" t="shared" si="17"/>
        <v>7.23333333333333</v>
      </c>
      <c r="AC587" s="2"/>
      <c r="AD587" t="str">
        <f>IFERROR(__xludf.DUMMYFUNCTION("""COMPUTED_VALUE"""),"Battlefield Earth ")</f>
        <v>Battlefield Earth </v>
      </c>
      <c r="AE587">
        <f t="shared" si="18"/>
        <v>21471566</v>
      </c>
    </row>
    <row r="588" customHeight="1" spans="1:31">
      <c r="A588" s="2" t="s">
        <v>945</v>
      </c>
      <c r="B588" s="2">
        <v>125</v>
      </c>
      <c r="C588" s="2">
        <v>19076815</v>
      </c>
      <c r="D588" s="2" t="s">
        <v>1354</v>
      </c>
      <c r="E588" s="2" t="s">
        <v>30</v>
      </c>
      <c r="F588" t="s">
        <v>28</v>
      </c>
      <c r="G588" t="s">
        <v>14</v>
      </c>
      <c r="H588" t="s">
        <v>14</v>
      </c>
      <c r="N588" s="2" t="s">
        <v>18</v>
      </c>
      <c r="O588" s="2" t="s">
        <v>19</v>
      </c>
      <c r="P588" s="2">
        <v>60000000</v>
      </c>
      <c r="Q588" s="2">
        <v>6.3</v>
      </c>
      <c r="R588" s="2" t="s">
        <v>1389</v>
      </c>
      <c r="S588" s="2"/>
      <c r="U588" s="2" t="s">
        <v>1390</v>
      </c>
      <c r="V588">
        <f ca="1" t="shared" si="17"/>
        <v>6.2</v>
      </c>
      <c r="AC588" s="2"/>
      <c r="AD588" t="str">
        <f>IFERROR(__xludf.DUMMYFUNCTION("""COMPUTED_VALUE"""),"Looney Tunes: Back in Action ")</f>
        <v>Looney Tunes: Back in Action </v>
      </c>
      <c r="AE588">
        <f t="shared" si="18"/>
        <v>20950729</v>
      </c>
    </row>
    <row r="589" customHeight="1" spans="1:31">
      <c r="A589" s="2" t="s">
        <v>948</v>
      </c>
      <c r="B589" s="2">
        <v>116</v>
      </c>
      <c r="C589" s="2">
        <v>25093607</v>
      </c>
      <c r="D589" s="2" t="s">
        <v>150</v>
      </c>
      <c r="E589" s="2" t="s">
        <v>12</v>
      </c>
      <c r="F589" t="s">
        <v>56</v>
      </c>
      <c r="G589" t="s">
        <v>40</v>
      </c>
      <c r="H589" t="s">
        <v>39</v>
      </c>
      <c r="N589" s="2" t="s">
        <v>18</v>
      </c>
      <c r="O589" s="2" t="s">
        <v>31</v>
      </c>
      <c r="P589" s="2">
        <v>35000000</v>
      </c>
      <c r="Q589" s="2">
        <v>6.5</v>
      </c>
      <c r="R589" s="2" t="s">
        <v>1391</v>
      </c>
      <c r="S589" s="2"/>
      <c r="U589" s="2" t="s">
        <v>1392</v>
      </c>
      <c r="V589">
        <f ca="1" t="shared" si="17"/>
        <v>5.53333333333333</v>
      </c>
      <c r="AC589" s="2"/>
      <c r="AD589" t="str">
        <f>IFERROR(__xludf.DUMMYFUNCTION("""COMPUTED_VALUE"""),"Nine ")</f>
        <v>Nine </v>
      </c>
      <c r="AE589">
        <f t="shared" si="18"/>
        <v>19673306</v>
      </c>
    </row>
    <row r="590" customHeight="1" spans="1:31">
      <c r="A590" s="2" t="s">
        <v>485</v>
      </c>
      <c r="B590" s="2">
        <v>98</v>
      </c>
      <c r="C590" s="2">
        <v>18990542</v>
      </c>
      <c r="D590" s="2" t="s">
        <v>1393</v>
      </c>
      <c r="E590" s="2" t="s">
        <v>12</v>
      </c>
      <c r="F590" t="s">
        <v>13</v>
      </c>
      <c r="G590" t="s">
        <v>28</v>
      </c>
      <c r="H590" t="s">
        <v>24</v>
      </c>
      <c r="N590" s="2" t="s">
        <v>18</v>
      </c>
      <c r="O590" s="2" t="s">
        <v>19</v>
      </c>
      <c r="P590" s="2">
        <v>70000000</v>
      </c>
      <c r="Q590" s="2">
        <v>3</v>
      </c>
      <c r="R590" s="2" t="s">
        <v>1394</v>
      </c>
      <c r="S590" s="2"/>
      <c r="U590" s="2" t="s">
        <v>1395</v>
      </c>
      <c r="V590">
        <f ca="1" t="shared" si="17"/>
        <v>5.95</v>
      </c>
      <c r="AC590" s="2"/>
      <c r="AD590" t="str">
        <f>IFERROR(__xludf.DUMMYFUNCTION("""COMPUTED_VALUE"""),"Timeline ")</f>
        <v>Timeline </v>
      </c>
      <c r="AE590">
        <f t="shared" si="18"/>
        <v>19480623</v>
      </c>
    </row>
    <row r="591" customHeight="1" spans="1:31">
      <c r="A591" s="2" t="s">
        <v>950</v>
      </c>
      <c r="B591" s="2">
        <v>91</v>
      </c>
      <c r="C591" s="2">
        <v>14294842</v>
      </c>
      <c r="D591" s="2" t="s">
        <v>516</v>
      </c>
      <c r="E591" s="2" t="s">
        <v>12</v>
      </c>
      <c r="F591" t="s">
        <v>30</v>
      </c>
      <c r="G591" t="s">
        <v>24</v>
      </c>
      <c r="H591" t="s">
        <v>28</v>
      </c>
      <c r="N591" s="2" t="s">
        <v>18</v>
      </c>
      <c r="O591" s="2" t="s">
        <v>19</v>
      </c>
      <c r="P591" s="2">
        <v>70000000</v>
      </c>
      <c r="Q591" s="2">
        <v>3.6</v>
      </c>
      <c r="R591" s="2" t="s">
        <v>1396</v>
      </c>
      <c r="S591" s="2"/>
      <c r="U591" s="2" t="s">
        <v>1397</v>
      </c>
      <c r="V591">
        <f ca="1" t="shared" si="17"/>
        <v>7.4</v>
      </c>
      <c r="AC591" s="2"/>
      <c r="AD591" t="str">
        <f>IFERROR(__xludf.DUMMYFUNCTION("""COMPUTED_VALUE"""),"The Postman ")</f>
        <v>The Postman </v>
      </c>
      <c r="AE591">
        <f t="shared" si="18"/>
        <v>17593214</v>
      </c>
    </row>
    <row r="592" customHeight="1" spans="1:31">
      <c r="A592" s="2" t="s">
        <v>953</v>
      </c>
      <c r="B592" s="2">
        <v>97</v>
      </c>
      <c r="C592" s="2">
        <v>19819494</v>
      </c>
      <c r="D592" s="2" t="s">
        <v>186</v>
      </c>
      <c r="E592" s="2" t="s">
        <v>12</v>
      </c>
      <c r="F592" t="s">
        <v>30</v>
      </c>
      <c r="G592" t="s">
        <v>24</v>
      </c>
      <c r="H592" t="s">
        <v>30</v>
      </c>
      <c r="N592" s="2" t="s">
        <v>18</v>
      </c>
      <c r="O592" s="2" t="s">
        <v>19</v>
      </c>
      <c r="P592" s="2">
        <v>70000000</v>
      </c>
      <c r="Q592" s="2">
        <v>5.8</v>
      </c>
      <c r="R592" s="2" t="s">
        <v>1398</v>
      </c>
      <c r="S592" s="2"/>
      <c r="U592" s="2" t="s">
        <v>1399</v>
      </c>
      <c r="V592">
        <f ca="1" t="shared" si="17"/>
        <v>4.3</v>
      </c>
      <c r="AC592" s="2"/>
      <c r="AD592" t="str">
        <f>IFERROR(__xludf.DUMMYFUNCTION("""COMPUTED_VALUE"""),"Babe: Pig in the City ")</f>
        <v>Babe: Pig in the City </v>
      </c>
      <c r="AE592">
        <f t="shared" si="18"/>
        <v>18317903</v>
      </c>
    </row>
    <row r="593" customHeight="1" spans="1:31">
      <c r="A593" s="2" t="s">
        <v>956</v>
      </c>
      <c r="B593" s="2">
        <v>95</v>
      </c>
      <c r="C593" s="2">
        <v>13596911</v>
      </c>
      <c r="D593" s="2" t="s">
        <v>1400</v>
      </c>
      <c r="E593" s="2" t="s">
        <v>12</v>
      </c>
      <c r="F593" t="s">
        <v>30</v>
      </c>
      <c r="G593" t="s">
        <v>24</v>
      </c>
      <c r="H593" t="s">
        <v>24</v>
      </c>
      <c r="N593" s="2" t="s">
        <v>18</v>
      </c>
      <c r="O593" s="2" t="s">
        <v>19</v>
      </c>
      <c r="P593" s="2">
        <v>70000000</v>
      </c>
      <c r="Q593" s="2">
        <v>6.2</v>
      </c>
      <c r="R593" s="2" t="s">
        <v>1401</v>
      </c>
      <c r="S593" s="2"/>
      <c r="U593" s="2" t="s">
        <v>1402</v>
      </c>
      <c r="V593">
        <f ca="1" t="shared" si="17"/>
        <v>5.8</v>
      </c>
      <c r="AC593" s="2"/>
      <c r="AD593" t="str">
        <f>IFERROR(__xludf.DUMMYFUNCTION("""COMPUTED_VALUE"""),"The Last Witch Hunter ")</f>
        <v>The Last Witch Hunter </v>
      </c>
      <c r="AE593">
        <f t="shared" si="18"/>
        <v>27355984</v>
      </c>
    </row>
    <row r="594" customHeight="1" spans="1:31">
      <c r="A594" s="2" t="s">
        <v>573</v>
      </c>
      <c r="B594" s="2">
        <v>88</v>
      </c>
      <c r="C594" s="2">
        <v>8460990</v>
      </c>
      <c r="D594" s="2" t="s">
        <v>1403</v>
      </c>
      <c r="E594" s="2" t="s">
        <v>13</v>
      </c>
      <c r="F594" t="s">
        <v>40</v>
      </c>
      <c r="G594" t="s">
        <v>15</v>
      </c>
      <c r="H594" t="s">
        <v>24</v>
      </c>
      <c r="N594" s="2" t="s">
        <v>18</v>
      </c>
      <c r="O594" s="2" t="s">
        <v>19</v>
      </c>
      <c r="P594" s="2">
        <v>70000000</v>
      </c>
      <c r="Q594" s="2">
        <v>5.6</v>
      </c>
      <c r="R594" s="2" t="s">
        <v>1404</v>
      </c>
      <c r="S594" s="2"/>
      <c r="U594" s="2" t="s">
        <v>1405</v>
      </c>
      <c r="V594">
        <f ca="1" t="shared" si="17"/>
        <v>6.86666666666667</v>
      </c>
      <c r="AC594" s="2"/>
      <c r="AD594" t="str">
        <f>IFERROR(__xludf.DUMMYFUNCTION("""COMPUTED_VALUE"""),"Red Planet ")</f>
        <v>Red Planet </v>
      </c>
      <c r="AE594">
        <f t="shared" si="18"/>
        <v>17473139</v>
      </c>
    </row>
    <row r="595" customHeight="1" spans="1:31">
      <c r="A595" s="2" t="s">
        <v>591</v>
      </c>
      <c r="B595" s="2">
        <v>133</v>
      </c>
      <c r="C595" s="2">
        <v>7097125</v>
      </c>
      <c r="D595" s="2" t="s">
        <v>915</v>
      </c>
      <c r="E595" s="2" t="s">
        <v>12</v>
      </c>
      <c r="F595" t="s">
        <v>40</v>
      </c>
      <c r="G595" t="s">
        <v>59</v>
      </c>
      <c r="H595" t="s">
        <v>24</v>
      </c>
      <c r="N595" s="2" t="s">
        <v>18</v>
      </c>
      <c r="O595" s="2" t="s">
        <v>19</v>
      </c>
      <c r="P595" s="2">
        <v>70000000</v>
      </c>
      <c r="Q595" s="2">
        <v>5.4</v>
      </c>
      <c r="R595" s="2" t="s">
        <v>1406</v>
      </c>
      <c r="S595" s="2"/>
      <c r="U595" s="2" t="s">
        <v>1407</v>
      </c>
      <c r="V595">
        <f ca="1" t="shared" si="17"/>
        <v>6.82</v>
      </c>
      <c r="AC595" s="2"/>
      <c r="AD595" t="str">
        <f>IFERROR(__xludf.DUMMYFUNCTION("""COMPUTED_VALUE"""),"Arthur and the Invisibles ")</f>
        <v>Arthur and the Invisibles </v>
      </c>
      <c r="AE595">
        <f t="shared" si="18"/>
        <v>15131236</v>
      </c>
    </row>
    <row r="596" customHeight="1" spans="1:31">
      <c r="A596" s="2" t="s">
        <v>958</v>
      </c>
      <c r="B596" s="2">
        <v>106</v>
      </c>
      <c r="C596" s="2">
        <v>37760080</v>
      </c>
      <c r="D596" s="2" t="s">
        <v>576</v>
      </c>
      <c r="E596" s="2" t="s">
        <v>12</v>
      </c>
      <c r="F596" t="s">
        <v>30</v>
      </c>
      <c r="G596" t="s">
        <v>56</v>
      </c>
      <c r="H596" t="s">
        <v>23</v>
      </c>
      <c r="N596" s="2" t="s">
        <v>18</v>
      </c>
      <c r="O596" s="2" t="s">
        <v>19</v>
      </c>
      <c r="P596" s="2">
        <v>70000000</v>
      </c>
      <c r="Q596" s="2">
        <v>6.1</v>
      </c>
      <c r="R596" s="2" t="s">
        <v>1408</v>
      </c>
      <c r="S596" s="2"/>
      <c r="U596" s="2" t="s">
        <v>1409</v>
      </c>
      <c r="V596">
        <f ca="1" t="shared" si="17"/>
        <v>6.675</v>
      </c>
      <c r="AC596" s="2"/>
      <c r="AD596" t="str">
        <f>IFERROR(__xludf.DUMMYFUNCTION("""COMPUTED_VALUE"""),"Oceans ")</f>
        <v>Oceans </v>
      </c>
      <c r="AE596">
        <f t="shared" si="18"/>
        <v>19406302</v>
      </c>
    </row>
    <row r="597" customHeight="1" spans="1:31">
      <c r="A597" s="2" t="s">
        <v>961</v>
      </c>
      <c r="B597" s="2">
        <v>116</v>
      </c>
      <c r="C597" s="2">
        <v>5851188</v>
      </c>
      <c r="D597" s="2" t="s">
        <v>846</v>
      </c>
      <c r="E597" s="2" t="s">
        <v>56</v>
      </c>
      <c r="F597" t="s">
        <v>40</v>
      </c>
      <c r="G597" t="s">
        <v>23</v>
      </c>
      <c r="H597" t="s">
        <v>55</v>
      </c>
      <c r="N597" s="2" t="s">
        <v>18</v>
      </c>
      <c r="O597" s="2" t="s">
        <v>31</v>
      </c>
      <c r="P597" s="2">
        <v>70000000</v>
      </c>
      <c r="Q597" s="2">
        <v>4.2</v>
      </c>
      <c r="R597" s="2" t="s">
        <v>1410</v>
      </c>
      <c r="S597" s="2"/>
      <c r="U597" s="2" t="s">
        <v>1411</v>
      </c>
      <c r="V597">
        <f ca="1" t="shared" si="17"/>
        <v>6.8</v>
      </c>
      <c r="AC597" s="2"/>
      <c r="AD597" t="str">
        <f>IFERROR(__xludf.DUMMYFUNCTION("""COMPUTED_VALUE"""),"A Sound of Thunder ")</f>
        <v>A Sound of Thunder </v>
      </c>
      <c r="AE597">
        <f t="shared" si="18"/>
        <v>1891719</v>
      </c>
    </row>
    <row r="598" customHeight="1" spans="1:31">
      <c r="A598" s="2" t="s">
        <v>964</v>
      </c>
      <c r="B598" s="2">
        <v>115</v>
      </c>
      <c r="C598" s="2">
        <v>25121291</v>
      </c>
      <c r="D598" s="2" t="s">
        <v>1412</v>
      </c>
      <c r="E598" s="2" t="s">
        <v>12</v>
      </c>
      <c r="F598" t="s">
        <v>17</v>
      </c>
      <c r="G598" t="s">
        <v>24</v>
      </c>
      <c r="H598" t="s">
        <v>56</v>
      </c>
      <c r="N598" s="2" t="s">
        <v>18</v>
      </c>
      <c r="O598" s="2" t="s">
        <v>19</v>
      </c>
      <c r="P598" s="2">
        <v>50000000</v>
      </c>
      <c r="Q598" s="2">
        <v>6.7</v>
      </c>
      <c r="R598" s="2" t="s">
        <v>1413</v>
      </c>
      <c r="S598" s="2"/>
      <c r="U598" s="2" t="s">
        <v>1414</v>
      </c>
      <c r="V598">
        <f ca="1" t="shared" si="17"/>
        <v>6.43333333333333</v>
      </c>
      <c r="AC598" s="2"/>
      <c r="AD598" t="str">
        <f>IFERROR(__xludf.DUMMYFUNCTION("""COMPUTED_VALUE"""),"Pompeii ")</f>
        <v>Pompeii </v>
      </c>
      <c r="AE598">
        <f t="shared" si="18"/>
        <v>23219643</v>
      </c>
    </row>
    <row r="599" customHeight="1" spans="1:31">
      <c r="A599" s="2" t="s">
        <v>709</v>
      </c>
      <c r="B599" s="2">
        <v>99</v>
      </c>
      <c r="C599" s="2">
        <v>18821279</v>
      </c>
      <c r="D599" s="2" t="s">
        <v>22</v>
      </c>
      <c r="E599" s="2" t="s">
        <v>12</v>
      </c>
      <c r="F599" t="s">
        <v>30</v>
      </c>
      <c r="G599" t="s">
        <v>40</v>
      </c>
      <c r="H599" t="s">
        <v>23</v>
      </c>
      <c r="N599" s="2" t="s">
        <v>18</v>
      </c>
      <c r="O599" s="2" t="s">
        <v>19</v>
      </c>
      <c r="P599" s="2">
        <v>70000000</v>
      </c>
      <c r="Q599" s="2">
        <v>4.2</v>
      </c>
      <c r="R599" s="2" t="s">
        <v>1415</v>
      </c>
      <c r="S599" s="2"/>
      <c r="U599" s="2" t="s">
        <v>1416</v>
      </c>
      <c r="V599">
        <f ca="1" t="shared" si="17"/>
        <v>6.9</v>
      </c>
      <c r="AC599" s="2"/>
      <c r="AD599" t="str">
        <f>IFERROR(__xludf.DUMMYFUNCTION("""COMPUTED_VALUE"""),"A Beautiful Mind ")</f>
        <v>A Beautiful Mind </v>
      </c>
      <c r="AE599">
        <f t="shared" si="18"/>
        <v>170708861</v>
      </c>
    </row>
    <row r="600" customHeight="1" spans="1:31">
      <c r="A600" s="2" t="s">
        <v>966</v>
      </c>
      <c r="B600" s="2">
        <v>124</v>
      </c>
      <c r="C600" s="2">
        <v>118471320</v>
      </c>
      <c r="D600" s="2" t="s">
        <v>355</v>
      </c>
      <c r="E600" s="2" t="s">
        <v>12</v>
      </c>
      <c r="F600" t="s">
        <v>30</v>
      </c>
      <c r="G600" t="s">
        <v>39</v>
      </c>
      <c r="H600" t="s">
        <v>24</v>
      </c>
      <c r="N600" s="2" t="s">
        <v>18</v>
      </c>
      <c r="O600" s="2" t="s">
        <v>19</v>
      </c>
      <c r="P600" s="2">
        <v>68000000</v>
      </c>
      <c r="Q600" s="2">
        <v>6.4</v>
      </c>
      <c r="R600" s="2" t="s">
        <v>1417</v>
      </c>
      <c r="S600" s="2"/>
      <c r="U600" s="2" t="s">
        <v>1418</v>
      </c>
      <c r="V600">
        <f ca="1" t="shared" si="17"/>
        <v>6.25</v>
      </c>
      <c r="AC600" s="2"/>
      <c r="AD600" t="str">
        <f>IFERROR(__xludf.DUMMYFUNCTION("""COMPUTED_VALUE"""),"The Lion King ")</f>
        <v>The Lion King </v>
      </c>
      <c r="AE600">
        <f t="shared" si="18"/>
        <v>422783704</v>
      </c>
    </row>
    <row r="601" customHeight="1" spans="1:31">
      <c r="A601" s="2" t="s">
        <v>969</v>
      </c>
      <c r="B601" s="2">
        <v>124</v>
      </c>
      <c r="C601" s="2">
        <v>300523113</v>
      </c>
      <c r="D601" s="2" t="s">
        <v>417</v>
      </c>
      <c r="E601" s="2" t="s">
        <v>13</v>
      </c>
      <c r="F601" t="s">
        <v>14</v>
      </c>
      <c r="G601" t="s">
        <v>23</v>
      </c>
      <c r="H601" t="s">
        <v>15</v>
      </c>
      <c r="N601" s="2" t="s">
        <v>18</v>
      </c>
      <c r="O601" s="2" t="s">
        <v>19</v>
      </c>
      <c r="P601" s="2">
        <v>68000000</v>
      </c>
      <c r="Q601" s="2">
        <v>4.9</v>
      </c>
      <c r="R601" s="2" t="s">
        <v>1419</v>
      </c>
      <c r="S601" s="2"/>
      <c r="U601" s="2" t="s">
        <v>1420</v>
      </c>
      <c r="V601">
        <f ca="1" t="shared" si="17"/>
        <v>6</v>
      </c>
      <c r="AC601" s="2"/>
      <c r="AD601" t="str">
        <f>IFERROR(__xludf.DUMMYFUNCTION("""COMPUTED_VALUE"""),"Journey 2: The Mysterious Island ")</f>
        <v>Journey 2: The Mysterious Island </v>
      </c>
      <c r="AE601">
        <f t="shared" si="18"/>
        <v>103812147</v>
      </c>
    </row>
    <row r="602" customHeight="1" spans="1:31">
      <c r="A602" s="2" t="s">
        <v>679</v>
      </c>
      <c r="B602" s="2">
        <v>124</v>
      </c>
      <c r="C602" s="2">
        <v>71069884</v>
      </c>
      <c r="D602" s="2" t="s">
        <v>805</v>
      </c>
      <c r="E602" s="2" t="s">
        <v>56</v>
      </c>
      <c r="F602" t="s">
        <v>56</v>
      </c>
      <c r="G602" t="s">
        <v>24</v>
      </c>
      <c r="H602" t="s">
        <v>24</v>
      </c>
      <c r="N602" s="2" t="s">
        <v>18</v>
      </c>
      <c r="O602" s="2" t="s">
        <v>19</v>
      </c>
      <c r="P602" s="2">
        <v>68000000</v>
      </c>
      <c r="Q602" s="2">
        <v>6.8</v>
      </c>
      <c r="R602" s="2" t="s">
        <v>1421</v>
      </c>
      <c r="S602" s="2"/>
      <c r="U602" s="2" t="s">
        <v>1422</v>
      </c>
      <c r="V602">
        <f ca="1" t="shared" si="17"/>
        <v>6.63333333333333</v>
      </c>
      <c r="AC602" s="2"/>
      <c r="AD602" t="str">
        <f>IFERROR(__xludf.DUMMYFUNCTION("""COMPUTED_VALUE"""),"Cloudy with a Chance of Meatballs 2 ")</f>
        <v>Cloudy with a Chance of Meatballs 2 </v>
      </c>
      <c r="AE602">
        <f t="shared" si="18"/>
        <v>119793472</v>
      </c>
    </row>
    <row r="603" customHeight="1" spans="1:31">
      <c r="A603" s="2" t="s">
        <v>870</v>
      </c>
      <c r="B603" s="2">
        <v>87</v>
      </c>
      <c r="C603" s="2">
        <v>251501645</v>
      </c>
      <c r="D603" s="2" t="s">
        <v>1159</v>
      </c>
      <c r="E603" s="2" t="s">
        <v>35</v>
      </c>
      <c r="F603" t="s">
        <v>28</v>
      </c>
      <c r="G603" t="s">
        <v>14</v>
      </c>
      <c r="H603" t="s">
        <v>55</v>
      </c>
      <c r="N603" s="2" t="s">
        <v>18</v>
      </c>
      <c r="O603" s="2" t="s">
        <v>19</v>
      </c>
      <c r="P603" s="2">
        <v>69000000</v>
      </c>
      <c r="Q603" s="2">
        <v>7.7</v>
      </c>
      <c r="R603" s="2" t="s">
        <v>1423</v>
      </c>
      <c r="S603" s="2"/>
      <c r="U603" s="2" t="s">
        <v>1424</v>
      </c>
      <c r="V603">
        <f ca="1" t="shared" si="17"/>
        <v>6.15</v>
      </c>
      <c r="AC603" s="2"/>
      <c r="AD603" t="str">
        <f>IFERROR(__xludf.DUMMYFUNCTION("""COMPUTED_VALUE"""),"Red Dragon ")</f>
        <v>Red Dragon </v>
      </c>
      <c r="AE603">
        <f t="shared" si="18"/>
        <v>92929881</v>
      </c>
    </row>
    <row r="604" customHeight="1" spans="1:31">
      <c r="A604" s="2" t="s">
        <v>972</v>
      </c>
      <c r="B604" s="2">
        <v>105</v>
      </c>
      <c r="C604" s="2">
        <v>35324232</v>
      </c>
      <c r="D604" s="2" t="s">
        <v>1425</v>
      </c>
      <c r="E604" s="2" t="s">
        <v>12</v>
      </c>
      <c r="F604" t="s">
        <v>13</v>
      </c>
      <c r="G604" t="s">
        <v>56</v>
      </c>
      <c r="H604" t="s">
        <v>40</v>
      </c>
      <c r="N604" s="2" t="s">
        <v>18</v>
      </c>
      <c r="O604" s="2" t="s">
        <v>19</v>
      </c>
      <c r="P604" s="2">
        <v>68000000</v>
      </c>
      <c r="Q604" s="2">
        <v>5.6</v>
      </c>
      <c r="R604" s="2" t="s">
        <v>1426</v>
      </c>
      <c r="S604" s="2"/>
      <c r="U604" s="2" t="s">
        <v>1427</v>
      </c>
      <c r="V604">
        <f ca="1" t="shared" si="17"/>
        <v>4.9</v>
      </c>
      <c r="AC604" s="2"/>
      <c r="AD604" t="str">
        <f>IFERROR(__xludf.DUMMYFUNCTION("""COMPUTED_VALUE"""),"Hidalgo ")</f>
        <v>Hidalgo </v>
      </c>
      <c r="AE604">
        <f t="shared" si="18"/>
        <v>67286595</v>
      </c>
    </row>
    <row r="605" customHeight="1" spans="1:31">
      <c r="A605" s="2" t="s">
        <v>974</v>
      </c>
      <c r="B605" s="2">
        <v>125</v>
      </c>
      <c r="C605" s="2">
        <v>81257500</v>
      </c>
      <c r="D605" s="2" t="s">
        <v>40</v>
      </c>
      <c r="E605" s="2" t="s">
        <v>40</v>
      </c>
      <c r="F605" t="s">
        <v>30</v>
      </c>
      <c r="G605" t="s">
        <v>71</v>
      </c>
      <c r="H605" t="s">
        <v>55</v>
      </c>
      <c r="N605" s="2" t="s">
        <v>18</v>
      </c>
      <c r="O605" s="2" t="s">
        <v>19</v>
      </c>
      <c r="P605" s="2">
        <v>68000000</v>
      </c>
      <c r="Q605" s="2">
        <v>6.4</v>
      </c>
      <c r="R605" s="2" t="s">
        <v>1428</v>
      </c>
      <c r="S605" s="2"/>
      <c r="U605" s="2" t="s">
        <v>1429</v>
      </c>
      <c r="V605">
        <f ca="1" t="shared" si="17"/>
        <v>6.175</v>
      </c>
      <c r="AC605" s="2"/>
      <c r="AD605" t="str">
        <f>IFERROR(__xludf.DUMMYFUNCTION("""COMPUTED_VALUE"""),"Jack and Jill ")</f>
        <v>Jack and Jill </v>
      </c>
      <c r="AE605">
        <f t="shared" si="18"/>
        <v>74158066</v>
      </c>
    </row>
    <row r="606" customHeight="1" spans="1:31">
      <c r="A606" s="2" t="s">
        <v>977</v>
      </c>
      <c r="B606" s="2">
        <v>141</v>
      </c>
      <c r="C606" s="2">
        <v>617840</v>
      </c>
      <c r="D606" s="2" t="s">
        <v>1430</v>
      </c>
      <c r="E606" s="2" t="s">
        <v>13</v>
      </c>
      <c r="F606" t="s">
        <v>56</v>
      </c>
      <c r="G606" t="s">
        <v>24</v>
      </c>
      <c r="H606" t="s">
        <v>17</v>
      </c>
      <c r="N606" s="2" t="s">
        <v>18</v>
      </c>
      <c r="O606" s="2" t="s">
        <v>1431</v>
      </c>
      <c r="P606" s="2">
        <v>70000000</v>
      </c>
      <c r="Q606" s="2">
        <v>7.2</v>
      </c>
      <c r="R606" s="2" t="s">
        <v>1432</v>
      </c>
      <c r="S606" s="2"/>
      <c r="U606" s="2" t="s">
        <v>1433</v>
      </c>
      <c r="V606">
        <f ca="1" t="shared" si="17"/>
        <v>6.5</v>
      </c>
      <c r="AC606" s="2"/>
      <c r="AD606" t="str">
        <f>IFERROR(__xludf.DUMMYFUNCTION("""COMPUTED_VALUE"""),"2 Fast 2 Furious ")</f>
        <v>2 Fast 2 Furious </v>
      </c>
      <c r="AE606">
        <f t="shared" si="18"/>
        <v>127083658</v>
      </c>
    </row>
    <row r="607" customHeight="1" spans="1:31">
      <c r="A607" s="2" t="s">
        <v>979</v>
      </c>
      <c r="B607" s="2">
        <v>121</v>
      </c>
      <c r="C607" s="2">
        <v>29655590</v>
      </c>
      <c r="D607" s="2" t="s">
        <v>370</v>
      </c>
      <c r="E607" s="2" t="s">
        <v>12</v>
      </c>
      <c r="F607" t="s">
        <v>14</v>
      </c>
      <c r="G607" t="s">
        <v>14</v>
      </c>
      <c r="H607" t="s">
        <v>15</v>
      </c>
      <c r="N607" s="2" t="s">
        <v>18</v>
      </c>
      <c r="O607" s="2" t="s">
        <v>19</v>
      </c>
      <c r="P607" s="2">
        <v>65000000</v>
      </c>
      <c r="Q607" s="2">
        <v>6</v>
      </c>
      <c r="R607" s="2" t="s">
        <v>1434</v>
      </c>
      <c r="S607" s="2"/>
      <c r="U607" s="2" t="s">
        <v>1435</v>
      </c>
      <c r="V607">
        <f ca="1" t="shared" si="17"/>
        <v>6.5</v>
      </c>
      <c r="AC607" s="2"/>
      <c r="AD607" t="str">
        <f>IFERROR(__xludf.DUMMYFUNCTION("""COMPUTED_VALUE"""),"The Little Prince ")</f>
        <v>The Little Prince </v>
      </c>
      <c r="AE607">
        <f t="shared" si="18"/>
        <v>1339044</v>
      </c>
    </row>
    <row r="608" customHeight="1" spans="1:31">
      <c r="A608" s="2" t="s">
        <v>956</v>
      </c>
      <c r="B608" s="2">
        <v>111</v>
      </c>
      <c r="C608" s="2">
        <v>45045037</v>
      </c>
      <c r="D608" s="2" t="s">
        <v>607</v>
      </c>
      <c r="E608" s="2" t="s">
        <v>40</v>
      </c>
      <c r="F608" t="s">
        <v>35</v>
      </c>
      <c r="G608" t="s">
        <v>24</v>
      </c>
      <c r="H608" t="s">
        <v>28</v>
      </c>
      <c r="N608" s="2" t="s">
        <v>18</v>
      </c>
      <c r="O608" s="2" t="s">
        <v>19</v>
      </c>
      <c r="P608" s="2">
        <v>36000000</v>
      </c>
      <c r="Q608" s="2">
        <v>5.9</v>
      </c>
      <c r="R608" s="2" t="s">
        <v>1436</v>
      </c>
      <c r="S608" s="2"/>
      <c r="U608" s="2" t="s">
        <v>1437</v>
      </c>
      <c r="V608">
        <f ca="1" t="shared" si="17"/>
        <v>6</v>
      </c>
      <c r="AC608" s="2"/>
      <c r="AD608" t="str">
        <f>IFERROR(__xludf.DUMMYFUNCTION("""COMPUTED_VALUE"""),"The Invasion ")</f>
        <v>The Invasion </v>
      </c>
      <c r="AE608">
        <f t="shared" si="18"/>
        <v>15071415</v>
      </c>
    </row>
    <row r="609" customHeight="1" spans="1:31">
      <c r="A609" s="2" t="s">
        <v>591</v>
      </c>
      <c r="B609" s="2">
        <v>157</v>
      </c>
      <c r="C609" s="2">
        <v>28965197</v>
      </c>
      <c r="D609" s="2" t="s">
        <v>1438</v>
      </c>
      <c r="E609" s="2" t="s">
        <v>59</v>
      </c>
      <c r="F609" t="s">
        <v>72</v>
      </c>
      <c r="G609" t="s">
        <v>28</v>
      </c>
      <c r="H609" t="s">
        <v>24</v>
      </c>
      <c r="N609" s="2" t="s">
        <v>18</v>
      </c>
      <c r="O609" s="2" t="s">
        <v>19</v>
      </c>
      <c r="P609" s="2">
        <v>68000000</v>
      </c>
      <c r="Q609" s="2">
        <v>7.9</v>
      </c>
      <c r="R609" s="2" t="s">
        <v>1439</v>
      </c>
      <c r="S609" s="2"/>
      <c r="U609" s="2" t="s">
        <v>1440</v>
      </c>
      <c r="V609">
        <f ca="1" t="shared" si="17"/>
        <v>6.26666666666667</v>
      </c>
      <c r="AC609" s="2"/>
      <c r="AD609" t="str">
        <f>IFERROR(__xludf.DUMMYFUNCTION("""COMPUTED_VALUE"""),"The Adventures of Rocky &amp; Bullwinkle ")</f>
        <v>The Adventures of Rocky &amp; Bullwinkle </v>
      </c>
      <c r="AE609">
        <f t="shared" si="18"/>
        <v>26000518</v>
      </c>
    </row>
    <row r="610" customHeight="1" spans="1:31">
      <c r="A610" s="2" t="s">
        <v>94</v>
      </c>
      <c r="B610" s="2">
        <v>128</v>
      </c>
      <c r="C610" s="2">
        <v>39380442</v>
      </c>
      <c r="D610" s="2" t="s">
        <v>355</v>
      </c>
      <c r="E610" s="2" t="s">
        <v>12</v>
      </c>
      <c r="F610" t="s">
        <v>30</v>
      </c>
      <c r="G610" t="s">
        <v>24</v>
      </c>
      <c r="H610" t="s">
        <v>15</v>
      </c>
      <c r="N610" s="2" t="s">
        <v>18</v>
      </c>
      <c r="O610" s="2" t="s">
        <v>19</v>
      </c>
      <c r="P610" s="2">
        <v>70000000</v>
      </c>
      <c r="Q610" s="2">
        <v>7.1</v>
      </c>
      <c r="R610" s="2" t="s">
        <v>1441</v>
      </c>
      <c r="S610" s="2"/>
      <c r="U610" s="2" t="s">
        <v>1442</v>
      </c>
      <c r="V610">
        <f ca="1" t="shared" si="17"/>
        <v>6.75</v>
      </c>
      <c r="AC610" s="2"/>
      <c r="AD610" t="str">
        <f>IFERROR(__xludf.DUMMYFUNCTION("""COMPUTED_VALUE"""),"The Secret Life of Pets ")</f>
        <v>The Secret Life of Pets </v>
      </c>
      <c r="AE610">
        <f t="shared" si="18"/>
        <v>323505453</v>
      </c>
    </row>
    <row r="611" customHeight="1" spans="1:31">
      <c r="A611" s="2" t="s">
        <v>872</v>
      </c>
      <c r="B611" s="2">
        <v>105</v>
      </c>
      <c r="C611" s="2">
        <v>37516013</v>
      </c>
      <c r="D611" s="2" t="s">
        <v>1383</v>
      </c>
      <c r="E611" s="2" t="s">
        <v>12</v>
      </c>
      <c r="F611" t="s">
        <v>15</v>
      </c>
      <c r="G611" t="s">
        <v>40</v>
      </c>
      <c r="H611" t="s">
        <v>24</v>
      </c>
      <c r="N611" s="2" t="s">
        <v>18</v>
      </c>
      <c r="O611" s="2" t="s">
        <v>19</v>
      </c>
      <c r="P611" s="2">
        <v>69000000</v>
      </c>
      <c r="Q611" s="2">
        <v>5.9</v>
      </c>
      <c r="R611" s="2" t="s">
        <v>1443</v>
      </c>
      <c r="S611" s="2"/>
      <c r="U611" s="2" t="s">
        <v>1444</v>
      </c>
      <c r="V611">
        <f ca="1" t="shared" si="17"/>
        <v>7.5</v>
      </c>
      <c r="AC611" s="2"/>
      <c r="AD611" t="str">
        <f>IFERROR(__xludf.DUMMYFUNCTION("""COMPUTED_VALUE"""),"The League of Extraordinary Gentlemen ")</f>
        <v>The League of Extraordinary Gentlemen </v>
      </c>
      <c r="AE611">
        <f t="shared" si="18"/>
        <v>66462490</v>
      </c>
    </row>
    <row r="612" customHeight="1" spans="1:31">
      <c r="A612" s="2" t="s">
        <v>779</v>
      </c>
      <c r="B612" s="2">
        <v>113</v>
      </c>
      <c r="C612" s="2">
        <v>87704396</v>
      </c>
      <c r="D612" s="2" t="s">
        <v>582</v>
      </c>
      <c r="E612" s="2" t="s">
        <v>12</v>
      </c>
      <c r="F612" t="s">
        <v>30</v>
      </c>
      <c r="G612" t="s">
        <v>14</v>
      </c>
      <c r="H612" t="s">
        <v>24</v>
      </c>
      <c r="N612" s="2" t="s">
        <v>18</v>
      </c>
      <c r="O612" s="2" t="s">
        <v>19</v>
      </c>
      <c r="P612" s="2">
        <v>66000000</v>
      </c>
      <c r="Q612" s="2">
        <v>6.2</v>
      </c>
      <c r="R612" s="2" t="s">
        <v>1445</v>
      </c>
      <c r="S612" s="2"/>
      <c r="U612" s="2" t="s">
        <v>1446</v>
      </c>
      <c r="V612">
        <f ca="1" t="shared" si="17"/>
        <v>6.8</v>
      </c>
      <c r="AC612" s="2"/>
      <c r="AD612" t="str">
        <f>IFERROR(__xludf.DUMMYFUNCTION("""COMPUTED_VALUE"""),"Despicable Me 2 ")</f>
        <v>Despicable Me 2 </v>
      </c>
      <c r="AE612">
        <f t="shared" si="18"/>
        <v>368049537</v>
      </c>
    </row>
    <row r="613" customHeight="1" spans="1:31">
      <c r="A613" s="2" t="s">
        <v>981</v>
      </c>
      <c r="B613" s="2">
        <v>121</v>
      </c>
      <c r="C613" s="2">
        <v>83892374</v>
      </c>
      <c r="D613" s="2" t="s">
        <v>840</v>
      </c>
      <c r="E613" s="2" t="s">
        <v>30</v>
      </c>
      <c r="F613" t="s">
        <v>23</v>
      </c>
      <c r="G613" t="s">
        <v>30</v>
      </c>
      <c r="H613" t="s">
        <v>24</v>
      </c>
      <c r="N613" s="2" t="s">
        <v>18</v>
      </c>
      <c r="O613" s="2" t="s">
        <v>19</v>
      </c>
      <c r="P613" s="2">
        <v>66000000</v>
      </c>
      <c r="Q613" s="2">
        <v>7</v>
      </c>
      <c r="R613" s="2" t="s">
        <v>1447</v>
      </c>
      <c r="S613" s="2"/>
      <c r="U613" s="2" t="s">
        <v>1448</v>
      </c>
      <c r="V613">
        <f ca="1" t="shared" si="17"/>
        <v>6.8</v>
      </c>
      <c r="AC613" s="2"/>
      <c r="AD613" t="str">
        <f>IFERROR(__xludf.DUMMYFUNCTION("""COMPUTED_VALUE"""),"Independence Day ")</f>
        <v>Independence Day </v>
      </c>
      <c r="AE613">
        <f t="shared" si="18"/>
        <v>306123905</v>
      </c>
    </row>
    <row r="614" customHeight="1" spans="1:31">
      <c r="A614" s="2" t="s">
        <v>983</v>
      </c>
      <c r="B614" s="2">
        <v>102</v>
      </c>
      <c r="C614" s="2">
        <v>5932060</v>
      </c>
      <c r="D614" s="2" t="s">
        <v>1449</v>
      </c>
      <c r="E614" s="2" t="s">
        <v>12</v>
      </c>
      <c r="F614" t="s">
        <v>16</v>
      </c>
      <c r="G614" t="s">
        <v>14</v>
      </c>
      <c r="H614" t="s">
        <v>17</v>
      </c>
      <c r="N614" s="2" t="s">
        <v>18</v>
      </c>
      <c r="O614" s="2" t="s">
        <v>31</v>
      </c>
      <c r="P614" s="2">
        <v>35000000</v>
      </c>
      <c r="Q614" s="2">
        <v>5.4</v>
      </c>
      <c r="R614" s="2" t="s">
        <v>1450</v>
      </c>
      <c r="S614" s="2"/>
      <c r="U614" s="2" t="s">
        <v>1451</v>
      </c>
      <c r="V614">
        <f ca="1" t="shared" si="17"/>
        <v>7.2</v>
      </c>
      <c r="AC614" s="2"/>
      <c r="AD614" t="str">
        <f>IFERROR(__xludf.DUMMYFUNCTION("""COMPUTED_VALUE"""),"The Lost World: Jurassic Park ")</f>
        <v>The Lost World: Jurassic Park </v>
      </c>
      <c r="AE614">
        <f t="shared" si="18"/>
        <v>229074395</v>
      </c>
    </row>
    <row r="615" customHeight="1" spans="1:31">
      <c r="A615" s="2" t="s">
        <v>166</v>
      </c>
      <c r="B615" s="2">
        <v>169</v>
      </c>
      <c r="C615" s="2">
        <v>216119491</v>
      </c>
      <c r="D615" s="2" t="s">
        <v>536</v>
      </c>
      <c r="E615" s="2" t="s">
        <v>12</v>
      </c>
      <c r="F615" t="s">
        <v>30</v>
      </c>
      <c r="G615" t="s">
        <v>72</v>
      </c>
      <c r="H615" t="s">
        <v>23</v>
      </c>
      <c r="N615" s="2" t="s">
        <v>18</v>
      </c>
      <c r="O615" s="2" t="s">
        <v>19</v>
      </c>
      <c r="P615" s="2">
        <v>70000000</v>
      </c>
      <c r="Q615" s="2">
        <v>8.6</v>
      </c>
      <c r="R615" s="2" t="s">
        <v>1452</v>
      </c>
      <c r="S615" s="2"/>
      <c r="U615" s="2" t="s">
        <v>1453</v>
      </c>
      <c r="V615">
        <f ca="1" t="shared" si="17"/>
        <v>6.72857142857143</v>
      </c>
      <c r="AC615" s="2"/>
      <c r="AD615" t="str">
        <f>IFERROR(__xludf.DUMMYFUNCTION("""COMPUTED_VALUE"""),"Madagascar ")</f>
        <v>Madagascar </v>
      </c>
      <c r="AE615">
        <f t="shared" si="18"/>
        <v>193136633</v>
      </c>
    </row>
    <row r="616" customHeight="1" spans="1:31">
      <c r="A616" s="2" t="s">
        <v>985</v>
      </c>
      <c r="B616" s="2">
        <v>132</v>
      </c>
      <c r="C616" s="2">
        <v>43568507</v>
      </c>
      <c r="D616" s="2" t="s">
        <v>186</v>
      </c>
      <c r="E616" s="2" t="s">
        <v>12</v>
      </c>
      <c r="F616" t="s">
        <v>13</v>
      </c>
      <c r="G616" t="s">
        <v>40</v>
      </c>
      <c r="H616" t="s">
        <v>24</v>
      </c>
      <c r="N616" s="2" t="s">
        <v>18</v>
      </c>
      <c r="O616" s="2" t="s">
        <v>19</v>
      </c>
      <c r="P616" s="2">
        <v>66000000</v>
      </c>
      <c r="Q616" s="2">
        <v>6.5</v>
      </c>
      <c r="R616" s="2" t="s">
        <v>1454</v>
      </c>
      <c r="S616" s="2"/>
      <c r="U616" s="2" t="s">
        <v>1455</v>
      </c>
      <c r="V616">
        <f ca="1" t="shared" si="17"/>
        <v>6.33333333333333</v>
      </c>
      <c r="AC616" s="2"/>
      <c r="AD616" t="str">
        <f>IFERROR(__xludf.DUMMYFUNCTION("""COMPUTED_VALUE"""),"Children of Men ")</f>
        <v>Children of Men </v>
      </c>
      <c r="AE616">
        <f t="shared" si="18"/>
        <v>35286319</v>
      </c>
    </row>
    <row r="617" customHeight="1" spans="1:31">
      <c r="A617" s="2" t="s">
        <v>758</v>
      </c>
      <c r="B617" s="2">
        <v>127</v>
      </c>
      <c r="C617" s="2">
        <v>182805123</v>
      </c>
      <c r="D617" s="2" t="s">
        <v>1456</v>
      </c>
      <c r="E617" s="2" t="s">
        <v>40</v>
      </c>
      <c r="F617" t="s">
        <v>30</v>
      </c>
      <c r="G617" t="s">
        <v>56</v>
      </c>
      <c r="H617" t="s">
        <v>29</v>
      </c>
      <c r="N617" s="2" t="s">
        <v>18</v>
      </c>
      <c r="O617" s="2" t="s">
        <v>19</v>
      </c>
      <c r="P617" s="2">
        <v>70000000</v>
      </c>
      <c r="Q617" s="2">
        <v>6.4</v>
      </c>
      <c r="R617" s="2" t="s">
        <v>1457</v>
      </c>
      <c r="S617" s="2"/>
      <c r="U617" s="2" t="s">
        <v>1458</v>
      </c>
      <c r="V617">
        <f ca="1" t="shared" si="17"/>
        <v>6.525</v>
      </c>
      <c r="AC617" s="2"/>
      <c r="AD617" t="str">
        <f>IFERROR(__xludf.DUMMYFUNCTION("""COMPUTED_VALUE"""),"X-Men ")</f>
        <v>X-Men </v>
      </c>
      <c r="AE617">
        <f t="shared" si="18"/>
        <v>157299613</v>
      </c>
    </row>
    <row r="618" customHeight="1" spans="1:31">
      <c r="A618" s="2" t="s">
        <v>643</v>
      </c>
      <c r="B618" s="2">
        <v>103</v>
      </c>
      <c r="C618" s="2">
        <v>176387405</v>
      </c>
      <c r="D618" s="2" t="s">
        <v>189</v>
      </c>
      <c r="E618" s="2" t="s">
        <v>13</v>
      </c>
      <c r="F618" t="s">
        <v>30</v>
      </c>
      <c r="G618" t="s">
        <v>15</v>
      </c>
      <c r="H618" t="s">
        <v>24</v>
      </c>
      <c r="N618" s="2" t="s">
        <v>18</v>
      </c>
      <c r="O618" s="2" t="s">
        <v>19</v>
      </c>
      <c r="P618" s="2">
        <v>59000000</v>
      </c>
      <c r="Q618" s="2">
        <v>7.6</v>
      </c>
      <c r="R618" s="2" t="s">
        <v>1459</v>
      </c>
      <c r="S618" s="2"/>
      <c r="U618" s="2" t="s">
        <v>1460</v>
      </c>
      <c r="V618">
        <f ca="1" t="shared" si="17"/>
        <v>5.76666666666667</v>
      </c>
      <c r="AC618" s="2"/>
      <c r="AD618" t="str">
        <f>IFERROR(__xludf.DUMMYFUNCTION("""COMPUTED_VALUE"""),"Wanted ")</f>
        <v>Wanted </v>
      </c>
      <c r="AE618">
        <f t="shared" si="18"/>
        <v>134568735</v>
      </c>
    </row>
    <row r="619" customHeight="1" spans="1:31">
      <c r="A619" s="2" t="s">
        <v>987</v>
      </c>
      <c r="B619" s="2">
        <v>136</v>
      </c>
      <c r="C619" s="2">
        <v>33685268</v>
      </c>
      <c r="D619" s="2" t="s">
        <v>1461</v>
      </c>
      <c r="E619" s="2" t="s">
        <v>30</v>
      </c>
      <c r="F619" t="s">
        <v>13</v>
      </c>
      <c r="G619" t="s">
        <v>40</v>
      </c>
      <c r="H619" t="s">
        <v>29</v>
      </c>
      <c r="N619" s="2" t="s">
        <v>18</v>
      </c>
      <c r="O619" s="2" t="s">
        <v>19</v>
      </c>
      <c r="P619" s="2">
        <v>68000000</v>
      </c>
      <c r="Q619" s="2">
        <v>5.5</v>
      </c>
      <c r="R619" s="2" t="s">
        <v>1462</v>
      </c>
      <c r="S619" s="2"/>
      <c r="U619" s="2" t="s">
        <v>1463</v>
      </c>
      <c r="V619">
        <f ca="1" t="shared" si="17"/>
        <v>6.23333333333333</v>
      </c>
      <c r="AC619" s="2"/>
      <c r="AD619" t="str">
        <f>IFERROR(__xludf.DUMMYFUNCTION("""COMPUTED_VALUE"""),"The Rock ")</f>
        <v>The Rock </v>
      </c>
      <c r="AE619">
        <f t="shared" si="18"/>
        <v>134006585</v>
      </c>
    </row>
    <row r="620" customHeight="1" spans="1:31">
      <c r="A620" s="2" t="s">
        <v>166</v>
      </c>
      <c r="B620" s="2">
        <v>150</v>
      </c>
      <c r="C620" s="2">
        <v>182204440</v>
      </c>
      <c r="D620" s="2" t="s">
        <v>1284</v>
      </c>
      <c r="E620" s="2" t="s">
        <v>59</v>
      </c>
      <c r="F620" t="s">
        <v>13</v>
      </c>
      <c r="G620" t="s">
        <v>15</v>
      </c>
      <c r="H620" t="s">
        <v>17</v>
      </c>
      <c r="N620" s="2" t="s">
        <v>18</v>
      </c>
      <c r="O620" s="2" t="s">
        <v>19</v>
      </c>
      <c r="P620" s="2">
        <v>65000000</v>
      </c>
      <c r="Q620" s="2">
        <v>7.4</v>
      </c>
      <c r="R620" s="2" t="s">
        <v>1464</v>
      </c>
      <c r="S620" s="2"/>
      <c r="U620" s="2" t="s">
        <v>1465</v>
      </c>
      <c r="V620">
        <f ca="1" t="shared" si="17"/>
        <v>6.5</v>
      </c>
      <c r="AC620" s="2"/>
      <c r="AD620" t="str">
        <f>IFERROR(__xludf.DUMMYFUNCTION("""COMPUTED_VALUE"""),"Ice Age: The Meltdown ")</f>
        <v>Ice Age: The Meltdown </v>
      </c>
      <c r="AE620">
        <f t="shared" si="18"/>
        <v>195329648</v>
      </c>
    </row>
    <row r="621" customHeight="1" spans="1:31">
      <c r="A621" s="2" t="s">
        <v>181</v>
      </c>
      <c r="B621" s="2">
        <v>136</v>
      </c>
      <c r="C621" s="2">
        <v>171383253</v>
      </c>
      <c r="D621" s="2" t="s">
        <v>256</v>
      </c>
      <c r="E621" s="2" t="s">
        <v>12</v>
      </c>
      <c r="F621" t="s">
        <v>56</v>
      </c>
      <c r="G621" t="s">
        <v>24</v>
      </c>
      <c r="H621" t="s">
        <v>24</v>
      </c>
      <c r="N621" s="2" t="s">
        <v>18</v>
      </c>
      <c r="O621" s="2" t="s">
        <v>19</v>
      </c>
      <c r="P621" s="2">
        <v>63000000</v>
      </c>
      <c r="Q621" s="2">
        <v>8.7</v>
      </c>
      <c r="R621" s="2" t="s">
        <v>1466</v>
      </c>
      <c r="S621" s="2"/>
      <c r="U621" s="2" t="s">
        <v>1467</v>
      </c>
      <c r="V621">
        <f ca="1" t="shared" si="17"/>
        <v>7</v>
      </c>
      <c r="AC621" s="2"/>
      <c r="AD621" t="str">
        <f>IFERROR(__xludf.DUMMYFUNCTION("""COMPUTED_VALUE"""),"50 First Dates ")</f>
        <v>50 First Dates </v>
      </c>
      <c r="AE621">
        <f t="shared" si="18"/>
        <v>120776733</v>
      </c>
    </row>
    <row r="622" customHeight="1" spans="1:31">
      <c r="A622" s="2" t="s">
        <v>327</v>
      </c>
      <c r="B622" s="2">
        <v>140</v>
      </c>
      <c r="C622" s="2">
        <v>172071312</v>
      </c>
      <c r="D622" s="2" t="s">
        <v>1468</v>
      </c>
      <c r="E622" s="2" t="s">
        <v>13</v>
      </c>
      <c r="F622" t="s">
        <v>23</v>
      </c>
      <c r="G622" t="s">
        <v>30</v>
      </c>
      <c r="H622" t="s">
        <v>24</v>
      </c>
      <c r="N622" s="2" t="s">
        <v>18</v>
      </c>
      <c r="O622" s="2" t="s">
        <v>19</v>
      </c>
      <c r="P622" s="2">
        <v>62000000</v>
      </c>
      <c r="Q622" s="2">
        <v>7.6</v>
      </c>
      <c r="R622" s="2" t="s">
        <v>1469</v>
      </c>
      <c r="S622" s="2"/>
      <c r="U622" s="2" t="s">
        <v>1470</v>
      </c>
      <c r="V622">
        <f ca="1" t="shared" si="17"/>
        <v>6.05</v>
      </c>
      <c r="AC622" s="2"/>
      <c r="AD622" t="str">
        <f>IFERROR(__xludf.DUMMYFUNCTION("""COMPUTED_VALUE"""),"Hairspray ")</f>
        <v>Hairspray </v>
      </c>
      <c r="AE622">
        <f t="shared" si="18"/>
        <v>118822974</v>
      </c>
    </row>
    <row r="623" customHeight="1" spans="1:31">
      <c r="A623" s="2" t="s">
        <v>989</v>
      </c>
      <c r="B623" s="2">
        <v>104</v>
      </c>
      <c r="C623" s="2">
        <v>139225854</v>
      </c>
      <c r="D623" s="2" t="s">
        <v>214</v>
      </c>
      <c r="E623" s="2" t="s">
        <v>40</v>
      </c>
      <c r="F623" t="s">
        <v>55</v>
      </c>
      <c r="G623" t="s">
        <v>30</v>
      </c>
      <c r="H623" t="s">
        <v>24</v>
      </c>
      <c r="N623" s="2" t="s">
        <v>18</v>
      </c>
      <c r="O623" s="2" t="s">
        <v>19</v>
      </c>
      <c r="P623" s="2">
        <v>60000000</v>
      </c>
      <c r="Q623" s="2">
        <v>5.5</v>
      </c>
      <c r="R623" s="2" t="s">
        <v>1471</v>
      </c>
      <c r="S623" s="2"/>
      <c r="U623" s="2" t="s">
        <v>1472</v>
      </c>
      <c r="V623">
        <f ca="1" t="shared" si="17"/>
        <v>6.64</v>
      </c>
      <c r="AC623" s="2"/>
      <c r="AD623" t="str">
        <f>IFERROR(__xludf.DUMMYFUNCTION("""COMPUTED_VALUE"""),"Exorcist: The Beginning ")</f>
        <v>Exorcist: The Beginning </v>
      </c>
      <c r="AE623">
        <f t="shared" si="18"/>
        <v>41814738</v>
      </c>
    </row>
    <row r="624" customHeight="1" spans="1:31">
      <c r="A624" s="2" t="s">
        <v>992</v>
      </c>
      <c r="B624" s="2">
        <v>158</v>
      </c>
      <c r="C624" s="2">
        <v>148775460</v>
      </c>
      <c r="D624" s="2" t="s">
        <v>1109</v>
      </c>
      <c r="E624" s="2" t="s">
        <v>30</v>
      </c>
      <c r="F624" t="s">
        <v>17</v>
      </c>
      <c r="G624" t="s">
        <v>15</v>
      </c>
      <c r="H624" t="s">
        <v>15</v>
      </c>
      <c r="N624" s="2" t="s">
        <v>18</v>
      </c>
      <c r="O624" s="2" t="s">
        <v>19</v>
      </c>
      <c r="P624" s="2">
        <v>61000000</v>
      </c>
      <c r="Q624" s="2">
        <v>7.6</v>
      </c>
      <c r="R624" s="2" t="s">
        <v>1473</v>
      </c>
      <c r="S624" s="2"/>
      <c r="U624" s="2" t="s">
        <v>1474</v>
      </c>
      <c r="V624">
        <f ca="1" t="shared" si="17"/>
        <v>6.5</v>
      </c>
      <c r="AC624" s="2"/>
      <c r="AD624" t="str">
        <f>IFERROR(__xludf.DUMMYFUNCTION("""COMPUTED_VALUE"""),"Inspector Gadget ")</f>
        <v>Inspector Gadget </v>
      </c>
      <c r="AE624">
        <f t="shared" si="18"/>
        <v>97359959</v>
      </c>
    </row>
    <row r="625" customHeight="1" spans="1:31">
      <c r="A625" s="2" t="s">
        <v>995</v>
      </c>
      <c r="B625" s="2">
        <v>119</v>
      </c>
      <c r="C625" s="2">
        <v>115731542</v>
      </c>
      <c r="D625" s="2" t="s">
        <v>521</v>
      </c>
      <c r="E625" s="2" t="s">
        <v>40</v>
      </c>
      <c r="F625" t="s">
        <v>28</v>
      </c>
      <c r="G625" t="s">
        <v>30</v>
      </c>
      <c r="H625" t="s">
        <v>24</v>
      </c>
      <c r="N625" s="2" t="s">
        <v>18</v>
      </c>
      <c r="O625" s="2" t="s">
        <v>19</v>
      </c>
      <c r="P625" s="2">
        <v>65000000</v>
      </c>
      <c r="Q625" s="2">
        <v>6.5</v>
      </c>
      <c r="R625" s="2" t="s">
        <v>1475</v>
      </c>
      <c r="S625" s="2"/>
      <c r="U625" s="2" t="s">
        <v>1476</v>
      </c>
      <c r="V625">
        <f ca="1" t="shared" si="17"/>
        <v>4</v>
      </c>
      <c r="AC625" s="2"/>
      <c r="AD625" t="str">
        <f>IFERROR(__xludf.DUMMYFUNCTION("""COMPUTED_VALUE"""),"Now You See Me ")</f>
        <v>Now You See Me </v>
      </c>
      <c r="AE625">
        <f t="shared" si="18"/>
        <v>117698769</v>
      </c>
    </row>
    <row r="626" customHeight="1" spans="1:31">
      <c r="A626" s="2" t="s">
        <v>621</v>
      </c>
      <c r="B626" s="2">
        <v>106</v>
      </c>
      <c r="C626" s="2">
        <v>100468793</v>
      </c>
      <c r="D626" s="2" t="s">
        <v>40</v>
      </c>
      <c r="E626" s="2" t="s">
        <v>40</v>
      </c>
      <c r="F626" t="s">
        <v>30</v>
      </c>
      <c r="G626" t="s">
        <v>40</v>
      </c>
      <c r="H626" t="s">
        <v>24</v>
      </c>
      <c r="N626" s="2" t="s">
        <v>18</v>
      </c>
      <c r="O626" s="2" t="s">
        <v>19</v>
      </c>
      <c r="P626" s="2">
        <v>65000000</v>
      </c>
      <c r="Q626" s="2">
        <v>6.9</v>
      </c>
      <c r="R626" s="2" t="s">
        <v>1477</v>
      </c>
      <c r="S626" s="2"/>
      <c r="U626" s="2" t="s">
        <v>1478</v>
      </c>
      <c r="V626">
        <f ca="1" t="shared" si="17"/>
        <v>7.6</v>
      </c>
      <c r="AC626" s="2"/>
      <c r="AD626" t="str">
        <f>IFERROR(__xludf.DUMMYFUNCTION("""COMPUTED_VALUE"""),"Grown Ups ")</f>
        <v>Grown Ups </v>
      </c>
      <c r="AE626">
        <f t="shared" si="18"/>
        <v>162001084</v>
      </c>
    </row>
    <row r="627" customHeight="1" spans="1:31">
      <c r="A627" s="2" t="s">
        <v>143</v>
      </c>
      <c r="B627" s="2">
        <v>136</v>
      </c>
      <c r="C627" s="2">
        <v>93771072</v>
      </c>
      <c r="D627" s="2" t="s">
        <v>1479</v>
      </c>
      <c r="E627" s="2" t="s">
        <v>12</v>
      </c>
      <c r="F627" t="s">
        <v>56</v>
      </c>
      <c r="G627" t="s">
        <v>14</v>
      </c>
      <c r="H627" t="s">
        <v>24</v>
      </c>
      <c r="N627" s="2" t="s">
        <v>18</v>
      </c>
      <c r="O627" s="2" t="s">
        <v>19</v>
      </c>
      <c r="P627" s="2">
        <v>65000000</v>
      </c>
      <c r="Q627" s="2">
        <v>6.7</v>
      </c>
      <c r="R627" s="2" t="s">
        <v>1480</v>
      </c>
      <c r="S627" s="2"/>
      <c r="U627" s="2" t="s">
        <v>1481</v>
      </c>
      <c r="V627">
        <f ca="1" t="shared" si="17"/>
        <v>7.35</v>
      </c>
      <c r="AC627" s="2"/>
      <c r="AD627" t="str">
        <f>IFERROR(__xludf.DUMMYFUNCTION("""COMPUTED_VALUE"""),"The Terminal ")</f>
        <v>The Terminal </v>
      </c>
      <c r="AE627">
        <f t="shared" si="18"/>
        <v>77032151</v>
      </c>
    </row>
    <row r="628" customHeight="1" spans="1:31">
      <c r="A628" s="2" t="s">
        <v>788</v>
      </c>
      <c r="B628" s="2">
        <v>95</v>
      </c>
      <c r="C628" s="2">
        <v>100448498</v>
      </c>
      <c r="D628" s="2" t="s">
        <v>975</v>
      </c>
      <c r="E628" s="2" t="s">
        <v>40</v>
      </c>
      <c r="F628" t="s">
        <v>40</v>
      </c>
      <c r="G628" t="s">
        <v>35</v>
      </c>
      <c r="H628" t="s">
        <v>71</v>
      </c>
      <c r="N628" s="2" t="s">
        <v>18</v>
      </c>
      <c r="O628" s="2" t="s">
        <v>19</v>
      </c>
      <c r="P628" s="2">
        <v>65000000</v>
      </c>
      <c r="Q628" s="2">
        <v>6.6</v>
      </c>
      <c r="R628" s="2" t="s">
        <v>1482</v>
      </c>
      <c r="S628" s="2"/>
      <c r="U628" s="2" t="s">
        <v>1483</v>
      </c>
      <c r="V628">
        <f ca="1" t="shared" si="17"/>
        <v>6.25</v>
      </c>
      <c r="AC628" s="2"/>
      <c r="AD628" t="str">
        <f>IFERROR(__xludf.DUMMYFUNCTION("""COMPUTED_VALUE"""),"Hotel for Dogs ")</f>
        <v>Hotel for Dogs </v>
      </c>
      <c r="AE628">
        <f t="shared" si="18"/>
        <v>73023175</v>
      </c>
    </row>
    <row r="629" customHeight="1" spans="1:31">
      <c r="A629" s="2" t="s">
        <v>997</v>
      </c>
      <c r="B629" s="2">
        <v>137</v>
      </c>
      <c r="C629" s="2">
        <v>115603980</v>
      </c>
      <c r="D629" s="2" t="s">
        <v>1484</v>
      </c>
      <c r="E629" s="2" t="s">
        <v>59</v>
      </c>
      <c r="F629" t="s">
        <v>13</v>
      </c>
      <c r="G629" t="s">
        <v>56</v>
      </c>
      <c r="H629" t="s">
        <v>24</v>
      </c>
      <c r="N629" s="2" t="s">
        <v>18</v>
      </c>
      <c r="O629" s="2" t="s">
        <v>19</v>
      </c>
      <c r="P629" s="2">
        <v>65000000</v>
      </c>
      <c r="Q629" s="2">
        <v>7.2</v>
      </c>
      <c r="R629" s="2" t="s">
        <v>1485</v>
      </c>
      <c r="S629" s="2"/>
      <c r="U629" s="2" t="s">
        <v>1486</v>
      </c>
      <c r="V629">
        <f ca="1" t="shared" si="17"/>
        <v>7.2</v>
      </c>
      <c r="AC629" s="2"/>
      <c r="AD629" t="str">
        <f>IFERROR(__xludf.DUMMYFUNCTION("""COMPUTED_VALUE"""),"Vertical Limit ")</f>
        <v>Vertical Limit </v>
      </c>
      <c r="AE629">
        <f t="shared" si="18"/>
        <v>68473236</v>
      </c>
    </row>
    <row r="630" customHeight="1" spans="1:31">
      <c r="A630" s="2" t="s">
        <v>1000</v>
      </c>
      <c r="B630" s="2">
        <v>130</v>
      </c>
      <c r="C630" s="2">
        <v>90454043</v>
      </c>
      <c r="D630" s="2" t="s">
        <v>27</v>
      </c>
      <c r="E630" s="2" t="s">
        <v>12</v>
      </c>
      <c r="F630" t="s">
        <v>30</v>
      </c>
      <c r="G630" t="s">
        <v>14</v>
      </c>
      <c r="H630" t="s">
        <v>30</v>
      </c>
      <c r="N630" s="2" t="s">
        <v>18</v>
      </c>
      <c r="O630" s="2" t="s">
        <v>19</v>
      </c>
      <c r="P630" s="2">
        <v>65000000</v>
      </c>
      <c r="Q630" s="2">
        <v>6.4</v>
      </c>
      <c r="R630" s="2" t="s">
        <v>1487</v>
      </c>
      <c r="S630" s="2"/>
      <c r="U630" s="2" t="s">
        <v>1488</v>
      </c>
      <c r="V630">
        <f ca="1" t="shared" si="17"/>
        <v>8.1</v>
      </c>
      <c r="AC630" s="2"/>
      <c r="AD630" t="str">
        <f>IFERROR(__xludf.DUMMYFUNCTION("""COMPUTED_VALUE"""),"Charlie Wilson's War ")</f>
        <v>Charlie Wilson's War </v>
      </c>
      <c r="AE630">
        <f t="shared" si="18"/>
        <v>66636283</v>
      </c>
    </row>
    <row r="631" customHeight="1" spans="1:31">
      <c r="A631" s="2" t="s">
        <v>709</v>
      </c>
      <c r="B631" s="2">
        <v>124</v>
      </c>
      <c r="C631" s="2">
        <v>84049211</v>
      </c>
      <c r="D631" s="2" t="s">
        <v>27</v>
      </c>
      <c r="E631" s="2" t="s">
        <v>12</v>
      </c>
      <c r="F631" t="s">
        <v>72</v>
      </c>
      <c r="G631" t="s">
        <v>30</v>
      </c>
      <c r="H631" t="s">
        <v>24</v>
      </c>
      <c r="N631" s="2" t="s">
        <v>18</v>
      </c>
      <c r="O631" s="2" t="s">
        <v>19</v>
      </c>
      <c r="P631" s="2">
        <v>70000000</v>
      </c>
      <c r="Q631" s="2">
        <v>6.4</v>
      </c>
      <c r="R631" s="2" t="s">
        <v>1489</v>
      </c>
      <c r="S631" s="2"/>
      <c r="U631" s="2" t="s">
        <v>1490</v>
      </c>
      <c r="V631">
        <f ca="1" t="shared" ref="V631:V694" si="19">AVERAGEIF(A515:A4300,U631,Q516:Q4300)</f>
        <v>6.2</v>
      </c>
      <c r="AC631" s="2"/>
      <c r="AD631" t="str">
        <f>IFERROR(__xludf.DUMMYFUNCTION("""COMPUTED_VALUE"""),"Shark Tale ")</f>
        <v>Shark Tale </v>
      </c>
      <c r="AE631">
        <f t="shared" ref="AE631:AE694" si="20">C515-B515</f>
        <v>160761932</v>
      </c>
    </row>
    <row r="632" customHeight="1" spans="1:31">
      <c r="A632" s="2" t="s">
        <v>494</v>
      </c>
      <c r="B632" s="2">
        <v>108</v>
      </c>
      <c r="C632" s="2">
        <v>70450000</v>
      </c>
      <c r="D632" s="2" t="s">
        <v>150</v>
      </c>
      <c r="E632" s="2" t="s">
        <v>12</v>
      </c>
      <c r="F632" t="s">
        <v>15</v>
      </c>
      <c r="G632" t="s">
        <v>55</v>
      </c>
      <c r="H632" t="s">
        <v>14</v>
      </c>
      <c r="N632" s="2" t="s">
        <v>18</v>
      </c>
      <c r="O632" s="2" t="s">
        <v>19</v>
      </c>
      <c r="P632" s="2">
        <v>50000000</v>
      </c>
      <c r="Q632" s="2">
        <v>6</v>
      </c>
      <c r="R632" s="2" t="s">
        <v>1491</v>
      </c>
      <c r="S632" s="2"/>
      <c r="U632" s="2" t="s">
        <v>1492</v>
      </c>
      <c r="V632">
        <f ca="1" t="shared" si="19"/>
        <v>6.5</v>
      </c>
      <c r="AC632" s="2"/>
      <c r="AD632" t="str">
        <f>IFERROR(__xludf.DUMMYFUNCTION("""COMPUTED_VALUE"""),"Dreamgirls ")</f>
        <v>Dreamgirls </v>
      </c>
      <c r="AE632">
        <f t="shared" si="20"/>
        <v>103338208</v>
      </c>
    </row>
    <row r="633" customHeight="1" spans="1:31">
      <c r="A633" s="2" t="s">
        <v>273</v>
      </c>
      <c r="B633" s="2">
        <v>104</v>
      </c>
      <c r="C633" s="2">
        <v>69688384</v>
      </c>
      <c r="D633" s="2" t="s">
        <v>214</v>
      </c>
      <c r="E633" s="2" t="s">
        <v>40</v>
      </c>
      <c r="F633" t="s">
        <v>56</v>
      </c>
      <c r="G633" t="s">
        <v>17</v>
      </c>
      <c r="H633" t="s">
        <v>30</v>
      </c>
      <c r="N633" s="2" t="s">
        <v>18</v>
      </c>
      <c r="O633" s="2" t="s">
        <v>19</v>
      </c>
      <c r="P633" s="2">
        <v>60000000</v>
      </c>
      <c r="Q633" s="2">
        <v>6.1</v>
      </c>
      <c r="R633" s="2" t="s">
        <v>1493</v>
      </c>
      <c r="S633" s="2"/>
      <c r="U633" s="2" t="s">
        <v>1494</v>
      </c>
      <c r="V633">
        <f ca="1" t="shared" si="19"/>
        <v>6.02</v>
      </c>
      <c r="AC633" s="2"/>
      <c r="AD633" t="str">
        <f>IFERROR(__xludf.DUMMYFUNCTION("""COMPUTED_VALUE"""),"Be Cool ")</f>
        <v>Be Cool </v>
      </c>
      <c r="AE633">
        <f t="shared" si="20"/>
        <v>55808626</v>
      </c>
    </row>
    <row r="634" customHeight="1" spans="1:31">
      <c r="A634" s="2" t="s">
        <v>291</v>
      </c>
      <c r="B634" s="2">
        <v>129</v>
      </c>
      <c r="C634" s="2">
        <v>70236496</v>
      </c>
      <c r="D634" s="2" t="s">
        <v>1097</v>
      </c>
      <c r="E634" s="2" t="s">
        <v>30</v>
      </c>
      <c r="F634" t="s">
        <v>30</v>
      </c>
      <c r="G634" t="s">
        <v>15</v>
      </c>
      <c r="H634" t="s">
        <v>23</v>
      </c>
      <c r="N634" s="2" t="s">
        <v>18</v>
      </c>
      <c r="O634" s="2" t="s">
        <v>19</v>
      </c>
      <c r="P634" s="2">
        <v>63000000</v>
      </c>
      <c r="Q634" s="2">
        <v>6</v>
      </c>
      <c r="R634" s="2" t="s">
        <v>1495</v>
      </c>
      <c r="S634" s="2"/>
      <c r="U634" s="2" t="s">
        <v>1496</v>
      </c>
      <c r="V634">
        <f ca="1" t="shared" si="19"/>
        <v>7.35</v>
      </c>
      <c r="AC634" s="2"/>
      <c r="AD634" t="str">
        <f>IFERROR(__xludf.DUMMYFUNCTION("""COMPUTED_VALUE"""),"Munich ")</f>
        <v>Munich </v>
      </c>
      <c r="AE634">
        <f t="shared" si="20"/>
        <v>47378927</v>
      </c>
    </row>
    <row r="635" customHeight="1" spans="1:31">
      <c r="A635" s="2" t="s">
        <v>161</v>
      </c>
      <c r="B635" s="2">
        <v>117</v>
      </c>
      <c r="C635" s="2">
        <v>63695760</v>
      </c>
      <c r="D635" s="2" t="s">
        <v>30</v>
      </c>
      <c r="E635" s="2" t="s">
        <v>30</v>
      </c>
      <c r="F635" t="s">
        <v>13</v>
      </c>
      <c r="G635" t="s">
        <v>24</v>
      </c>
      <c r="H635" t="s">
        <v>15</v>
      </c>
      <c r="N635" s="2" t="s">
        <v>18</v>
      </c>
      <c r="O635" s="2" t="s">
        <v>19</v>
      </c>
      <c r="P635" s="2">
        <v>65000000</v>
      </c>
      <c r="Q635" s="2">
        <v>6.4</v>
      </c>
      <c r="R635" s="2" t="s">
        <v>1497</v>
      </c>
      <c r="S635" s="2"/>
      <c r="U635" s="2" t="s">
        <v>1498</v>
      </c>
      <c r="V635">
        <f ca="1" t="shared" si="19"/>
        <v>4.1</v>
      </c>
      <c r="AC635" s="2"/>
      <c r="AD635" t="str">
        <f>IFERROR(__xludf.DUMMYFUNCTION("""COMPUTED_VALUE"""),"Tears of the Sun ")</f>
        <v>Tears of the Sun </v>
      </c>
      <c r="AE635">
        <f t="shared" si="20"/>
        <v>43426819</v>
      </c>
    </row>
    <row r="636" customHeight="1" spans="1:31">
      <c r="A636" s="2" t="s">
        <v>1002</v>
      </c>
      <c r="B636" s="2">
        <v>99</v>
      </c>
      <c r="C636" s="2">
        <v>59617068</v>
      </c>
      <c r="D636" s="2" t="s">
        <v>607</v>
      </c>
      <c r="E636" s="2" t="s">
        <v>40</v>
      </c>
      <c r="F636" t="s">
        <v>39</v>
      </c>
      <c r="G636" t="s">
        <v>40</v>
      </c>
      <c r="H636" t="s">
        <v>30</v>
      </c>
      <c r="N636" s="2" t="s">
        <v>18</v>
      </c>
      <c r="O636" s="2" t="s">
        <v>19</v>
      </c>
      <c r="P636" s="2">
        <v>65000000</v>
      </c>
      <c r="Q636" s="2">
        <v>6.4</v>
      </c>
      <c r="R636" s="2" t="s">
        <v>1499</v>
      </c>
      <c r="S636" s="2"/>
      <c r="U636" s="2" t="s">
        <v>1500</v>
      </c>
      <c r="V636">
        <f ca="1" t="shared" si="19"/>
        <v>5.9</v>
      </c>
      <c r="AC636" s="2"/>
      <c r="AD636" t="str">
        <f>IFERROR(__xludf.DUMMYFUNCTION("""COMPUTED_VALUE"""),"Killers ")</f>
        <v>Killers </v>
      </c>
      <c r="AE636">
        <f t="shared" si="20"/>
        <v>47000385</v>
      </c>
    </row>
    <row r="637" customHeight="1" spans="1:31">
      <c r="A637" s="2" t="s">
        <v>1004</v>
      </c>
      <c r="B637" s="2">
        <v>159</v>
      </c>
      <c r="C637" s="2">
        <v>55637680</v>
      </c>
      <c r="D637" s="2" t="s">
        <v>712</v>
      </c>
      <c r="E637" s="2" t="s">
        <v>30</v>
      </c>
      <c r="F637" t="s">
        <v>13</v>
      </c>
      <c r="G637" t="s">
        <v>15</v>
      </c>
      <c r="H637" t="s">
        <v>24</v>
      </c>
      <c r="N637" s="2" t="s">
        <v>18</v>
      </c>
      <c r="O637" s="2" t="s">
        <v>31</v>
      </c>
      <c r="P637" s="2">
        <v>65000000</v>
      </c>
      <c r="Q637" s="2">
        <v>7.3</v>
      </c>
      <c r="R637" s="2" t="s">
        <v>1501</v>
      </c>
      <c r="S637" s="2"/>
      <c r="U637" s="2" t="s">
        <v>1502</v>
      </c>
      <c r="V637">
        <f ca="1" t="shared" si="19"/>
        <v>6.17</v>
      </c>
      <c r="AC637" s="2"/>
      <c r="AD637" t="str">
        <f>IFERROR(__xludf.DUMMYFUNCTION("""COMPUTED_VALUE"""),"The Man from U.N.C.L.E. ")</f>
        <v>The Man from U.N.C.L.E. </v>
      </c>
      <c r="AE637">
        <f t="shared" si="20"/>
        <v>45434327</v>
      </c>
    </row>
    <row r="638" customHeight="1" spans="1:31">
      <c r="A638" s="2" t="s">
        <v>1006</v>
      </c>
      <c r="B638" s="2">
        <v>118</v>
      </c>
      <c r="C638" s="2">
        <v>85911262</v>
      </c>
      <c r="D638" s="2" t="s">
        <v>1503</v>
      </c>
      <c r="E638" s="2" t="s">
        <v>40</v>
      </c>
      <c r="F638" t="s">
        <v>56</v>
      </c>
      <c r="G638" t="s">
        <v>17</v>
      </c>
      <c r="H638" t="s">
        <v>24</v>
      </c>
      <c r="N638" s="2" t="s">
        <v>18</v>
      </c>
      <c r="O638" s="2" t="s">
        <v>19</v>
      </c>
      <c r="P638" s="2">
        <v>65000000</v>
      </c>
      <c r="Q638" s="2">
        <v>5.2</v>
      </c>
      <c r="R638" s="2" t="s">
        <v>1504</v>
      </c>
      <c r="S638" s="2"/>
      <c r="U638" s="2" t="s">
        <v>1505</v>
      </c>
      <c r="V638">
        <f ca="1" t="shared" si="19"/>
        <v>7.5</v>
      </c>
      <c r="AC638" s="2"/>
      <c r="AD638" t="str">
        <f>IFERROR(__xludf.DUMMYFUNCTION("""COMPUTED_VALUE"""),"Spanglish ")</f>
        <v>Spanglish </v>
      </c>
      <c r="AE638">
        <f t="shared" si="20"/>
        <v>42044190</v>
      </c>
    </row>
    <row r="639" customHeight="1" spans="1:31">
      <c r="A639" s="2" t="s">
        <v>1008</v>
      </c>
      <c r="B639" s="2">
        <v>105</v>
      </c>
      <c r="C639" s="2">
        <v>53846915</v>
      </c>
      <c r="D639" s="2" t="s">
        <v>1231</v>
      </c>
      <c r="E639" s="2" t="s">
        <v>40</v>
      </c>
      <c r="F639" t="s">
        <v>14</v>
      </c>
      <c r="G639" t="s">
        <v>28</v>
      </c>
      <c r="H639" t="s">
        <v>15</v>
      </c>
      <c r="N639" s="2" t="s">
        <v>18</v>
      </c>
      <c r="O639" s="2" t="s">
        <v>19</v>
      </c>
      <c r="P639" s="2">
        <v>50100000</v>
      </c>
      <c r="Q639" s="2">
        <v>6.6</v>
      </c>
      <c r="R639" s="2" t="s">
        <v>1506</v>
      </c>
      <c r="S639" s="2"/>
      <c r="U639" s="2" t="s">
        <v>1507</v>
      </c>
      <c r="V639">
        <f ca="1" t="shared" si="19"/>
        <v>6.7</v>
      </c>
      <c r="AC639" s="2"/>
      <c r="AD639" t="str">
        <f>IFERROR(__xludf.DUMMYFUNCTION("""COMPUTED_VALUE"""),"Monster House ")</f>
        <v>Monster House </v>
      </c>
      <c r="AE639">
        <f t="shared" si="20"/>
        <v>73660919</v>
      </c>
    </row>
    <row r="640" customHeight="1" spans="1:31">
      <c r="A640" s="2" t="s">
        <v>147</v>
      </c>
      <c r="B640" s="2">
        <v>103</v>
      </c>
      <c r="C640" s="2">
        <v>54758461</v>
      </c>
      <c r="D640" s="2" t="s">
        <v>524</v>
      </c>
      <c r="E640" s="2" t="s">
        <v>12</v>
      </c>
      <c r="F640" t="s">
        <v>30</v>
      </c>
      <c r="G640" t="s">
        <v>15</v>
      </c>
      <c r="H640" t="s">
        <v>17</v>
      </c>
      <c r="N640" s="2" t="s">
        <v>18</v>
      </c>
      <c r="O640" s="2" t="s">
        <v>19</v>
      </c>
      <c r="P640" s="2">
        <v>65000000</v>
      </c>
      <c r="Q640" s="2">
        <v>6.3</v>
      </c>
      <c r="R640" s="2" t="s">
        <v>1508</v>
      </c>
      <c r="S640" s="2"/>
      <c r="U640" s="2" t="s">
        <v>1509</v>
      </c>
      <c r="V640">
        <f ca="1" t="shared" si="19"/>
        <v>5.725</v>
      </c>
      <c r="AC640" s="2"/>
      <c r="AD640" t="str">
        <f>IFERROR(__xludf.DUMMYFUNCTION("""COMPUTED_VALUE"""),"Bandits ")</f>
        <v>Bandits </v>
      </c>
      <c r="AE640">
        <f t="shared" si="20"/>
        <v>41523148</v>
      </c>
    </row>
    <row r="641" customHeight="1" spans="1:31">
      <c r="A641" s="2" t="s">
        <v>1010</v>
      </c>
      <c r="B641" s="2">
        <v>122</v>
      </c>
      <c r="C641" s="2">
        <v>52397389</v>
      </c>
      <c r="D641" s="2" t="s">
        <v>1510</v>
      </c>
      <c r="E641" s="2" t="s">
        <v>12</v>
      </c>
      <c r="F641" t="s">
        <v>56</v>
      </c>
      <c r="G641" t="s">
        <v>30</v>
      </c>
      <c r="H641" t="s">
        <v>15</v>
      </c>
      <c r="N641" s="2" t="s">
        <v>18</v>
      </c>
      <c r="O641" s="2" t="s">
        <v>19</v>
      </c>
      <c r="P641" s="2">
        <v>65000000</v>
      </c>
      <c r="Q641" s="2">
        <v>5.9</v>
      </c>
      <c r="R641" s="2" t="s">
        <v>1511</v>
      </c>
      <c r="S641" s="2"/>
      <c r="U641" s="2" t="s">
        <v>1512</v>
      </c>
      <c r="V641">
        <f ca="1" t="shared" si="19"/>
        <v>7.7</v>
      </c>
      <c r="AC641" s="2"/>
      <c r="AD641" t="str">
        <f>IFERROR(__xludf.DUMMYFUNCTION("""COMPUTED_VALUE"""),"First Knight ")</f>
        <v>First Knight </v>
      </c>
      <c r="AE641">
        <f t="shared" si="20"/>
        <v>37600301</v>
      </c>
    </row>
    <row r="642" customHeight="1" spans="1:31">
      <c r="A642" s="2" t="s">
        <v>876</v>
      </c>
      <c r="B642" s="2">
        <v>143</v>
      </c>
      <c r="C642" s="2">
        <v>38966057</v>
      </c>
      <c r="D642" s="2" t="s">
        <v>975</v>
      </c>
      <c r="E642" s="2" t="s">
        <v>40</v>
      </c>
      <c r="F642" t="s">
        <v>56</v>
      </c>
      <c r="G642" t="s">
        <v>30</v>
      </c>
      <c r="H642" t="s">
        <v>39</v>
      </c>
      <c r="N642" s="2" t="s">
        <v>18</v>
      </c>
      <c r="O642" s="2" t="s">
        <v>707</v>
      </c>
      <c r="P642" s="2">
        <v>65000000</v>
      </c>
      <c r="Q642" s="2">
        <v>6.7</v>
      </c>
      <c r="R642" s="2" t="s">
        <v>1513</v>
      </c>
      <c r="S642" s="2"/>
      <c r="U642" s="2" t="s">
        <v>1514</v>
      </c>
      <c r="V642">
        <f ca="1" t="shared" si="19"/>
        <v>7.8</v>
      </c>
      <c r="AC642" s="2"/>
      <c r="AD642" t="str">
        <f>IFERROR(__xludf.DUMMYFUNCTION("""COMPUTED_VALUE"""),"Anna and the King ")</f>
        <v>Anna and the King </v>
      </c>
      <c r="AE642">
        <f t="shared" si="20"/>
        <v>39250980</v>
      </c>
    </row>
    <row r="643" customHeight="1" spans="1:31">
      <c r="A643" s="2" t="s">
        <v>750</v>
      </c>
      <c r="B643" s="2">
        <v>96</v>
      </c>
      <c r="C643" s="2">
        <v>42345531</v>
      </c>
      <c r="D643" s="2" t="s">
        <v>843</v>
      </c>
      <c r="E643" s="2" t="s">
        <v>12</v>
      </c>
      <c r="F643" t="s">
        <v>28</v>
      </c>
      <c r="G643" t="s">
        <v>83</v>
      </c>
      <c r="H643" t="s">
        <v>24</v>
      </c>
      <c r="N643" s="2" t="s">
        <v>18</v>
      </c>
      <c r="O643" s="2" t="s">
        <v>293</v>
      </c>
      <c r="P643" s="2">
        <v>65000000</v>
      </c>
      <c r="Q643" s="2">
        <v>5.4</v>
      </c>
      <c r="R643" s="2" t="s">
        <v>1515</v>
      </c>
      <c r="S643" s="2"/>
      <c r="U643" s="2" t="s">
        <v>1516</v>
      </c>
      <c r="V643">
        <f ca="1" t="shared" si="19"/>
        <v>6.25</v>
      </c>
      <c r="AC643" s="2"/>
      <c r="AD643" t="str">
        <f>IFERROR(__xludf.DUMMYFUNCTION("""COMPUTED_VALUE"""),"Immortals ")</f>
        <v>Immortals </v>
      </c>
      <c r="AE643">
        <f t="shared" si="20"/>
        <v>83503051</v>
      </c>
    </row>
    <row r="644" customHeight="1" spans="1:31">
      <c r="A644" s="2" t="s">
        <v>750</v>
      </c>
      <c r="B644" s="2">
        <v>111</v>
      </c>
      <c r="C644" s="2">
        <v>36064910</v>
      </c>
      <c r="D644" s="2" t="s">
        <v>1094</v>
      </c>
      <c r="E644" s="2" t="s">
        <v>12</v>
      </c>
      <c r="F644" t="s">
        <v>59</v>
      </c>
      <c r="G644" t="s">
        <v>39</v>
      </c>
      <c r="H644" t="s">
        <v>23</v>
      </c>
      <c r="N644" s="2" t="s">
        <v>18</v>
      </c>
      <c r="O644" s="2" t="s">
        <v>19</v>
      </c>
      <c r="P644" s="2">
        <v>45000000</v>
      </c>
      <c r="Q644" s="2">
        <v>6.4</v>
      </c>
      <c r="R644" s="2" t="s">
        <v>1517</v>
      </c>
      <c r="S644" s="2"/>
      <c r="U644" s="2" t="s">
        <v>1518</v>
      </c>
      <c r="V644">
        <f ca="1" t="shared" si="19"/>
        <v>6.5</v>
      </c>
      <c r="AC644" s="2"/>
      <c r="AD644" t="str">
        <f>IFERROR(__xludf.DUMMYFUNCTION("""COMPUTED_VALUE"""),"Hostage ")</f>
        <v>Hostage </v>
      </c>
      <c r="AE644">
        <f t="shared" si="20"/>
        <v>34636330</v>
      </c>
    </row>
    <row r="645" customHeight="1" spans="1:31">
      <c r="A645" s="2" t="s">
        <v>709</v>
      </c>
      <c r="B645" s="2">
        <v>121</v>
      </c>
      <c r="C645" s="2">
        <v>33328051</v>
      </c>
      <c r="D645" s="2" t="s">
        <v>915</v>
      </c>
      <c r="E645" s="2" t="s">
        <v>12</v>
      </c>
      <c r="F645" t="s">
        <v>30</v>
      </c>
      <c r="G645" t="s">
        <v>30</v>
      </c>
      <c r="H645" t="s">
        <v>24</v>
      </c>
      <c r="N645" s="2" t="s">
        <v>18</v>
      </c>
      <c r="O645" s="2" t="s">
        <v>19</v>
      </c>
      <c r="P645" s="2">
        <v>65000000</v>
      </c>
      <c r="Q645" s="2">
        <v>6.7</v>
      </c>
      <c r="R645" s="2" t="s">
        <v>1519</v>
      </c>
      <c r="S645" s="2"/>
      <c r="U645" s="2" t="s">
        <v>1520</v>
      </c>
      <c r="V645">
        <f ca="1" t="shared" si="19"/>
        <v>6.25</v>
      </c>
      <c r="AC645" s="2"/>
      <c r="AD645" t="str">
        <f>IFERROR(__xludf.DUMMYFUNCTION("""COMPUTED_VALUE"""),"Titan A.E. ")</f>
        <v>Titan A.E. </v>
      </c>
      <c r="AE645">
        <f t="shared" si="20"/>
        <v>22751885</v>
      </c>
    </row>
    <row r="646" customHeight="1" spans="1:31">
      <c r="A646" s="2" t="s">
        <v>1012</v>
      </c>
      <c r="B646" s="2">
        <v>135</v>
      </c>
      <c r="C646" s="2">
        <v>32598931</v>
      </c>
      <c r="D646" s="2" t="s">
        <v>355</v>
      </c>
      <c r="E646" s="2" t="s">
        <v>12</v>
      </c>
      <c r="F646" t="s">
        <v>40</v>
      </c>
      <c r="G646" t="s">
        <v>56</v>
      </c>
      <c r="H646" t="s">
        <v>72</v>
      </c>
      <c r="N646" s="2" t="s">
        <v>18</v>
      </c>
      <c r="O646" s="2" t="s">
        <v>19</v>
      </c>
      <c r="P646" s="2">
        <v>65000000</v>
      </c>
      <c r="Q646" s="2">
        <v>6.2</v>
      </c>
      <c r="R646" s="2" t="s">
        <v>1521</v>
      </c>
      <c r="S646" s="2"/>
      <c r="U646" s="2" t="s">
        <v>1522</v>
      </c>
      <c r="V646">
        <f ca="1" t="shared" si="19"/>
        <v>6.9</v>
      </c>
      <c r="AC646" s="2"/>
      <c r="AD646" t="str">
        <f>IFERROR(__xludf.DUMMYFUNCTION("""COMPUTED_VALUE"""),"Hollywood Homicide ")</f>
        <v>Hollywood Homicide </v>
      </c>
      <c r="AE646">
        <f t="shared" si="20"/>
        <v>30013230</v>
      </c>
    </row>
    <row r="647" customHeight="1" spans="1:31">
      <c r="A647" s="2" t="s">
        <v>194</v>
      </c>
      <c r="B647" s="2">
        <v>101</v>
      </c>
      <c r="C647" s="2">
        <v>28045540</v>
      </c>
      <c r="D647" s="2" t="s">
        <v>86</v>
      </c>
      <c r="E647" s="2" t="s">
        <v>12</v>
      </c>
      <c r="F647" t="s">
        <v>35</v>
      </c>
      <c r="G647" t="s">
        <v>72</v>
      </c>
      <c r="H647" t="s">
        <v>14</v>
      </c>
      <c r="N647" s="2" t="s">
        <v>18</v>
      </c>
      <c r="O647" s="2" t="s">
        <v>19</v>
      </c>
      <c r="P647" s="2">
        <v>65000000</v>
      </c>
      <c r="Q647" s="2">
        <v>6.1</v>
      </c>
      <c r="R647" s="2" t="s">
        <v>1523</v>
      </c>
      <c r="S647" s="2"/>
      <c r="U647" s="2" t="s">
        <v>1524</v>
      </c>
      <c r="V647">
        <f ca="1" t="shared" si="19"/>
        <v>5.9</v>
      </c>
      <c r="AC647" s="2"/>
      <c r="AD647" t="str">
        <f>IFERROR(__xludf.DUMMYFUNCTION("""COMPUTED_VALUE"""),"Soldier ")</f>
        <v>Soldier </v>
      </c>
      <c r="AE647">
        <f t="shared" si="20"/>
        <v>14567784</v>
      </c>
    </row>
    <row r="648" customHeight="1" spans="1:31">
      <c r="A648" s="2" t="s">
        <v>265</v>
      </c>
      <c r="B648" s="2">
        <v>151</v>
      </c>
      <c r="C648" s="2">
        <v>37023395</v>
      </c>
      <c r="D648" s="2" t="s">
        <v>30</v>
      </c>
      <c r="E648" s="2" t="s">
        <v>30</v>
      </c>
      <c r="F648" t="s">
        <v>15</v>
      </c>
      <c r="G648" t="s">
        <v>40</v>
      </c>
      <c r="H648" t="s">
        <v>28</v>
      </c>
      <c r="N648" s="2" t="s">
        <v>18</v>
      </c>
      <c r="O648" s="2" t="s">
        <v>19</v>
      </c>
      <c r="P648" s="2">
        <v>63000000</v>
      </c>
      <c r="Q648" s="2">
        <v>8.8</v>
      </c>
      <c r="R648" s="2" t="s">
        <v>1525</v>
      </c>
      <c r="S648" s="2"/>
      <c r="U648" s="2" t="s">
        <v>1526</v>
      </c>
      <c r="V648">
        <f ca="1" t="shared" si="19"/>
        <v>7</v>
      </c>
      <c r="AC648" s="2"/>
      <c r="AD648" t="str">
        <f>IFERROR(__xludf.DUMMYFUNCTION("""COMPUTED_VALUE"""),"Monkeybone ")</f>
        <v>Monkeybone </v>
      </c>
      <c r="AE648">
        <f t="shared" si="20"/>
        <v>5409424</v>
      </c>
    </row>
    <row r="649" customHeight="1" spans="1:31">
      <c r="A649" s="2" t="s">
        <v>147</v>
      </c>
      <c r="B649" s="2">
        <v>131</v>
      </c>
      <c r="C649" s="2">
        <v>43532294</v>
      </c>
      <c r="D649" s="2" t="s">
        <v>1527</v>
      </c>
      <c r="E649" s="2" t="s">
        <v>30</v>
      </c>
      <c r="F649" t="s">
        <v>59</v>
      </c>
      <c r="G649" t="s">
        <v>24</v>
      </c>
      <c r="H649" t="s">
        <v>24</v>
      </c>
      <c r="N649" s="2" t="s">
        <v>18</v>
      </c>
      <c r="O649" s="2" t="s">
        <v>19</v>
      </c>
      <c r="P649" s="2">
        <v>65000000</v>
      </c>
      <c r="Q649" s="2">
        <v>7.1</v>
      </c>
      <c r="R649" s="2" t="s">
        <v>1528</v>
      </c>
      <c r="S649" s="2"/>
      <c r="U649" s="2" t="s">
        <v>1529</v>
      </c>
      <c r="V649">
        <f ca="1" t="shared" si="19"/>
        <v>6</v>
      </c>
      <c r="AC649" s="2"/>
      <c r="AD649" t="str">
        <f>IFERROR(__xludf.DUMMYFUNCTION("""COMPUTED_VALUE"""),"Flight of the Phoenix ")</f>
        <v>Flight of the Phoenix </v>
      </c>
      <c r="AE649">
        <f t="shared" si="20"/>
        <v>21009067</v>
      </c>
    </row>
    <row r="650" customHeight="1" spans="1:31">
      <c r="A650" s="2" t="s">
        <v>1014</v>
      </c>
      <c r="B650" s="2">
        <v>100</v>
      </c>
      <c r="C650" s="2">
        <v>17218080</v>
      </c>
      <c r="D650" s="2" t="s">
        <v>589</v>
      </c>
      <c r="E650" s="2" t="s">
        <v>12</v>
      </c>
      <c r="F650" t="s">
        <v>56</v>
      </c>
      <c r="G650" t="s">
        <v>28</v>
      </c>
      <c r="H650" t="s">
        <v>30</v>
      </c>
      <c r="N650" s="2" t="s">
        <v>18</v>
      </c>
      <c r="O650" s="2" t="s">
        <v>19</v>
      </c>
      <c r="P650" s="2">
        <v>70000000</v>
      </c>
      <c r="Q650" s="2">
        <v>5.7</v>
      </c>
      <c r="R650" s="2" t="s">
        <v>1530</v>
      </c>
      <c r="S650" s="2"/>
      <c r="U650" s="2" t="s">
        <v>1531</v>
      </c>
      <c r="V650">
        <f ca="1" t="shared" si="19"/>
        <v>6.5</v>
      </c>
      <c r="AC650" s="2"/>
      <c r="AD650" t="str">
        <f>IFERROR(__xludf.DUMMYFUNCTION("""COMPUTED_VALUE"""),"Unbreakable ")</f>
        <v>Unbreakable </v>
      </c>
      <c r="AE650">
        <f t="shared" si="20"/>
        <v>94999037</v>
      </c>
    </row>
    <row r="651" customHeight="1" spans="1:31">
      <c r="A651" s="2" t="s">
        <v>995</v>
      </c>
      <c r="B651" s="2">
        <v>105</v>
      </c>
      <c r="C651" s="2">
        <v>10014234</v>
      </c>
      <c r="D651" s="2" t="s">
        <v>383</v>
      </c>
      <c r="E651" s="2" t="s">
        <v>40</v>
      </c>
      <c r="F651" t="s">
        <v>13</v>
      </c>
      <c r="G651" t="s">
        <v>28</v>
      </c>
      <c r="H651" t="s">
        <v>24</v>
      </c>
      <c r="N651" s="2" t="s">
        <v>18</v>
      </c>
      <c r="O651" s="2" t="s">
        <v>707</v>
      </c>
      <c r="P651" s="2">
        <v>65000000</v>
      </c>
      <c r="Q651" s="2">
        <v>5</v>
      </c>
      <c r="R651" s="2" t="s">
        <v>1532</v>
      </c>
      <c r="S651" s="2"/>
      <c r="U651" s="2" t="s">
        <v>1533</v>
      </c>
      <c r="V651">
        <f ca="1" t="shared" si="19"/>
        <v>5.9</v>
      </c>
      <c r="AC651" s="2"/>
      <c r="AD651" t="str">
        <f>IFERROR(__xludf.DUMMYFUNCTION("""COMPUTED_VALUE"""),"Minions ")</f>
        <v>Minions </v>
      </c>
      <c r="AE651">
        <f t="shared" si="20"/>
        <v>336029469</v>
      </c>
    </row>
    <row r="652" customHeight="1" spans="1:31">
      <c r="A652" s="2" t="s">
        <v>1016</v>
      </c>
      <c r="B652" s="2">
        <v>92</v>
      </c>
      <c r="C652" s="2">
        <v>19059018</v>
      </c>
      <c r="D652" s="2" t="s">
        <v>1534</v>
      </c>
      <c r="E652" s="2" t="s">
        <v>12</v>
      </c>
      <c r="F652" t="s">
        <v>56</v>
      </c>
      <c r="G652" t="s">
        <v>30</v>
      </c>
      <c r="H652" t="s">
        <v>15</v>
      </c>
      <c r="N652" s="2" t="s">
        <v>18</v>
      </c>
      <c r="O652" s="2" t="s">
        <v>159</v>
      </c>
      <c r="P652" s="2">
        <v>65000000</v>
      </c>
      <c r="Q652" s="2">
        <v>5.1</v>
      </c>
      <c r="R652" s="2" t="s">
        <v>1535</v>
      </c>
      <c r="S652" s="2"/>
      <c r="U652" s="2" t="s">
        <v>1536</v>
      </c>
      <c r="V652">
        <f ca="1" t="shared" si="19"/>
        <v>7.2</v>
      </c>
      <c r="AC652" s="2"/>
      <c r="AD652" t="str">
        <f>IFERROR(__xludf.DUMMYFUNCTION("""COMPUTED_VALUE"""),"Sucker Punch ")</f>
        <v>Sucker Punch </v>
      </c>
      <c r="AE652">
        <f t="shared" si="20"/>
        <v>36381588</v>
      </c>
    </row>
    <row r="653" customHeight="1" spans="1:31">
      <c r="A653" s="2" t="s">
        <v>1019</v>
      </c>
      <c r="B653" s="2">
        <v>130</v>
      </c>
      <c r="C653" s="2">
        <v>1987287</v>
      </c>
      <c r="D653" s="2" t="s">
        <v>718</v>
      </c>
      <c r="E653" s="2" t="s">
        <v>56</v>
      </c>
      <c r="F653" t="s">
        <v>29</v>
      </c>
      <c r="G653" t="s">
        <v>24</v>
      </c>
      <c r="H653" t="s">
        <v>23</v>
      </c>
      <c r="N653" s="2" t="s">
        <v>18</v>
      </c>
      <c r="O653" s="2" t="s">
        <v>31</v>
      </c>
      <c r="P653" s="2">
        <v>50000000</v>
      </c>
      <c r="Q653" s="2">
        <v>6.9</v>
      </c>
      <c r="R653" s="2" t="s">
        <v>1537</v>
      </c>
      <c r="S653" s="2"/>
      <c r="U653" s="2" t="s">
        <v>1538</v>
      </c>
      <c r="V653">
        <f ca="1" t="shared" si="19"/>
        <v>6.8</v>
      </c>
      <c r="AC653" s="2"/>
      <c r="AD653" t="str">
        <f>IFERROR(__xludf.DUMMYFUNCTION("""COMPUTED_VALUE"""),"Snake Eyes ")</f>
        <v>Snake Eyes </v>
      </c>
      <c r="AE653">
        <f t="shared" si="20"/>
        <v>55585291</v>
      </c>
    </row>
    <row r="654" customHeight="1" spans="1:31">
      <c r="A654" s="2" t="s">
        <v>981</v>
      </c>
      <c r="B654" s="2">
        <v>100</v>
      </c>
      <c r="C654" s="2">
        <v>24407944</v>
      </c>
      <c r="D654" s="2" t="s">
        <v>1177</v>
      </c>
      <c r="E654" s="2" t="s">
        <v>12</v>
      </c>
      <c r="F654" t="s">
        <v>30</v>
      </c>
      <c r="G654" t="s">
        <v>24</v>
      </c>
      <c r="H654" t="s">
        <v>24</v>
      </c>
      <c r="N654" s="2" t="s">
        <v>18</v>
      </c>
      <c r="O654" s="2" t="s">
        <v>121</v>
      </c>
      <c r="P654" s="2">
        <v>43000000</v>
      </c>
      <c r="Q654" s="2">
        <v>4.8</v>
      </c>
      <c r="R654" s="2" t="s">
        <v>1539</v>
      </c>
      <c r="S654" s="2"/>
      <c r="U654" s="2" t="s">
        <v>1540</v>
      </c>
      <c r="V654">
        <f ca="1" t="shared" si="19"/>
        <v>6.4</v>
      </c>
      <c r="AC654" s="2"/>
      <c r="AD654" t="str">
        <f>IFERROR(__xludf.DUMMYFUNCTION("""COMPUTED_VALUE"""),"Sphere ")</f>
        <v>Sphere </v>
      </c>
      <c r="AE654">
        <f t="shared" si="20"/>
        <v>36976233</v>
      </c>
    </row>
    <row r="655" customHeight="1" spans="1:31">
      <c r="A655" s="2" t="s">
        <v>1021</v>
      </c>
      <c r="B655" s="2">
        <v>102</v>
      </c>
      <c r="C655" s="2">
        <v>13750556</v>
      </c>
      <c r="D655" s="2" t="s">
        <v>150</v>
      </c>
      <c r="E655" s="2" t="s">
        <v>12</v>
      </c>
      <c r="F655" t="s">
        <v>17</v>
      </c>
      <c r="G655" t="s">
        <v>28</v>
      </c>
      <c r="H655" t="s">
        <v>24</v>
      </c>
      <c r="N655" s="2" t="s">
        <v>18</v>
      </c>
      <c r="O655" s="2" t="s">
        <v>19</v>
      </c>
      <c r="P655" s="2">
        <v>65000000</v>
      </c>
      <c r="Q655" s="2">
        <v>6.5</v>
      </c>
      <c r="R655" s="2" t="s">
        <v>1541</v>
      </c>
      <c r="S655" s="2"/>
      <c r="U655" s="2" t="s">
        <v>1542</v>
      </c>
      <c r="V655">
        <f ca="1" t="shared" si="19"/>
        <v>7.15</v>
      </c>
      <c r="AC655" s="2"/>
      <c r="AD655" t="str">
        <f>IFERROR(__xludf.DUMMYFUNCTION("""COMPUTED_VALUE"""),"The Angry Birds Movie ")</f>
        <v>The Angry Birds Movie </v>
      </c>
      <c r="AE655">
        <f t="shared" si="20"/>
        <v>107225067</v>
      </c>
    </row>
    <row r="656" customHeight="1" spans="1:31">
      <c r="A656" s="2" t="s">
        <v>727</v>
      </c>
      <c r="B656" s="2">
        <v>133</v>
      </c>
      <c r="C656" s="2">
        <v>31054924</v>
      </c>
      <c r="D656" s="2" t="s">
        <v>1543</v>
      </c>
      <c r="E656" s="2" t="s">
        <v>30</v>
      </c>
      <c r="F656" t="s">
        <v>40</v>
      </c>
      <c r="G656" t="s">
        <v>28</v>
      </c>
      <c r="H656" t="s">
        <v>23</v>
      </c>
      <c r="N656" s="2" t="s">
        <v>18</v>
      </c>
      <c r="O656" s="2" t="s">
        <v>19</v>
      </c>
      <c r="P656" s="2">
        <v>64000000</v>
      </c>
      <c r="Q656" s="2">
        <v>5.1</v>
      </c>
      <c r="R656" s="2" t="s">
        <v>1544</v>
      </c>
      <c r="S656" s="2"/>
      <c r="U656" s="2" t="s">
        <v>1545</v>
      </c>
      <c r="V656">
        <f ca="1" t="shared" si="19"/>
        <v>5.7</v>
      </c>
      <c r="AC656" s="2"/>
      <c r="AD656" t="str">
        <f>IFERROR(__xludf.DUMMYFUNCTION("""COMPUTED_VALUE"""),"Fool's Gold ")</f>
        <v>Fool's Gold </v>
      </c>
      <c r="AE656">
        <f t="shared" si="20"/>
        <v>70224084</v>
      </c>
    </row>
    <row r="657" customHeight="1" spans="1:31">
      <c r="A657" s="2" t="s">
        <v>1023</v>
      </c>
      <c r="B657" s="2">
        <v>121</v>
      </c>
      <c r="C657" s="2">
        <v>43247140</v>
      </c>
      <c r="D657" s="2" t="s">
        <v>1546</v>
      </c>
      <c r="E657" s="2" t="s">
        <v>13</v>
      </c>
      <c r="F657" t="s">
        <v>30</v>
      </c>
      <c r="G657" t="s">
        <v>23</v>
      </c>
      <c r="H657" t="s">
        <v>24</v>
      </c>
      <c r="N657" s="2" t="s">
        <v>18</v>
      </c>
      <c r="O657" s="2" t="s">
        <v>31</v>
      </c>
      <c r="P657" s="2">
        <v>55000000</v>
      </c>
      <c r="Q657" s="2">
        <v>7.1</v>
      </c>
      <c r="R657" s="2" t="s">
        <v>1547</v>
      </c>
      <c r="S657" s="2"/>
      <c r="U657" s="2" t="s">
        <v>1548</v>
      </c>
      <c r="V657">
        <f ca="1" t="shared" si="19"/>
        <v>6.2</v>
      </c>
      <c r="AC657" s="2"/>
      <c r="AD657" t="str">
        <f>IFERROR(__xludf.DUMMYFUNCTION("""COMPUTED_VALUE"""),"Funny People ")</f>
        <v>Funny People </v>
      </c>
      <c r="AE657">
        <f t="shared" si="20"/>
        <v>51814037</v>
      </c>
    </row>
    <row r="658" customHeight="1" spans="1:31">
      <c r="A658" s="2" t="s">
        <v>650</v>
      </c>
      <c r="B658" s="2">
        <v>147</v>
      </c>
      <c r="C658" s="2">
        <v>2208939</v>
      </c>
      <c r="D658" s="2" t="s">
        <v>1549</v>
      </c>
      <c r="E658" s="2" t="s">
        <v>56</v>
      </c>
      <c r="F658" t="s">
        <v>39</v>
      </c>
      <c r="G658" t="s">
        <v>24</v>
      </c>
      <c r="H658" t="s">
        <v>83</v>
      </c>
      <c r="N658" s="2" t="s">
        <v>18</v>
      </c>
      <c r="O658" s="2" t="s">
        <v>293</v>
      </c>
      <c r="P658" s="2">
        <v>50000000</v>
      </c>
      <c r="Q658" s="2">
        <v>7.5</v>
      </c>
      <c r="R658" s="2" t="s">
        <v>1550</v>
      </c>
      <c r="S658" s="2"/>
      <c r="U658" s="2" t="s">
        <v>1551</v>
      </c>
      <c r="V658">
        <f ca="1" t="shared" si="19"/>
        <v>6.3</v>
      </c>
      <c r="AC658" s="2"/>
      <c r="AD658" t="str">
        <f>IFERROR(__xludf.DUMMYFUNCTION("""COMPUTED_VALUE"""),"The Kingdom ")</f>
        <v>The Kingdom </v>
      </c>
      <c r="AE658">
        <f t="shared" si="20"/>
        <v>47456340</v>
      </c>
    </row>
    <row r="659" customHeight="1" spans="1:31">
      <c r="A659" s="2" t="s">
        <v>682</v>
      </c>
      <c r="B659" s="2">
        <v>94</v>
      </c>
      <c r="C659" s="2">
        <v>213079163</v>
      </c>
      <c r="D659" s="2" t="s">
        <v>635</v>
      </c>
      <c r="E659" s="2" t="s">
        <v>12</v>
      </c>
      <c r="F659" t="s">
        <v>35</v>
      </c>
      <c r="G659" t="s">
        <v>14</v>
      </c>
      <c r="H659" t="s">
        <v>23</v>
      </c>
      <c r="N659" s="2" t="s">
        <v>18</v>
      </c>
      <c r="O659" s="2" t="s">
        <v>19</v>
      </c>
      <c r="P659" s="2">
        <v>63000000</v>
      </c>
      <c r="Q659" s="2">
        <v>6.2</v>
      </c>
      <c r="R659" s="2" t="s">
        <v>1552</v>
      </c>
      <c r="S659" s="2"/>
      <c r="U659" s="2" t="s">
        <v>1553</v>
      </c>
      <c r="V659">
        <f ca="1" t="shared" si="19"/>
        <v>6.2</v>
      </c>
      <c r="AC659" s="2"/>
      <c r="AD659" t="str">
        <f>IFERROR(__xludf.DUMMYFUNCTION("""COMPUTED_VALUE"""),"Talladega Nights: The Ballad of Ricky Bobby ")</f>
        <v>Talladega Nights: The Ballad of Ricky Bobby </v>
      </c>
      <c r="AE659">
        <f t="shared" si="20"/>
        <v>148213255</v>
      </c>
    </row>
    <row r="660" customHeight="1" spans="1:31">
      <c r="A660" s="2" t="s">
        <v>359</v>
      </c>
      <c r="B660" s="2">
        <v>94</v>
      </c>
      <c r="C660" s="2">
        <v>19548064</v>
      </c>
      <c r="D660" s="2" t="s">
        <v>464</v>
      </c>
      <c r="E660" s="2" t="s">
        <v>12</v>
      </c>
      <c r="F660" t="s">
        <v>30</v>
      </c>
      <c r="G660" t="s">
        <v>14</v>
      </c>
      <c r="H660" t="s">
        <v>71</v>
      </c>
      <c r="N660" s="2" t="s">
        <v>18</v>
      </c>
      <c r="O660" s="2" t="s">
        <v>1554</v>
      </c>
      <c r="P660" s="2">
        <v>65000000</v>
      </c>
      <c r="Q660" s="2">
        <v>6.3</v>
      </c>
      <c r="R660" s="2" t="s">
        <v>1555</v>
      </c>
      <c r="S660" s="2"/>
      <c r="U660" s="2" t="s">
        <v>1556</v>
      </c>
      <c r="V660">
        <f ca="1" t="shared" si="19"/>
        <v>5.35</v>
      </c>
      <c r="AC660" s="2"/>
      <c r="AD660" t="str">
        <f>IFERROR(__xludf.DUMMYFUNCTION("""COMPUTED_VALUE"""),"Dr. Dolittle 2 ")</f>
        <v>Dr. Dolittle 2 </v>
      </c>
      <c r="AE660">
        <f t="shared" si="20"/>
        <v>112950634</v>
      </c>
    </row>
    <row r="661" customHeight="1" spans="1:31">
      <c r="A661" s="2" t="s">
        <v>166</v>
      </c>
      <c r="B661" s="2">
        <v>127</v>
      </c>
      <c r="C661" s="2">
        <v>356784000</v>
      </c>
      <c r="D661" s="2" t="s">
        <v>439</v>
      </c>
      <c r="E661" s="2" t="s">
        <v>13</v>
      </c>
      <c r="F661" t="s">
        <v>17</v>
      </c>
      <c r="G661" t="s">
        <v>28</v>
      </c>
      <c r="H661" t="s">
        <v>15</v>
      </c>
      <c r="N661" s="2" t="s">
        <v>18</v>
      </c>
      <c r="O661" s="2" t="s">
        <v>19</v>
      </c>
      <c r="P661" s="2">
        <v>63000000</v>
      </c>
      <c r="Q661" s="2">
        <v>8.1</v>
      </c>
      <c r="R661" s="2" t="s">
        <v>1557</v>
      </c>
      <c r="S661" s="2"/>
      <c r="U661" s="2" t="s">
        <v>1558</v>
      </c>
      <c r="V661">
        <f ca="1" t="shared" si="19"/>
        <v>6.53333333333333</v>
      </c>
      <c r="AC661" s="2"/>
      <c r="AD661" t="str">
        <f>IFERROR(__xludf.DUMMYFUNCTION("""COMPUTED_VALUE"""),"Braveheart ")</f>
        <v>Braveheart </v>
      </c>
      <c r="AE661">
        <f t="shared" si="20"/>
        <v>75599822</v>
      </c>
    </row>
    <row r="662" customHeight="1" spans="1:31">
      <c r="A662" s="2" t="s">
        <v>987</v>
      </c>
      <c r="B662" s="2">
        <v>212</v>
      </c>
      <c r="C662" s="2">
        <v>25052000</v>
      </c>
      <c r="D662" s="2" t="s">
        <v>1559</v>
      </c>
      <c r="E662" s="2" t="s">
        <v>13</v>
      </c>
      <c r="F662" t="s">
        <v>30</v>
      </c>
      <c r="G662" t="s">
        <v>14</v>
      </c>
      <c r="H662" t="s">
        <v>28</v>
      </c>
      <c r="N662" s="2" t="s">
        <v>18</v>
      </c>
      <c r="O662" s="2" t="s">
        <v>19</v>
      </c>
      <c r="P662" s="2">
        <v>63000000</v>
      </c>
      <c r="Q662" s="2">
        <v>6.6</v>
      </c>
      <c r="R662" s="2" t="s">
        <v>1560</v>
      </c>
      <c r="S662" s="2"/>
      <c r="U662" s="2" t="s">
        <v>1561</v>
      </c>
      <c r="V662">
        <f ca="1" t="shared" si="19"/>
        <v>4.45</v>
      </c>
      <c r="AC662" s="2"/>
      <c r="AD662" t="str">
        <f>IFERROR(__xludf.DUMMYFUNCTION("""COMPUTED_VALUE"""),"Jarhead ")</f>
        <v>Jarhead </v>
      </c>
      <c r="AE662">
        <f t="shared" si="20"/>
        <v>62647415</v>
      </c>
    </row>
    <row r="663" customHeight="1" spans="1:31">
      <c r="A663" s="2" t="s">
        <v>447</v>
      </c>
      <c r="B663" s="2">
        <v>141</v>
      </c>
      <c r="C663" s="2">
        <v>122012710</v>
      </c>
      <c r="D663" s="2" t="s">
        <v>186</v>
      </c>
      <c r="E663" s="2" t="s">
        <v>12</v>
      </c>
      <c r="F663" t="s">
        <v>30</v>
      </c>
      <c r="G663" t="s">
        <v>17</v>
      </c>
      <c r="H663" t="s">
        <v>23</v>
      </c>
      <c r="N663" s="2" t="s">
        <v>18</v>
      </c>
      <c r="O663" s="2" t="s">
        <v>19</v>
      </c>
      <c r="P663" s="2">
        <v>62000000</v>
      </c>
      <c r="Q663" s="2">
        <v>6.9</v>
      </c>
      <c r="R663" s="2" t="s">
        <v>1562</v>
      </c>
      <c r="S663" s="2"/>
      <c r="U663" s="2" t="s">
        <v>1563</v>
      </c>
      <c r="V663">
        <f ca="1" t="shared" si="19"/>
        <v>7.8</v>
      </c>
      <c r="AC663" s="2"/>
      <c r="AD663" t="str">
        <f>IFERROR(__xludf.DUMMYFUNCTION("""COMPUTED_VALUE"""),"The Simpsons Movie ")</f>
        <v>The Simpsons Movie </v>
      </c>
      <c r="AE663">
        <f t="shared" si="20"/>
        <v>183132283</v>
      </c>
    </row>
    <row r="664" customHeight="1" spans="1:31">
      <c r="A664" s="2" t="s">
        <v>1025</v>
      </c>
      <c r="B664" s="2">
        <v>103</v>
      </c>
      <c r="C664" s="2">
        <v>72413</v>
      </c>
      <c r="D664" s="2" t="s">
        <v>95</v>
      </c>
      <c r="E664" s="2" t="s">
        <v>12</v>
      </c>
      <c r="F664" t="s">
        <v>35</v>
      </c>
      <c r="G664" t="s">
        <v>29</v>
      </c>
      <c r="H664" t="s">
        <v>24</v>
      </c>
      <c r="N664" s="2" t="s">
        <v>722</v>
      </c>
      <c r="O664" s="2" t="s">
        <v>343</v>
      </c>
      <c r="P664" s="2">
        <v>65000000</v>
      </c>
      <c r="Q664" s="2">
        <v>6.1</v>
      </c>
      <c r="R664" s="2" t="s">
        <v>1564</v>
      </c>
      <c r="S664" s="2"/>
      <c r="U664" s="2" t="s">
        <v>1565</v>
      </c>
      <c r="V664">
        <f ca="1" t="shared" si="19"/>
        <v>5.76666666666667</v>
      </c>
      <c r="AC664" s="2"/>
      <c r="AD664" t="str">
        <f>IFERROR(__xludf.DUMMYFUNCTION("""COMPUTED_VALUE"""),"The Majestic ")</f>
        <v>The Majestic </v>
      </c>
      <c r="AE664">
        <f t="shared" si="20"/>
        <v>27795890</v>
      </c>
    </row>
    <row r="665" customHeight="1" spans="1:31">
      <c r="A665" s="2" t="s">
        <v>1027</v>
      </c>
      <c r="B665" s="2">
        <v>98</v>
      </c>
      <c r="C665" s="2">
        <v>58255287</v>
      </c>
      <c r="D665" s="2" t="s">
        <v>383</v>
      </c>
      <c r="E665" s="2" t="s">
        <v>40</v>
      </c>
      <c r="F665" t="s">
        <v>30</v>
      </c>
      <c r="G665" t="s">
        <v>40</v>
      </c>
      <c r="H665" t="s">
        <v>39</v>
      </c>
      <c r="N665" s="2" t="s">
        <v>18</v>
      </c>
      <c r="O665" s="2" t="s">
        <v>19</v>
      </c>
      <c r="P665" s="2">
        <v>64000000</v>
      </c>
      <c r="Q665" s="2">
        <v>4.3</v>
      </c>
      <c r="R665" s="2" t="s">
        <v>1566</v>
      </c>
      <c r="S665" s="2"/>
      <c r="U665" s="2" t="s">
        <v>1567</v>
      </c>
      <c r="V665">
        <f ca="1" t="shared" si="19"/>
        <v>6.5</v>
      </c>
      <c r="AC665" s="2"/>
      <c r="AD665" t="str">
        <f>IFERROR(__xludf.DUMMYFUNCTION("""COMPUTED_VALUE"""),"Driven ")</f>
        <v>Driven </v>
      </c>
      <c r="AE665">
        <f t="shared" si="20"/>
        <v>32616753</v>
      </c>
    </row>
    <row r="666" customHeight="1" spans="1:31">
      <c r="A666" s="2" t="s">
        <v>255</v>
      </c>
      <c r="B666" s="2">
        <v>116</v>
      </c>
      <c r="C666" s="2">
        <v>77086030</v>
      </c>
      <c r="D666" s="2" t="s">
        <v>1568</v>
      </c>
      <c r="E666" s="2" t="s">
        <v>12</v>
      </c>
      <c r="F666" t="s">
        <v>28</v>
      </c>
      <c r="G666" t="s">
        <v>30</v>
      </c>
      <c r="H666" t="s">
        <v>28</v>
      </c>
      <c r="N666" s="2" t="s">
        <v>18</v>
      </c>
      <c r="O666" s="2" t="s">
        <v>707</v>
      </c>
      <c r="P666" s="2">
        <v>62000000</v>
      </c>
      <c r="Q666" s="2">
        <v>6.6</v>
      </c>
      <c r="R666" s="2" t="s">
        <v>1569</v>
      </c>
      <c r="S666" s="2"/>
      <c r="U666" s="2" t="s">
        <v>1570</v>
      </c>
      <c r="V666">
        <f ca="1" t="shared" si="19"/>
        <v>3.3</v>
      </c>
      <c r="AC666" s="2"/>
      <c r="AD666" t="str">
        <f>IFERROR(__xludf.DUMMYFUNCTION("""COMPUTED_VALUE"""),"Two Brothers ")</f>
        <v>Two Brothers </v>
      </c>
      <c r="AE666">
        <f t="shared" si="20"/>
        <v>18947521</v>
      </c>
    </row>
    <row r="667" customHeight="1" spans="1:31">
      <c r="A667" s="2" t="s">
        <v>1030</v>
      </c>
      <c r="B667" s="2">
        <v>114</v>
      </c>
      <c r="C667" s="2">
        <v>65000000</v>
      </c>
      <c r="D667" s="2" t="s">
        <v>521</v>
      </c>
      <c r="E667" s="2" t="s">
        <v>40</v>
      </c>
      <c r="F667" t="s">
        <v>13</v>
      </c>
      <c r="G667" t="s">
        <v>23</v>
      </c>
      <c r="H667" t="s">
        <v>29</v>
      </c>
      <c r="N667" s="2" t="s">
        <v>18</v>
      </c>
      <c r="O667" s="2" t="s">
        <v>19</v>
      </c>
      <c r="P667" s="2">
        <v>62000000</v>
      </c>
      <c r="Q667" s="2">
        <v>6.8</v>
      </c>
      <c r="R667" s="2" t="s">
        <v>1571</v>
      </c>
      <c r="S667" s="2"/>
      <c r="U667" s="2" t="s">
        <v>1572</v>
      </c>
      <c r="V667">
        <f ca="1" t="shared" si="19"/>
        <v>5</v>
      </c>
      <c r="AC667" s="2"/>
      <c r="AD667" t="str">
        <f>IFERROR(__xludf.DUMMYFUNCTION("""COMPUTED_VALUE"""),"The Village ")</f>
        <v>The Village </v>
      </c>
      <c r="AE667">
        <f t="shared" si="20"/>
        <v>114195525</v>
      </c>
    </row>
    <row r="668" customHeight="1" spans="1:31">
      <c r="A668" s="2" t="s">
        <v>1032</v>
      </c>
      <c r="B668" s="2">
        <v>87</v>
      </c>
      <c r="C668" s="2">
        <v>32178777</v>
      </c>
      <c r="D668" s="2" t="s">
        <v>1573</v>
      </c>
      <c r="E668" s="2" t="s">
        <v>40</v>
      </c>
      <c r="F668" t="s">
        <v>28</v>
      </c>
      <c r="G668" t="s">
        <v>17</v>
      </c>
      <c r="H668" t="s">
        <v>14</v>
      </c>
      <c r="N668" s="2" t="s">
        <v>18</v>
      </c>
      <c r="O668" s="2" t="s">
        <v>19</v>
      </c>
      <c r="P668" s="2">
        <v>62000000</v>
      </c>
      <c r="Q668" s="2">
        <v>3.8</v>
      </c>
      <c r="R668" s="2" t="s">
        <v>1574</v>
      </c>
      <c r="S668" s="2"/>
      <c r="U668" s="2" t="s">
        <v>1575</v>
      </c>
      <c r="V668">
        <f ca="1" t="shared" si="19"/>
        <v>4.4</v>
      </c>
      <c r="AC668" s="2"/>
      <c r="AD668" t="str">
        <f>IFERROR(__xludf.DUMMYFUNCTION("""COMPUTED_VALUE"""),"Doctor Dolittle ")</f>
        <v>Doctor Dolittle </v>
      </c>
      <c r="AE668">
        <f t="shared" si="20"/>
        <v>144156379</v>
      </c>
    </row>
    <row r="669" customHeight="1" spans="1:31">
      <c r="A669" s="2" t="s">
        <v>1035</v>
      </c>
      <c r="B669" s="2">
        <v>125</v>
      </c>
      <c r="C669" s="2">
        <v>15738632</v>
      </c>
      <c r="D669" s="2" t="s">
        <v>174</v>
      </c>
      <c r="E669" s="2" t="s">
        <v>12</v>
      </c>
      <c r="F669" t="s">
        <v>30</v>
      </c>
      <c r="G669" t="s">
        <v>17</v>
      </c>
      <c r="H669" t="s">
        <v>28</v>
      </c>
      <c r="N669" s="2" t="s">
        <v>18</v>
      </c>
      <c r="O669" s="2" t="s">
        <v>19</v>
      </c>
      <c r="P669" s="2">
        <v>42000000</v>
      </c>
      <c r="Q669" s="2">
        <v>5.9</v>
      </c>
      <c r="R669" s="2" t="s">
        <v>1576</v>
      </c>
      <c r="S669" s="2"/>
      <c r="U669" s="2" t="s">
        <v>1577</v>
      </c>
      <c r="V669">
        <f ca="1" t="shared" si="19"/>
        <v>6.8</v>
      </c>
      <c r="AC669" s="2"/>
      <c r="AD669" t="str">
        <f>IFERROR(__xludf.DUMMYFUNCTION("""COMPUTED_VALUE"""),"Signs ")</f>
        <v>Signs </v>
      </c>
      <c r="AE669">
        <f t="shared" si="20"/>
        <v>227965584</v>
      </c>
    </row>
    <row r="670" customHeight="1" spans="1:31">
      <c r="A670" s="2" t="s">
        <v>627</v>
      </c>
      <c r="B670" s="2">
        <v>187</v>
      </c>
      <c r="C670" s="2">
        <v>54116191</v>
      </c>
      <c r="D670" s="2" t="s">
        <v>1578</v>
      </c>
      <c r="E670" s="2" t="s">
        <v>56</v>
      </c>
      <c r="F670" t="s">
        <v>35</v>
      </c>
      <c r="G670" t="s">
        <v>24</v>
      </c>
      <c r="H670" t="s">
        <v>17</v>
      </c>
      <c r="N670" s="2" t="s">
        <v>18</v>
      </c>
      <c r="O670" s="2" t="s">
        <v>19</v>
      </c>
      <c r="P670" s="2">
        <v>44000000</v>
      </c>
      <c r="Q670" s="2">
        <v>7.9</v>
      </c>
      <c r="R670" s="2" t="s">
        <v>1579</v>
      </c>
      <c r="S670" s="2"/>
      <c r="U670" s="2" t="s">
        <v>1580</v>
      </c>
      <c r="V670">
        <f ca="1" t="shared" si="19"/>
        <v>6.05</v>
      </c>
      <c r="AC670" s="2"/>
      <c r="AD670" t="str">
        <f>IFERROR(__xludf.DUMMYFUNCTION("""COMPUTED_VALUE"""),"Shrek 2 ")</f>
        <v>Shrek 2 </v>
      </c>
      <c r="AE670">
        <f t="shared" si="20"/>
        <v>436470943</v>
      </c>
    </row>
    <row r="671" customHeight="1" spans="1:31">
      <c r="A671" s="2" t="s">
        <v>1038</v>
      </c>
      <c r="B671" s="2">
        <v>93</v>
      </c>
      <c r="C671" s="2">
        <v>118153533</v>
      </c>
      <c r="D671" s="2" t="s">
        <v>1581</v>
      </c>
      <c r="E671" s="2" t="s">
        <v>40</v>
      </c>
      <c r="F671" t="s">
        <v>23</v>
      </c>
      <c r="G671" t="s">
        <v>17</v>
      </c>
      <c r="H671" t="s">
        <v>24</v>
      </c>
      <c r="N671" s="2" t="s">
        <v>18</v>
      </c>
      <c r="O671" s="2" t="s">
        <v>19</v>
      </c>
      <c r="P671" s="2">
        <v>61000000</v>
      </c>
      <c r="Q671" s="2">
        <v>6.3</v>
      </c>
      <c r="R671" s="2" t="s">
        <v>1582</v>
      </c>
      <c r="S671" s="2"/>
      <c r="U671" s="2" t="s">
        <v>1583</v>
      </c>
      <c r="V671">
        <f ca="1" t="shared" si="19"/>
        <v>6.23333333333333</v>
      </c>
      <c r="AC671" s="2"/>
      <c r="AD671" t="str">
        <f>IFERROR(__xludf.DUMMYFUNCTION("""COMPUTED_VALUE"""),"Cars ")</f>
        <v>Cars </v>
      </c>
      <c r="AE671">
        <f t="shared" si="20"/>
        <v>244052654</v>
      </c>
    </row>
    <row r="672" customHeight="1" spans="1:31">
      <c r="A672" s="2" t="s">
        <v>1041</v>
      </c>
      <c r="B672" s="2">
        <v>95</v>
      </c>
      <c r="C672" s="2">
        <v>108012170</v>
      </c>
      <c r="D672" s="2" t="s">
        <v>124</v>
      </c>
      <c r="E672" s="2" t="s">
        <v>13</v>
      </c>
      <c r="F672" t="s">
        <v>40</v>
      </c>
      <c r="G672" t="s">
        <v>17</v>
      </c>
      <c r="H672" t="s">
        <v>24</v>
      </c>
      <c r="N672" s="2" t="s">
        <v>18</v>
      </c>
      <c r="O672" s="2" t="s">
        <v>19</v>
      </c>
      <c r="P672" s="2">
        <v>63000000</v>
      </c>
      <c r="Q672" s="2">
        <v>5.5</v>
      </c>
      <c r="R672" s="2" t="s">
        <v>1584</v>
      </c>
      <c r="S672" s="2"/>
      <c r="U672" s="2" t="s">
        <v>1585</v>
      </c>
      <c r="V672">
        <f ca="1" t="shared" si="19"/>
        <v>5.8</v>
      </c>
      <c r="AC672" s="2"/>
      <c r="AD672" t="str">
        <f>IFERROR(__xludf.DUMMYFUNCTION("""COMPUTED_VALUE"""),"Runaway Bride ")</f>
        <v>Runaway Bride </v>
      </c>
      <c r="AE672">
        <f t="shared" si="20"/>
        <v>152149474</v>
      </c>
    </row>
    <row r="673" customHeight="1" spans="1:31">
      <c r="A673" s="2" t="s">
        <v>64</v>
      </c>
      <c r="B673" s="2">
        <v>117</v>
      </c>
      <c r="C673" s="2">
        <v>210592590</v>
      </c>
      <c r="D673" s="2" t="s">
        <v>569</v>
      </c>
      <c r="E673" s="2" t="s">
        <v>12</v>
      </c>
      <c r="F673" t="s">
        <v>40</v>
      </c>
      <c r="G673" t="s">
        <v>72</v>
      </c>
      <c r="H673" t="s">
        <v>24</v>
      </c>
      <c r="N673" s="2" t="s">
        <v>18</v>
      </c>
      <c r="O673" s="2" t="s">
        <v>19</v>
      </c>
      <c r="P673" s="2">
        <v>65000000</v>
      </c>
      <c r="Q673" s="2">
        <v>7.7</v>
      </c>
      <c r="R673" s="2" t="s">
        <v>1586</v>
      </c>
      <c r="S673" s="2"/>
      <c r="U673" s="2" t="s">
        <v>1587</v>
      </c>
      <c r="V673">
        <f ca="1" t="shared" si="19"/>
        <v>5.95</v>
      </c>
      <c r="AC673" s="2"/>
      <c r="AD673" t="str">
        <f>IFERROR(__xludf.DUMMYFUNCTION("""COMPUTED_VALUE"""),"xXx ")</f>
        <v>xXx </v>
      </c>
      <c r="AE673">
        <f t="shared" si="20"/>
        <v>141203884</v>
      </c>
    </row>
    <row r="674" customHeight="1" spans="1:31">
      <c r="A674" s="2" t="s">
        <v>682</v>
      </c>
      <c r="B674" s="2">
        <v>106</v>
      </c>
      <c r="C674" s="2">
        <v>279167575</v>
      </c>
      <c r="D674" s="2" t="s">
        <v>607</v>
      </c>
      <c r="E674" s="2" t="s">
        <v>40</v>
      </c>
      <c r="F674" t="s">
        <v>56</v>
      </c>
      <c r="G674" t="s">
        <v>30</v>
      </c>
      <c r="H674" t="s">
        <v>15</v>
      </c>
      <c r="N674" s="2" t="s">
        <v>18</v>
      </c>
      <c r="O674" s="2" t="s">
        <v>19</v>
      </c>
      <c r="P674" s="2">
        <v>80000000</v>
      </c>
      <c r="Q674" s="2">
        <v>6.3</v>
      </c>
      <c r="R674" s="2" t="s">
        <v>1588</v>
      </c>
      <c r="S674" s="2"/>
      <c r="U674" s="2" t="s">
        <v>1589</v>
      </c>
      <c r="V674">
        <f ca="1" t="shared" si="19"/>
        <v>7.35</v>
      </c>
      <c r="AC674" s="2"/>
      <c r="AD674" t="str">
        <f>IFERROR(__xludf.DUMMYFUNCTION("""COMPUTED_VALUE"""),"The SpongeBob Movie: Sponge Out of Water ")</f>
        <v>The SpongeBob Movie: Sponge Out of Water </v>
      </c>
      <c r="AE674">
        <f t="shared" si="20"/>
        <v>162495756</v>
      </c>
    </row>
    <row r="675" customHeight="1" spans="1:31">
      <c r="A675" s="2" t="s">
        <v>1044</v>
      </c>
      <c r="B675" s="2">
        <v>115</v>
      </c>
      <c r="C675" s="2">
        <v>143151473</v>
      </c>
      <c r="D675" s="2" t="s">
        <v>1590</v>
      </c>
      <c r="E675" s="2" t="s">
        <v>40</v>
      </c>
      <c r="F675" t="s">
        <v>17</v>
      </c>
      <c r="G675" t="s">
        <v>24</v>
      </c>
      <c r="H675" t="s">
        <v>15</v>
      </c>
      <c r="N675" s="2" t="s">
        <v>18</v>
      </c>
      <c r="O675" s="2" t="s">
        <v>19</v>
      </c>
      <c r="P675" s="2">
        <v>60000000</v>
      </c>
      <c r="Q675" s="2">
        <v>7.1</v>
      </c>
      <c r="R675" s="2" t="s">
        <v>1591</v>
      </c>
      <c r="S675" s="2"/>
      <c r="U675" s="2" t="s">
        <v>1592</v>
      </c>
      <c r="V675">
        <f ca="1" t="shared" si="19"/>
        <v>6</v>
      </c>
      <c r="AC675" s="2"/>
      <c r="AD675" t="str">
        <f>IFERROR(__xludf.DUMMYFUNCTION("""COMPUTED_VALUE"""),"Ransom ")</f>
        <v>Ransom </v>
      </c>
      <c r="AE675">
        <f t="shared" si="20"/>
        <v>136448682</v>
      </c>
    </row>
    <row r="676" customHeight="1" spans="1:31">
      <c r="A676" s="2" t="s">
        <v>919</v>
      </c>
      <c r="B676" s="2">
        <v>189</v>
      </c>
      <c r="C676" s="2">
        <v>136801374</v>
      </c>
      <c r="D676" s="2" t="s">
        <v>1593</v>
      </c>
      <c r="E676" s="2" t="s">
        <v>56</v>
      </c>
      <c r="F676" t="s">
        <v>35</v>
      </c>
      <c r="G676" t="s">
        <v>14</v>
      </c>
      <c r="H676" t="s">
        <v>30</v>
      </c>
      <c r="N676" s="2" t="s">
        <v>18</v>
      </c>
      <c r="O676" s="2" t="s">
        <v>19</v>
      </c>
      <c r="P676" s="2">
        <v>60000000</v>
      </c>
      <c r="Q676" s="2">
        <v>8.5</v>
      </c>
      <c r="R676" s="2" t="s">
        <v>1594</v>
      </c>
      <c r="S676" s="2"/>
      <c r="U676" s="2" t="s">
        <v>1595</v>
      </c>
      <c r="V676">
        <f ca="1" t="shared" si="19"/>
        <v>7.35</v>
      </c>
      <c r="AC676" s="2"/>
      <c r="AD676" t="str">
        <f>IFERROR(__xludf.DUMMYFUNCTION("""COMPUTED_VALUE"""),"Inglourious Basterds ")</f>
        <v>Inglourious Basterds </v>
      </c>
      <c r="AE676">
        <f t="shared" si="20"/>
        <v>120522920</v>
      </c>
    </row>
    <row r="677" customHeight="1" spans="1:31">
      <c r="A677" s="2" t="s">
        <v>632</v>
      </c>
      <c r="B677" s="2">
        <v>81</v>
      </c>
      <c r="C677" s="2">
        <v>135381507</v>
      </c>
      <c r="D677" s="2" t="s">
        <v>248</v>
      </c>
      <c r="E677" s="2" t="s">
        <v>13</v>
      </c>
      <c r="F677" t="s">
        <v>30</v>
      </c>
      <c r="G677" t="s">
        <v>56</v>
      </c>
      <c r="H677" t="s">
        <v>23</v>
      </c>
      <c r="N677" s="2" t="s">
        <v>18</v>
      </c>
      <c r="O677" s="2" t="s">
        <v>19</v>
      </c>
      <c r="P677" s="2">
        <v>150000000</v>
      </c>
      <c r="Q677" s="2">
        <v>5.8</v>
      </c>
      <c r="R677" s="2" t="s">
        <v>1596</v>
      </c>
      <c r="S677" s="2"/>
      <c r="U677" s="2" t="s">
        <v>1597</v>
      </c>
      <c r="V677">
        <f ca="1" t="shared" si="19"/>
        <v>7.1</v>
      </c>
      <c r="AC677" s="2"/>
      <c r="AD677" t="str">
        <f>IFERROR(__xludf.DUMMYFUNCTION("""COMPUTED_VALUE"""),"Hook ")</f>
        <v>Hook </v>
      </c>
      <c r="AE677">
        <f t="shared" si="20"/>
        <v>119654758</v>
      </c>
    </row>
    <row r="678" customHeight="1" spans="1:31">
      <c r="A678" s="2" t="s">
        <v>265</v>
      </c>
      <c r="B678" s="2">
        <v>149</v>
      </c>
      <c r="C678" s="2">
        <v>167735396</v>
      </c>
      <c r="D678" s="2" t="s">
        <v>814</v>
      </c>
      <c r="E678" s="2" t="s">
        <v>56</v>
      </c>
      <c r="F678" t="s">
        <v>40</v>
      </c>
      <c r="G678" t="s">
        <v>24</v>
      </c>
      <c r="H678" t="s">
        <v>24</v>
      </c>
      <c r="N678" s="2" t="s">
        <v>18</v>
      </c>
      <c r="O678" s="2" t="s">
        <v>19</v>
      </c>
      <c r="P678" s="2">
        <v>61000000</v>
      </c>
      <c r="Q678" s="2">
        <v>8.1</v>
      </c>
      <c r="R678" s="2" t="s">
        <v>1598</v>
      </c>
      <c r="S678" s="2"/>
      <c r="U678" s="2" t="s">
        <v>1599</v>
      </c>
      <c r="V678">
        <f ca="1" t="shared" si="19"/>
        <v>4.9</v>
      </c>
      <c r="AC678" s="2"/>
      <c r="AD678" t="str">
        <f>IFERROR(__xludf.DUMMYFUNCTION("""COMPUTED_VALUE"""),"Die Hard 2 ")</f>
        <v>Die Hard 2 </v>
      </c>
      <c r="AE678">
        <f t="shared" si="20"/>
        <v>117540876</v>
      </c>
    </row>
    <row r="679" customHeight="1" spans="1:31">
      <c r="A679" s="2" t="s">
        <v>216</v>
      </c>
      <c r="B679" s="2">
        <v>119</v>
      </c>
      <c r="C679" s="2">
        <v>121468960</v>
      </c>
      <c r="D679" s="2" t="s">
        <v>433</v>
      </c>
      <c r="E679" s="2" t="s">
        <v>12</v>
      </c>
      <c r="F679" t="s">
        <v>15</v>
      </c>
      <c r="G679" t="s">
        <v>17</v>
      </c>
      <c r="H679" t="s">
        <v>39</v>
      </c>
      <c r="N679" s="2" t="s">
        <v>18</v>
      </c>
      <c r="O679" s="2" t="s">
        <v>19</v>
      </c>
      <c r="P679" s="2">
        <v>60000000</v>
      </c>
      <c r="Q679" s="2">
        <v>7.9</v>
      </c>
      <c r="R679" s="2" t="s">
        <v>1600</v>
      </c>
      <c r="S679" s="2"/>
      <c r="U679" s="2" t="s">
        <v>1601</v>
      </c>
      <c r="V679">
        <f ca="1" t="shared" si="19"/>
        <v>6.1</v>
      </c>
      <c r="AC679" s="2"/>
      <c r="AD679" t="str">
        <f>IFERROR(__xludf.DUMMYFUNCTION("""COMPUTED_VALUE"""),"S.W.A.T. ")</f>
        <v>S.W.A.T. </v>
      </c>
      <c r="AE679">
        <f t="shared" si="20"/>
        <v>116643229</v>
      </c>
    </row>
    <row r="680" customHeight="1" spans="1:31">
      <c r="A680" s="2" t="s">
        <v>143</v>
      </c>
      <c r="B680" s="2">
        <v>130</v>
      </c>
      <c r="C680" s="2">
        <v>106635996</v>
      </c>
      <c r="D680" s="2" t="s">
        <v>27</v>
      </c>
      <c r="E680" s="2" t="s">
        <v>12</v>
      </c>
      <c r="F680" t="s">
        <v>17</v>
      </c>
      <c r="G680" t="s">
        <v>30</v>
      </c>
      <c r="H680" t="s">
        <v>24</v>
      </c>
      <c r="N680" s="2" t="s">
        <v>18</v>
      </c>
      <c r="O680" s="2" t="s">
        <v>31</v>
      </c>
      <c r="P680" s="2">
        <v>58000000</v>
      </c>
      <c r="Q680" s="2">
        <v>7.2</v>
      </c>
      <c r="R680" s="2" t="s">
        <v>1602</v>
      </c>
      <c r="S680" s="2"/>
      <c r="U680" s="2" t="s">
        <v>1603</v>
      </c>
      <c r="V680">
        <f ca="1" t="shared" si="19"/>
        <v>6.5</v>
      </c>
      <c r="AC680" s="2"/>
      <c r="AD680" t="str">
        <f>IFERROR(__xludf.DUMMYFUNCTION("""COMPUTED_VALUE"""),"Vanilla Sky ")</f>
        <v>Vanilla Sky </v>
      </c>
      <c r="AE680">
        <f t="shared" si="20"/>
        <v>100614717</v>
      </c>
    </row>
    <row r="681" customHeight="1" spans="1:31">
      <c r="A681" s="2" t="s">
        <v>634</v>
      </c>
      <c r="B681" s="2">
        <v>116</v>
      </c>
      <c r="C681" s="2">
        <v>102678089</v>
      </c>
      <c r="D681" s="2" t="s">
        <v>712</v>
      </c>
      <c r="E681" s="2" t="s">
        <v>30</v>
      </c>
      <c r="F681" t="s">
        <v>30</v>
      </c>
      <c r="G681" t="s">
        <v>23</v>
      </c>
      <c r="H681" t="s">
        <v>24</v>
      </c>
      <c r="N681" s="2" t="s">
        <v>18</v>
      </c>
      <c r="O681" s="2" t="s">
        <v>19</v>
      </c>
      <c r="P681" s="2">
        <v>95000000</v>
      </c>
      <c r="Q681" s="2">
        <v>6.3</v>
      </c>
      <c r="R681" s="2" t="s">
        <v>1604</v>
      </c>
      <c r="S681" s="2"/>
      <c r="U681" s="2" t="s">
        <v>1605</v>
      </c>
      <c r="V681">
        <f ca="1" t="shared" si="19"/>
        <v>5.6</v>
      </c>
      <c r="AC681" s="2"/>
      <c r="AD681" t="str">
        <f>IFERROR(__xludf.DUMMYFUNCTION("""COMPUTED_VALUE"""),"Lady in the Water ")</f>
        <v>Lady in the Water </v>
      </c>
      <c r="AE681">
        <f t="shared" si="20"/>
        <v>42272637</v>
      </c>
    </row>
    <row r="682" customHeight="1" spans="1:31">
      <c r="A682" s="2" t="s">
        <v>413</v>
      </c>
      <c r="B682" s="2">
        <v>103</v>
      </c>
      <c r="C682" s="2">
        <v>125603360</v>
      </c>
      <c r="D682" s="2" t="s">
        <v>866</v>
      </c>
      <c r="E682" s="2" t="s">
        <v>40</v>
      </c>
      <c r="F682" t="s">
        <v>40</v>
      </c>
      <c r="G682" t="s">
        <v>30</v>
      </c>
      <c r="H682" t="s">
        <v>24</v>
      </c>
      <c r="N682" s="2" t="s">
        <v>18</v>
      </c>
      <c r="O682" s="2" t="s">
        <v>19</v>
      </c>
      <c r="P682" s="2">
        <v>60000000</v>
      </c>
      <c r="Q682" s="2">
        <v>8.1</v>
      </c>
      <c r="R682" s="2" t="s">
        <v>1606</v>
      </c>
      <c r="S682" s="2"/>
      <c r="U682" s="2" t="s">
        <v>1607</v>
      </c>
      <c r="V682">
        <f ca="1" t="shared" si="19"/>
        <v>5.925</v>
      </c>
      <c r="AC682" s="2"/>
      <c r="AD682" t="str">
        <f>IFERROR(__xludf.DUMMYFUNCTION("""COMPUTED_VALUE"""),"AVP: Alien vs. Predator ")</f>
        <v>AVP: Alien vs. Predator </v>
      </c>
      <c r="AE682">
        <f t="shared" si="20"/>
        <v>80280987</v>
      </c>
    </row>
    <row r="683" customHeight="1" spans="1:31">
      <c r="A683" s="2" t="s">
        <v>1047</v>
      </c>
      <c r="B683" s="2">
        <v>99</v>
      </c>
      <c r="C683" s="2">
        <v>101217900</v>
      </c>
      <c r="D683" s="2" t="s">
        <v>1608</v>
      </c>
      <c r="E683" s="2" t="s">
        <v>13</v>
      </c>
      <c r="F683" t="s">
        <v>39</v>
      </c>
      <c r="G683" t="s">
        <v>30</v>
      </c>
      <c r="H683" t="s">
        <v>30</v>
      </c>
      <c r="N683" s="2" t="s">
        <v>18</v>
      </c>
      <c r="O683" s="2" t="s">
        <v>19</v>
      </c>
      <c r="P683" s="2">
        <v>70000000</v>
      </c>
      <c r="Q683" s="2">
        <v>7</v>
      </c>
      <c r="R683" s="2" t="s">
        <v>1609</v>
      </c>
      <c r="S683" s="2"/>
      <c r="U683" s="2" t="s">
        <v>1610</v>
      </c>
      <c r="V683">
        <f ca="1" t="shared" si="19"/>
        <v>4.4</v>
      </c>
      <c r="AC683" s="2"/>
      <c r="AD683" t="str">
        <f>IFERROR(__xludf.DUMMYFUNCTION("""COMPUTED_VALUE"""),"Alvin and the Chipmunks: The Squeakquel ")</f>
        <v>Alvin and the Chipmunks: The Squeakquel </v>
      </c>
      <c r="AE683">
        <f t="shared" si="20"/>
        <v>219613303</v>
      </c>
    </row>
    <row r="684" customHeight="1" spans="1:31">
      <c r="A684" s="2" t="s">
        <v>912</v>
      </c>
      <c r="B684" s="2">
        <v>92</v>
      </c>
      <c r="C684" s="2">
        <v>104148781</v>
      </c>
      <c r="D684" s="2" t="s">
        <v>1201</v>
      </c>
      <c r="E684" s="2" t="s">
        <v>40</v>
      </c>
      <c r="F684" t="s">
        <v>17</v>
      </c>
      <c r="G684" t="s">
        <v>15</v>
      </c>
      <c r="H684" t="s">
        <v>24</v>
      </c>
      <c r="N684" s="2" t="s">
        <v>18</v>
      </c>
      <c r="O684" s="2" t="s">
        <v>19</v>
      </c>
      <c r="P684" s="2">
        <v>60000000</v>
      </c>
      <c r="Q684" s="2">
        <v>5.5</v>
      </c>
      <c r="R684" s="2" t="s">
        <v>1611</v>
      </c>
      <c r="S684" s="2"/>
      <c r="U684" s="2" t="s">
        <v>1612</v>
      </c>
      <c r="V684">
        <f ca="1" t="shared" si="19"/>
        <v>5.45</v>
      </c>
      <c r="AC684" s="2"/>
      <c r="AD684" t="str">
        <f>IFERROR(__xludf.DUMMYFUNCTION("""COMPUTED_VALUE"""),"We Were Soldiers ")</f>
        <v>We Were Soldiers </v>
      </c>
      <c r="AE684">
        <f t="shared" si="20"/>
        <v>78120072</v>
      </c>
    </row>
    <row r="685" customHeight="1" spans="1:31">
      <c r="A685" s="2" t="s">
        <v>1023</v>
      </c>
      <c r="B685" s="2">
        <v>109</v>
      </c>
      <c r="C685" s="2">
        <v>75573300</v>
      </c>
      <c r="D685" s="2" t="s">
        <v>1425</v>
      </c>
      <c r="E685" s="2" t="s">
        <v>12</v>
      </c>
      <c r="F685" t="s">
        <v>30</v>
      </c>
      <c r="G685" t="s">
        <v>40</v>
      </c>
      <c r="H685" t="s">
        <v>17</v>
      </c>
      <c r="N685" s="2" t="s">
        <v>18</v>
      </c>
      <c r="O685" s="2" t="s">
        <v>19</v>
      </c>
      <c r="P685" s="2">
        <v>61000000</v>
      </c>
      <c r="Q685" s="2">
        <v>6.7</v>
      </c>
      <c r="R685" s="2" t="s">
        <v>1613</v>
      </c>
      <c r="S685" s="2"/>
      <c r="U685" s="2" t="s">
        <v>1614</v>
      </c>
      <c r="V685">
        <f ca="1" t="shared" si="19"/>
        <v>6.65</v>
      </c>
      <c r="AC685" s="2"/>
      <c r="AD685" t="str">
        <f>IFERROR(__xludf.DUMMYFUNCTION("""COMPUTED_VALUE"""),"Olympus Has Fallen ")</f>
        <v>Olympus Has Fallen </v>
      </c>
      <c r="AE685">
        <f t="shared" si="20"/>
        <v>98895298</v>
      </c>
    </row>
    <row r="686" customHeight="1" spans="1:31">
      <c r="A686" s="2" t="s">
        <v>662</v>
      </c>
      <c r="B686" s="2">
        <v>87</v>
      </c>
      <c r="C686" s="2">
        <v>93375151</v>
      </c>
      <c r="D686" s="2" t="s">
        <v>962</v>
      </c>
      <c r="E686" s="2" t="s">
        <v>12</v>
      </c>
      <c r="F686" t="s">
        <v>13</v>
      </c>
      <c r="G686" t="s">
        <v>24</v>
      </c>
      <c r="H686" t="s">
        <v>24</v>
      </c>
      <c r="N686" s="2" t="s">
        <v>18</v>
      </c>
      <c r="O686" s="2" t="s">
        <v>19</v>
      </c>
      <c r="P686" s="2">
        <v>60000000</v>
      </c>
      <c r="Q686" s="2">
        <v>5.2</v>
      </c>
      <c r="R686" s="2" t="s">
        <v>1615</v>
      </c>
      <c r="S686" s="2"/>
      <c r="U686" s="2" t="s">
        <v>1616</v>
      </c>
      <c r="V686">
        <f ca="1" t="shared" si="19"/>
        <v>5.2</v>
      </c>
      <c r="AC686" s="2"/>
      <c r="AD686" t="str">
        <f>IFERROR(__xludf.DUMMYFUNCTION("""COMPUTED_VALUE"""),"Star Trek: Insurrection ")</f>
        <v>Star Trek: Insurrection </v>
      </c>
      <c r="AE686">
        <f t="shared" si="20"/>
        <v>70117468</v>
      </c>
    </row>
    <row r="687" customHeight="1" spans="1:31">
      <c r="A687" s="2" t="s">
        <v>878</v>
      </c>
      <c r="B687" s="2">
        <v>111</v>
      </c>
      <c r="C687" s="2">
        <v>106126012</v>
      </c>
      <c r="D687" s="2" t="s">
        <v>150</v>
      </c>
      <c r="E687" s="2" t="s">
        <v>12</v>
      </c>
      <c r="F687" t="s">
        <v>30</v>
      </c>
      <c r="G687" t="s">
        <v>17</v>
      </c>
      <c r="H687" t="s">
        <v>17</v>
      </c>
      <c r="N687" s="2" t="s">
        <v>18</v>
      </c>
      <c r="O687" s="2" t="s">
        <v>19</v>
      </c>
      <c r="P687" s="2">
        <v>60000000</v>
      </c>
      <c r="Q687" s="2">
        <v>7</v>
      </c>
      <c r="R687" s="2" t="s">
        <v>1617</v>
      </c>
      <c r="S687" s="2"/>
      <c r="U687" s="2" t="s">
        <v>1618</v>
      </c>
      <c r="V687">
        <f ca="1" t="shared" si="19"/>
        <v>6.32</v>
      </c>
      <c r="AC687" s="2"/>
      <c r="AD687" t="str">
        <f>IFERROR(__xludf.DUMMYFUNCTION("""COMPUTED_VALUE"""),"Battle Los Angeles ")</f>
        <v>Battle Los Angeles </v>
      </c>
      <c r="AE687">
        <f t="shared" si="20"/>
        <v>83552313</v>
      </c>
    </row>
    <row r="688" customHeight="1" spans="1:31">
      <c r="A688" s="2" t="s">
        <v>1050</v>
      </c>
      <c r="B688" s="2">
        <v>101</v>
      </c>
      <c r="C688" s="2">
        <v>93307796</v>
      </c>
      <c r="D688" s="2" t="s">
        <v>607</v>
      </c>
      <c r="E688" s="2" t="s">
        <v>40</v>
      </c>
      <c r="F688" t="s">
        <v>56</v>
      </c>
      <c r="G688" t="s">
        <v>14</v>
      </c>
      <c r="H688" t="s">
        <v>15</v>
      </c>
      <c r="N688" s="2" t="s">
        <v>18</v>
      </c>
      <c r="O688" s="2" t="s">
        <v>19</v>
      </c>
      <c r="P688" s="2">
        <v>60000000</v>
      </c>
      <c r="Q688" s="2">
        <v>6.1</v>
      </c>
      <c r="R688" s="2" t="s">
        <v>1619</v>
      </c>
      <c r="S688" s="2"/>
      <c r="U688" s="2" t="s">
        <v>1620</v>
      </c>
      <c r="V688">
        <f ca="1" t="shared" si="19"/>
        <v>5.5</v>
      </c>
      <c r="AC688" s="2"/>
      <c r="AD688" t="str">
        <f>IFERROR(__xludf.DUMMYFUNCTION("""COMPUTED_VALUE"""),"Big Fish ")</f>
        <v>Big Fish </v>
      </c>
      <c r="AE688">
        <f t="shared" si="20"/>
        <v>66256877</v>
      </c>
    </row>
    <row r="689" customHeight="1" spans="1:31">
      <c r="A689" s="2" t="s">
        <v>312</v>
      </c>
      <c r="B689" s="2">
        <v>83</v>
      </c>
      <c r="C689" s="2">
        <v>90646554</v>
      </c>
      <c r="D689" s="2" t="s">
        <v>189</v>
      </c>
      <c r="E689" s="2" t="s">
        <v>13</v>
      </c>
      <c r="F689" t="s">
        <v>15</v>
      </c>
      <c r="G689" t="s">
        <v>24</v>
      </c>
      <c r="H689" t="s">
        <v>24</v>
      </c>
      <c r="N689" s="2" t="s">
        <v>18</v>
      </c>
      <c r="O689" s="2" t="s">
        <v>19</v>
      </c>
      <c r="P689" s="2">
        <v>105000000</v>
      </c>
      <c r="Q689" s="2">
        <v>6.6</v>
      </c>
      <c r="R689" s="2" t="s">
        <v>1621</v>
      </c>
      <c r="S689" s="2"/>
      <c r="U689" s="2" t="s">
        <v>1622</v>
      </c>
      <c r="V689">
        <f ca="1" t="shared" si="19"/>
        <v>7.7</v>
      </c>
      <c r="AC689" s="2"/>
      <c r="AD689" t="str">
        <f>IFERROR(__xludf.DUMMYFUNCTION("""COMPUTED_VALUE"""),"Wolf ")</f>
        <v>Wolf </v>
      </c>
      <c r="AE689">
        <f t="shared" si="20"/>
        <v>65011875</v>
      </c>
    </row>
    <row r="690" customHeight="1" spans="1:31">
      <c r="A690" s="2" t="s">
        <v>1052</v>
      </c>
      <c r="B690" s="2">
        <v>113</v>
      </c>
      <c r="C690" s="2">
        <v>109176215</v>
      </c>
      <c r="D690" s="2" t="s">
        <v>40</v>
      </c>
      <c r="E690" s="2" t="s">
        <v>40</v>
      </c>
      <c r="F690" t="s">
        <v>83</v>
      </c>
      <c r="G690" t="s">
        <v>17</v>
      </c>
      <c r="H690" t="s">
        <v>24</v>
      </c>
      <c r="N690" s="2" t="s">
        <v>18</v>
      </c>
      <c r="O690" s="2" t="s">
        <v>19</v>
      </c>
      <c r="P690" s="2">
        <v>60000000</v>
      </c>
      <c r="Q690" s="2">
        <v>5.5</v>
      </c>
      <c r="R690" s="2" t="s">
        <v>1623</v>
      </c>
      <c r="S690" s="2"/>
      <c r="U690" s="2" t="s">
        <v>1624</v>
      </c>
      <c r="V690">
        <f ca="1" t="shared" si="19"/>
        <v>7</v>
      </c>
      <c r="AC690" s="2"/>
      <c r="AD690" t="str">
        <f>IFERROR(__xludf.DUMMYFUNCTION("""COMPUTED_VALUE"""),"War Horse ")</f>
        <v>War Horse </v>
      </c>
      <c r="AE690">
        <f t="shared" si="20"/>
        <v>79883213</v>
      </c>
    </row>
    <row r="691" customHeight="1" spans="1:31">
      <c r="A691" s="2" t="s">
        <v>617</v>
      </c>
      <c r="B691" s="2">
        <v>107</v>
      </c>
      <c r="C691" s="2">
        <v>82670733</v>
      </c>
      <c r="D691" s="2" t="s">
        <v>1294</v>
      </c>
      <c r="E691" s="2" t="s">
        <v>12</v>
      </c>
      <c r="F691" t="s">
        <v>24</v>
      </c>
      <c r="G691" t="s">
        <v>24</v>
      </c>
      <c r="H691" t="s">
        <v>24</v>
      </c>
      <c r="N691" s="2" t="s">
        <v>18</v>
      </c>
      <c r="O691" s="2" t="s">
        <v>19</v>
      </c>
      <c r="P691" s="2">
        <v>60000000</v>
      </c>
      <c r="Q691" s="2">
        <v>5.9</v>
      </c>
      <c r="R691" s="2" t="s">
        <v>1625</v>
      </c>
      <c r="S691" s="2"/>
      <c r="U691" s="2" t="s">
        <v>1626</v>
      </c>
      <c r="V691">
        <f ca="1" t="shared" si="19"/>
        <v>6.36</v>
      </c>
      <c r="AC691" s="2"/>
      <c r="AD691" t="str">
        <f>IFERROR(__xludf.DUMMYFUNCTION("""COMPUTED_VALUE"""),"The Monuments Men ")</f>
        <v>The Monuments Men </v>
      </c>
      <c r="AE691">
        <f t="shared" si="20"/>
        <v>78031502</v>
      </c>
    </row>
    <row r="692" customHeight="1" spans="1:31">
      <c r="A692" s="2" t="s">
        <v>796</v>
      </c>
      <c r="B692" s="2">
        <v>94</v>
      </c>
      <c r="C692" s="2">
        <v>82569532</v>
      </c>
      <c r="D692" s="2" t="s">
        <v>908</v>
      </c>
      <c r="E692" s="2" t="s">
        <v>13</v>
      </c>
      <c r="F692" t="s">
        <v>13</v>
      </c>
      <c r="G692" t="s">
        <v>24</v>
      </c>
      <c r="H692" t="s">
        <v>17</v>
      </c>
      <c r="N692" s="2" t="s">
        <v>18</v>
      </c>
      <c r="O692" s="2" t="s">
        <v>19</v>
      </c>
      <c r="P692" s="2">
        <v>60000000</v>
      </c>
      <c r="Q692" s="2">
        <v>5.4</v>
      </c>
      <c r="R692" s="2" t="s">
        <v>1627</v>
      </c>
      <c r="S692" s="2"/>
      <c r="U692" s="2" t="s">
        <v>1628</v>
      </c>
      <c r="V692">
        <f ca="1" t="shared" si="19"/>
        <v>6.14285714285714</v>
      </c>
      <c r="AC692" s="2"/>
      <c r="AD692" t="str">
        <f>IFERROR(__xludf.DUMMYFUNCTION("""COMPUTED_VALUE"""),"The Abyss ")</f>
        <v>The Abyss </v>
      </c>
      <c r="AE692">
        <f t="shared" si="20"/>
        <v>54221829</v>
      </c>
    </row>
    <row r="693" customHeight="1" spans="1:31">
      <c r="A693" s="2" t="s">
        <v>1055</v>
      </c>
      <c r="B693" s="2">
        <v>132</v>
      </c>
      <c r="C693" s="2">
        <v>81687587</v>
      </c>
      <c r="D693" s="2" t="s">
        <v>1094</v>
      </c>
      <c r="E693" s="2" t="s">
        <v>12</v>
      </c>
      <c r="F693" t="s">
        <v>23</v>
      </c>
      <c r="G693" t="s">
        <v>17</v>
      </c>
      <c r="H693" t="s">
        <v>55</v>
      </c>
      <c r="N693" s="2" t="s">
        <v>18</v>
      </c>
      <c r="O693" s="2" t="s">
        <v>19</v>
      </c>
      <c r="P693" s="2">
        <v>61000000</v>
      </c>
      <c r="Q693" s="2">
        <v>6.4</v>
      </c>
      <c r="R693" s="2" t="s">
        <v>1629</v>
      </c>
      <c r="S693" s="2"/>
      <c r="U693" s="2" t="s">
        <v>1630</v>
      </c>
      <c r="V693">
        <f ca="1" t="shared" si="19"/>
        <v>8.1</v>
      </c>
      <c r="AC693" s="2"/>
      <c r="AD693" t="str">
        <f>IFERROR(__xludf.DUMMYFUNCTION("""COMPUTED_VALUE"""),"Wall Street: Money Never Sleeps ")</f>
        <v>Wall Street: Money Never Sleeps </v>
      </c>
      <c r="AE693">
        <f t="shared" si="20"/>
        <v>52474480</v>
      </c>
    </row>
    <row r="694" customHeight="1" spans="1:31">
      <c r="A694" s="2" t="s">
        <v>1057</v>
      </c>
      <c r="B694" s="2">
        <v>140</v>
      </c>
      <c r="C694" s="2">
        <v>80574010</v>
      </c>
      <c r="D694" s="2" t="s">
        <v>103</v>
      </c>
      <c r="E694" s="2" t="s">
        <v>30</v>
      </c>
      <c r="F694" t="s">
        <v>24</v>
      </c>
      <c r="G694" t="s">
        <v>30</v>
      </c>
      <c r="H694" t="s">
        <v>55</v>
      </c>
      <c r="N694" s="2" t="s">
        <v>18</v>
      </c>
      <c r="O694" s="2" t="s">
        <v>19</v>
      </c>
      <c r="P694" s="2">
        <v>60000000</v>
      </c>
      <c r="Q694" s="2">
        <v>5.7</v>
      </c>
      <c r="R694" s="2" t="s">
        <v>1631</v>
      </c>
      <c r="S694" s="2"/>
      <c r="U694" s="2" t="s">
        <v>1632</v>
      </c>
      <c r="V694">
        <f ca="1" t="shared" si="19"/>
        <v>6.58</v>
      </c>
      <c r="AC694" s="2"/>
      <c r="AD694" t="str">
        <f>IFERROR(__xludf.DUMMYFUNCTION("""COMPUTED_VALUE"""),"Dracula Untold ")</f>
        <v>Dracula Untold </v>
      </c>
      <c r="AE694">
        <f t="shared" si="20"/>
        <v>55942738</v>
      </c>
    </row>
    <row r="695" customHeight="1" spans="1:31">
      <c r="A695" s="2" t="s">
        <v>119</v>
      </c>
      <c r="B695" s="2">
        <v>125</v>
      </c>
      <c r="C695" s="2">
        <v>75764085</v>
      </c>
      <c r="D695" s="2" t="s">
        <v>959</v>
      </c>
      <c r="E695" s="2" t="s">
        <v>40</v>
      </c>
      <c r="F695" t="s">
        <v>56</v>
      </c>
      <c r="G695" t="s">
        <v>56</v>
      </c>
      <c r="H695" t="s">
        <v>30</v>
      </c>
      <c r="N695" s="2" t="s">
        <v>18</v>
      </c>
      <c r="O695" s="2" t="s">
        <v>19</v>
      </c>
      <c r="P695" s="2">
        <v>60000000</v>
      </c>
      <c r="Q695" s="2">
        <v>6.7</v>
      </c>
      <c r="R695" s="2" t="s">
        <v>1633</v>
      </c>
      <c r="S695" s="2"/>
      <c r="U695" s="2" t="s">
        <v>1634</v>
      </c>
      <c r="V695">
        <f ca="1" t="shared" ref="V695:V758" si="21">AVERAGEIF(A579:A4364,U695,Q580:Q4364)</f>
        <v>6.9</v>
      </c>
      <c r="AC695" s="2"/>
      <c r="AD695" t="str">
        <f>IFERROR(__xludf.DUMMYFUNCTION("""COMPUTED_VALUE"""),"The Siege ")</f>
        <v>The Siege </v>
      </c>
      <c r="AE695">
        <f t="shared" ref="AE695:AE758" si="22">C579-B579</f>
        <v>40932256</v>
      </c>
    </row>
    <row r="696" customHeight="1" spans="1:31">
      <c r="A696" s="2" t="s">
        <v>468</v>
      </c>
      <c r="B696" s="2">
        <v>111</v>
      </c>
      <c r="C696" s="2">
        <v>90356857</v>
      </c>
      <c r="D696" s="2" t="s">
        <v>174</v>
      </c>
      <c r="E696" s="2" t="s">
        <v>12</v>
      </c>
      <c r="F696" t="s">
        <v>23</v>
      </c>
      <c r="G696" t="s">
        <v>72</v>
      </c>
      <c r="H696" t="s">
        <v>17</v>
      </c>
      <c r="N696" s="2" t="s">
        <v>18</v>
      </c>
      <c r="O696" s="2" t="s">
        <v>19</v>
      </c>
      <c r="P696" s="2">
        <v>58000000</v>
      </c>
      <c r="Q696" s="2">
        <v>7.1</v>
      </c>
      <c r="R696" s="2" t="s">
        <v>1635</v>
      </c>
      <c r="S696" s="2"/>
      <c r="U696" s="2" t="s">
        <v>1636</v>
      </c>
      <c r="V696">
        <f ca="1" t="shared" si="21"/>
        <v>5.6</v>
      </c>
      <c r="AC696" s="2"/>
      <c r="AD696" t="str">
        <f>IFERROR(__xludf.DUMMYFUNCTION("""COMPUTED_VALUE"""),"Stardust ")</f>
        <v>Stardust </v>
      </c>
      <c r="AE696">
        <f t="shared" si="22"/>
        <v>38345276</v>
      </c>
    </row>
    <row r="697" customHeight="1" spans="1:31">
      <c r="A697" s="2" t="s">
        <v>291</v>
      </c>
      <c r="B697" s="2">
        <v>156</v>
      </c>
      <c r="C697" s="2">
        <v>75530832</v>
      </c>
      <c r="D697" s="2" t="s">
        <v>1527</v>
      </c>
      <c r="E697" s="2" t="s">
        <v>30</v>
      </c>
      <c r="F697" t="s">
        <v>56</v>
      </c>
      <c r="G697" t="s">
        <v>40</v>
      </c>
      <c r="H697" t="s">
        <v>14</v>
      </c>
      <c r="N697" s="2" t="s">
        <v>18</v>
      </c>
      <c r="O697" s="2" t="s">
        <v>19</v>
      </c>
      <c r="P697" s="2">
        <v>55000000</v>
      </c>
      <c r="Q697" s="2">
        <v>6.8</v>
      </c>
      <c r="R697" s="2" t="s">
        <v>1637</v>
      </c>
      <c r="S697" s="2"/>
      <c r="U697" s="2" t="s">
        <v>1638</v>
      </c>
      <c r="V697">
        <f ca="1" t="shared" si="21"/>
        <v>6.6</v>
      </c>
      <c r="AC697" s="2"/>
      <c r="AD697" t="str">
        <f>IFERROR(__xludf.DUMMYFUNCTION("""COMPUTED_VALUE"""),"Seven Years in Tibet ")</f>
        <v>Seven Years in Tibet </v>
      </c>
      <c r="AE697">
        <f t="shared" si="22"/>
        <v>37901373</v>
      </c>
    </row>
    <row r="698" customHeight="1" spans="1:31">
      <c r="A698" s="2" t="s">
        <v>1060</v>
      </c>
      <c r="B698" s="2">
        <v>170</v>
      </c>
      <c r="C698" s="2">
        <v>75370763</v>
      </c>
      <c r="D698" s="2" t="s">
        <v>1639</v>
      </c>
      <c r="E698" s="2" t="s">
        <v>30</v>
      </c>
      <c r="F698" t="s">
        <v>23</v>
      </c>
      <c r="G698" t="s">
        <v>24</v>
      </c>
      <c r="H698" t="s">
        <v>24</v>
      </c>
      <c r="N698" s="2" t="s">
        <v>18</v>
      </c>
      <c r="O698" s="2" t="s">
        <v>19</v>
      </c>
      <c r="P698" s="2">
        <v>60000000</v>
      </c>
      <c r="Q698" s="2">
        <v>6.5</v>
      </c>
      <c r="R698" s="2" t="s">
        <v>1640</v>
      </c>
      <c r="S698" s="2"/>
      <c r="U698" s="2" t="s">
        <v>1641</v>
      </c>
      <c r="V698">
        <f ca="1" t="shared" si="21"/>
        <v>7</v>
      </c>
      <c r="AC698" s="2"/>
      <c r="AD698" t="str">
        <f>IFERROR(__xludf.DUMMYFUNCTION("""COMPUTED_VALUE"""),"The Dilemma ")</f>
        <v>The Dilemma </v>
      </c>
      <c r="AE698">
        <f t="shared" si="22"/>
        <v>48430244</v>
      </c>
    </row>
    <row r="699" customHeight="1" spans="1:31">
      <c r="A699" s="2" t="s">
        <v>591</v>
      </c>
      <c r="B699" s="2">
        <v>120</v>
      </c>
      <c r="C699" s="2">
        <v>100003492</v>
      </c>
      <c r="D699" s="2" t="s">
        <v>805</v>
      </c>
      <c r="E699" s="2" t="s">
        <v>56</v>
      </c>
      <c r="F699" t="s">
        <v>14</v>
      </c>
      <c r="G699" t="s">
        <v>14</v>
      </c>
      <c r="H699" t="s">
        <v>24</v>
      </c>
      <c r="N699" s="2" t="s">
        <v>18</v>
      </c>
      <c r="O699" s="2" t="s">
        <v>19</v>
      </c>
      <c r="P699" s="2">
        <v>65000000</v>
      </c>
      <c r="Q699" s="2">
        <v>7.6</v>
      </c>
      <c r="R699" s="2" t="s">
        <v>1642</v>
      </c>
      <c r="S699" s="2"/>
      <c r="U699" s="2" t="s">
        <v>1643</v>
      </c>
      <c r="V699">
        <f ca="1" t="shared" si="21"/>
        <v>6.76</v>
      </c>
      <c r="AC699" s="2"/>
      <c r="AD699" t="str">
        <f>IFERROR(__xludf.DUMMYFUNCTION("""COMPUTED_VALUE"""),"Bad Company ")</f>
        <v>Bad Company </v>
      </c>
      <c r="AE699">
        <f t="shared" si="22"/>
        <v>30156900</v>
      </c>
    </row>
    <row r="700" customHeight="1" spans="1:31">
      <c r="A700" s="2" t="s">
        <v>624</v>
      </c>
      <c r="B700" s="2">
        <v>100</v>
      </c>
      <c r="C700" s="2">
        <v>90341670</v>
      </c>
      <c r="D700" s="2" t="s">
        <v>715</v>
      </c>
      <c r="E700" s="2" t="s">
        <v>12</v>
      </c>
      <c r="F700" t="s">
        <v>35</v>
      </c>
      <c r="G700" t="s">
        <v>14</v>
      </c>
      <c r="H700" t="s">
        <v>23</v>
      </c>
      <c r="N700" s="2" t="s">
        <v>18</v>
      </c>
      <c r="O700" s="2" t="s">
        <v>19</v>
      </c>
      <c r="P700" s="2">
        <v>60000000</v>
      </c>
      <c r="Q700" s="2">
        <v>5.5</v>
      </c>
      <c r="R700" s="2" t="s">
        <v>1644</v>
      </c>
      <c r="S700" s="2"/>
      <c r="U700" s="2" t="s">
        <v>1645</v>
      </c>
      <c r="V700">
        <f ca="1" t="shared" si="21"/>
        <v>7.4</v>
      </c>
      <c r="AC700" s="2"/>
      <c r="AD700" t="str">
        <f>IFERROR(__xludf.DUMMYFUNCTION("""COMPUTED_VALUE"""),"Doom ")</f>
        <v>Doom </v>
      </c>
      <c r="AE700">
        <f t="shared" si="22"/>
        <v>28031137</v>
      </c>
    </row>
    <row r="701" customHeight="1" spans="1:31">
      <c r="A701" s="2" t="s">
        <v>1063</v>
      </c>
      <c r="B701" s="2">
        <v>115</v>
      </c>
      <c r="C701" s="2">
        <v>74540762</v>
      </c>
      <c r="D701" s="2" t="s">
        <v>355</v>
      </c>
      <c r="E701" s="2" t="s">
        <v>12</v>
      </c>
      <c r="F701" t="s">
        <v>13</v>
      </c>
      <c r="G701" t="s">
        <v>40</v>
      </c>
      <c r="H701" t="s">
        <v>55</v>
      </c>
      <c r="N701" s="2" t="s">
        <v>18</v>
      </c>
      <c r="O701" s="2" t="s">
        <v>19</v>
      </c>
      <c r="P701" s="2">
        <v>55000000</v>
      </c>
      <c r="Q701" s="2">
        <v>6.5</v>
      </c>
      <c r="R701" s="2" t="s">
        <v>1646</v>
      </c>
      <c r="S701" s="2"/>
      <c r="U701" s="2" t="s">
        <v>1647</v>
      </c>
      <c r="V701">
        <f ca="1" t="shared" si="21"/>
        <v>6.6</v>
      </c>
      <c r="AC701" s="2"/>
      <c r="AD701" t="str">
        <f>IFERROR(__xludf.DUMMYFUNCTION("""COMPUTED_VALUE"""),"I Spy ")</f>
        <v>I Spy </v>
      </c>
      <c r="AE701">
        <f t="shared" si="22"/>
        <v>33105503</v>
      </c>
    </row>
    <row r="702" customHeight="1" spans="1:31">
      <c r="A702" s="2" t="s">
        <v>342</v>
      </c>
      <c r="B702" s="2">
        <v>130</v>
      </c>
      <c r="C702" s="2">
        <v>80033643</v>
      </c>
      <c r="D702" s="2" t="s">
        <v>448</v>
      </c>
      <c r="E702" s="2" t="s">
        <v>12</v>
      </c>
      <c r="F702" t="s">
        <v>28</v>
      </c>
      <c r="G702" t="s">
        <v>15</v>
      </c>
      <c r="H702" t="s">
        <v>30</v>
      </c>
      <c r="N702" s="2" t="s">
        <v>18</v>
      </c>
      <c r="O702" s="2" t="s">
        <v>19</v>
      </c>
      <c r="P702" s="2">
        <v>60000000</v>
      </c>
      <c r="Q702" s="2">
        <v>7</v>
      </c>
      <c r="R702" s="2" t="s">
        <v>1648</v>
      </c>
      <c r="S702" s="2"/>
      <c r="U702" s="2" t="s">
        <v>1649</v>
      </c>
      <c r="V702">
        <f ca="1" t="shared" si="21"/>
        <v>5.95</v>
      </c>
      <c r="AC702" s="2"/>
      <c r="AD702" t="str">
        <f>IFERROR(__xludf.DUMMYFUNCTION("""COMPUTED_VALUE"""),"Underworld: Awakening ")</f>
        <v>Underworld: Awakening </v>
      </c>
      <c r="AE702">
        <f t="shared" si="22"/>
        <v>62320951</v>
      </c>
    </row>
    <row r="703" customHeight="1" spans="1:31">
      <c r="A703" s="2" t="s">
        <v>709</v>
      </c>
      <c r="B703" s="2">
        <v>105</v>
      </c>
      <c r="C703" s="2">
        <v>73648142</v>
      </c>
      <c r="D703" s="2" t="s">
        <v>1094</v>
      </c>
      <c r="E703" s="2" t="s">
        <v>12</v>
      </c>
      <c r="F703" t="s">
        <v>17</v>
      </c>
      <c r="G703" t="s">
        <v>55</v>
      </c>
      <c r="H703" t="s">
        <v>55</v>
      </c>
      <c r="N703" s="2" t="s">
        <v>18</v>
      </c>
      <c r="O703" s="2" t="s">
        <v>19</v>
      </c>
      <c r="P703" s="2">
        <v>60000000</v>
      </c>
      <c r="Q703" s="2">
        <v>5.8</v>
      </c>
      <c r="R703" s="2" t="s">
        <v>1650</v>
      </c>
      <c r="S703" s="2"/>
      <c r="U703" s="2" t="s">
        <v>1651</v>
      </c>
      <c r="V703">
        <f ca="1" t="shared" si="21"/>
        <v>6.9</v>
      </c>
      <c r="AC703" s="2"/>
      <c r="AD703" t="str">
        <f>IFERROR(__xludf.DUMMYFUNCTION("""COMPUTED_VALUE"""),"Rock of Ages ")</f>
        <v>Rock of Ages </v>
      </c>
      <c r="AE703">
        <f t="shared" si="22"/>
        <v>38509206</v>
      </c>
    </row>
    <row r="704" customHeight="1" spans="1:31">
      <c r="A704" s="2" t="s">
        <v>1066</v>
      </c>
      <c r="B704" s="2">
        <v>111</v>
      </c>
      <c r="C704" s="2">
        <v>71844424</v>
      </c>
      <c r="D704" s="2" t="s">
        <v>1652</v>
      </c>
      <c r="E704" s="2" t="s">
        <v>65</v>
      </c>
      <c r="F704" t="s">
        <v>35</v>
      </c>
      <c r="G704" t="s">
        <v>56</v>
      </c>
      <c r="H704" t="s">
        <v>39</v>
      </c>
      <c r="N704" s="2" t="s">
        <v>18</v>
      </c>
      <c r="O704" s="2" t="s">
        <v>19</v>
      </c>
      <c r="P704" s="2">
        <v>60000000</v>
      </c>
      <c r="Q704" s="2">
        <v>7.3</v>
      </c>
      <c r="R704" s="2" t="s">
        <v>1653</v>
      </c>
      <c r="S704" s="2"/>
      <c r="U704" s="2" t="s">
        <v>1654</v>
      </c>
      <c r="V704">
        <f ca="1" t="shared" si="21"/>
        <v>6.2</v>
      </c>
      <c r="AC704" s="2"/>
      <c r="AD704" t="str">
        <f>IFERROR(__xludf.DUMMYFUNCTION("""COMPUTED_VALUE"""),"Hart's War ")</f>
        <v>Hart's War </v>
      </c>
      <c r="AE704">
        <f t="shared" si="22"/>
        <v>19076690</v>
      </c>
    </row>
    <row r="705" customHeight="1" spans="1:31">
      <c r="A705" s="2" t="s">
        <v>556</v>
      </c>
      <c r="B705" s="2">
        <v>106</v>
      </c>
      <c r="C705" s="2">
        <v>75638743</v>
      </c>
      <c r="D705" s="2" t="s">
        <v>1655</v>
      </c>
      <c r="E705" s="2" t="s">
        <v>30</v>
      </c>
      <c r="F705" t="s">
        <v>40</v>
      </c>
      <c r="G705" t="s">
        <v>72</v>
      </c>
      <c r="H705" t="s">
        <v>24</v>
      </c>
      <c r="N705" s="2" t="s">
        <v>18</v>
      </c>
      <c r="O705" s="2" t="s">
        <v>19</v>
      </c>
      <c r="P705" s="2">
        <v>60000000</v>
      </c>
      <c r="Q705" s="2">
        <v>6.6</v>
      </c>
      <c r="R705" s="2" t="s">
        <v>1656</v>
      </c>
      <c r="S705" s="2"/>
      <c r="U705" s="2" t="s">
        <v>1657</v>
      </c>
      <c r="V705">
        <f ca="1" t="shared" si="21"/>
        <v>7.05</v>
      </c>
      <c r="AC705" s="2"/>
      <c r="AD705" t="str">
        <f>IFERROR(__xludf.DUMMYFUNCTION("""COMPUTED_VALUE"""),"Killer Elite ")</f>
        <v>Killer Elite </v>
      </c>
      <c r="AE705">
        <f t="shared" si="22"/>
        <v>25093491</v>
      </c>
    </row>
    <row r="706" customHeight="1" spans="1:31">
      <c r="A706" s="2" t="s">
        <v>1068</v>
      </c>
      <c r="B706" s="2">
        <v>89</v>
      </c>
      <c r="C706" s="2">
        <v>66734992</v>
      </c>
      <c r="D706" s="2" t="s">
        <v>505</v>
      </c>
      <c r="E706" s="2" t="s">
        <v>12</v>
      </c>
      <c r="F706" t="s">
        <v>24</v>
      </c>
      <c r="G706" t="s">
        <v>23</v>
      </c>
      <c r="H706" t="s">
        <v>24</v>
      </c>
      <c r="N706" s="2" t="s">
        <v>18</v>
      </c>
      <c r="O706" s="2" t="s">
        <v>19</v>
      </c>
      <c r="P706" s="2">
        <v>60000000</v>
      </c>
      <c r="Q706" s="2">
        <v>4.4</v>
      </c>
      <c r="R706" s="2" t="s">
        <v>1658</v>
      </c>
      <c r="S706" s="2"/>
      <c r="U706" s="2" t="s">
        <v>1659</v>
      </c>
      <c r="V706">
        <f ca="1" t="shared" si="21"/>
        <v>6.7</v>
      </c>
      <c r="AC706" s="2"/>
      <c r="AD706" t="str">
        <f>IFERROR(__xludf.DUMMYFUNCTION("""COMPUTED_VALUE"""),"Rollerball ")</f>
        <v>Rollerball </v>
      </c>
      <c r="AE706">
        <f t="shared" si="22"/>
        <v>18990444</v>
      </c>
    </row>
    <row r="707" customHeight="1" spans="1:31">
      <c r="A707" s="2" t="s">
        <v>902</v>
      </c>
      <c r="B707" s="2">
        <v>100</v>
      </c>
      <c r="C707" s="2">
        <v>75280058</v>
      </c>
      <c r="D707" s="2" t="s">
        <v>1660</v>
      </c>
      <c r="E707" s="2" t="s">
        <v>35</v>
      </c>
      <c r="F707" t="s">
        <v>30</v>
      </c>
      <c r="G707" t="s">
        <v>15</v>
      </c>
      <c r="H707" t="s">
        <v>29</v>
      </c>
      <c r="N707" s="2" t="s">
        <v>18</v>
      </c>
      <c r="O707" s="2" t="s">
        <v>19</v>
      </c>
      <c r="P707" s="2">
        <v>60000000</v>
      </c>
      <c r="Q707" s="2">
        <v>7.7</v>
      </c>
      <c r="R707" s="2" t="s">
        <v>1661</v>
      </c>
      <c r="S707" s="2"/>
      <c r="U707" s="2" t="s">
        <v>1662</v>
      </c>
      <c r="V707">
        <f ca="1" t="shared" si="21"/>
        <v>5.3</v>
      </c>
      <c r="AC707" s="2"/>
      <c r="AD707" t="str">
        <f>IFERROR(__xludf.DUMMYFUNCTION("""COMPUTED_VALUE"""),"Ballistic: Ecks vs. Sever ")</f>
        <v>Ballistic: Ecks vs. Sever </v>
      </c>
      <c r="AE707">
        <f t="shared" si="22"/>
        <v>14294751</v>
      </c>
    </row>
    <row r="708" customHeight="1" spans="1:31">
      <c r="A708" s="2" t="s">
        <v>352</v>
      </c>
      <c r="B708" s="2">
        <v>91</v>
      </c>
      <c r="C708" s="2">
        <v>64505912</v>
      </c>
      <c r="D708" s="2" t="s">
        <v>1154</v>
      </c>
      <c r="E708" s="2" t="s">
        <v>15</v>
      </c>
      <c r="F708" t="s">
        <v>40</v>
      </c>
      <c r="G708" t="s">
        <v>30</v>
      </c>
      <c r="H708" t="s">
        <v>24</v>
      </c>
      <c r="N708" s="2" t="s">
        <v>18</v>
      </c>
      <c r="O708" s="2" t="s">
        <v>19</v>
      </c>
      <c r="P708" s="2">
        <v>48000000</v>
      </c>
      <c r="Q708" s="2">
        <v>5</v>
      </c>
      <c r="R708" s="2" t="s">
        <v>1663</v>
      </c>
      <c r="S708" s="2"/>
      <c r="U708" s="2" t="s">
        <v>1664</v>
      </c>
      <c r="V708">
        <f ca="1" t="shared" si="21"/>
        <v>7.8</v>
      </c>
      <c r="AC708" s="2"/>
      <c r="AD708" t="str">
        <f>IFERROR(__xludf.DUMMYFUNCTION("""COMPUTED_VALUE"""),"Hard Rain ")</f>
        <v>Hard Rain </v>
      </c>
      <c r="AE708">
        <f t="shared" si="22"/>
        <v>19819397</v>
      </c>
    </row>
    <row r="709" customHeight="1" spans="1:31">
      <c r="A709" s="2" t="s">
        <v>617</v>
      </c>
      <c r="B709" s="2">
        <v>146</v>
      </c>
      <c r="C709" s="2">
        <v>77862546</v>
      </c>
      <c r="D709" s="2" t="s">
        <v>186</v>
      </c>
      <c r="E709" s="2" t="s">
        <v>12</v>
      </c>
      <c r="F709" t="s">
        <v>56</v>
      </c>
      <c r="G709" t="s">
        <v>40</v>
      </c>
      <c r="H709" t="s">
        <v>24</v>
      </c>
      <c r="N709" s="2" t="s">
        <v>18</v>
      </c>
      <c r="O709" s="2" t="s">
        <v>19</v>
      </c>
      <c r="P709" s="2">
        <v>70000000</v>
      </c>
      <c r="Q709" s="2">
        <v>7.7</v>
      </c>
      <c r="R709" s="2" t="s">
        <v>1665</v>
      </c>
      <c r="S709" s="2"/>
      <c r="U709" s="2" t="s">
        <v>1666</v>
      </c>
      <c r="V709">
        <f ca="1" t="shared" si="21"/>
        <v>6.5</v>
      </c>
      <c r="AC709" s="2"/>
      <c r="AD709" t="str">
        <f>IFERROR(__xludf.DUMMYFUNCTION("""COMPUTED_VALUE"""),"Osmosis Jones ")</f>
        <v>Osmosis Jones </v>
      </c>
      <c r="AE709">
        <f t="shared" si="22"/>
        <v>13596816</v>
      </c>
    </row>
    <row r="710" customHeight="1" spans="1:31">
      <c r="A710" s="2" t="s">
        <v>1070</v>
      </c>
      <c r="B710" s="2">
        <v>98</v>
      </c>
      <c r="C710" s="2">
        <v>61112916</v>
      </c>
      <c r="D710" s="2" t="s">
        <v>214</v>
      </c>
      <c r="E710" s="2" t="s">
        <v>40</v>
      </c>
      <c r="F710" t="s">
        <v>72</v>
      </c>
      <c r="G710" t="s">
        <v>28</v>
      </c>
      <c r="H710" t="s">
        <v>24</v>
      </c>
      <c r="N710" s="2" t="s">
        <v>18</v>
      </c>
      <c r="O710" s="2" t="s">
        <v>19</v>
      </c>
      <c r="P710" s="2">
        <v>50000000</v>
      </c>
      <c r="Q710" s="2">
        <v>4.4</v>
      </c>
      <c r="R710" s="2" t="s">
        <v>1667</v>
      </c>
      <c r="S710" s="2"/>
      <c r="U710" s="2" t="s">
        <v>1668</v>
      </c>
      <c r="V710">
        <f ca="1" t="shared" si="21"/>
        <v>5.9</v>
      </c>
      <c r="AC710" s="2"/>
      <c r="AD710" t="str">
        <f>IFERROR(__xludf.DUMMYFUNCTION("""COMPUTED_VALUE"""),"Legends of Oz: Dorothy's Return ")</f>
        <v>Legends of Oz: Dorothy's Return </v>
      </c>
      <c r="AE710">
        <f t="shared" si="22"/>
        <v>8460902</v>
      </c>
    </row>
    <row r="711" customHeight="1" spans="1:31">
      <c r="A711" s="2" t="s">
        <v>788</v>
      </c>
      <c r="B711" s="2">
        <v>101</v>
      </c>
      <c r="C711" s="2">
        <v>88200225</v>
      </c>
      <c r="D711" s="2" t="s">
        <v>383</v>
      </c>
      <c r="E711" s="2" t="s">
        <v>40</v>
      </c>
      <c r="F711" t="s">
        <v>56</v>
      </c>
      <c r="G711" t="s">
        <v>15</v>
      </c>
      <c r="H711" t="s">
        <v>24</v>
      </c>
      <c r="N711" s="2" t="s">
        <v>18</v>
      </c>
      <c r="O711" s="2" t="s">
        <v>19</v>
      </c>
      <c r="P711" s="2">
        <v>60000000</v>
      </c>
      <c r="Q711" s="2">
        <v>6.1</v>
      </c>
      <c r="R711" s="2" t="s">
        <v>1669</v>
      </c>
      <c r="S711" s="2"/>
      <c r="U711" s="2" t="s">
        <v>1670</v>
      </c>
      <c r="V711">
        <f ca="1" t="shared" si="21"/>
        <v>6.25</v>
      </c>
      <c r="AC711" s="2"/>
      <c r="AD711" t="str">
        <f>IFERROR(__xludf.DUMMYFUNCTION("""COMPUTED_VALUE"""),"Blackhat ")</f>
        <v>Blackhat </v>
      </c>
      <c r="AE711">
        <f t="shared" si="22"/>
        <v>7096992</v>
      </c>
    </row>
    <row r="712" customHeight="1" spans="1:31">
      <c r="A712" s="2" t="s">
        <v>1073</v>
      </c>
      <c r="B712" s="2">
        <v>94</v>
      </c>
      <c r="C712" s="2">
        <v>60573641</v>
      </c>
      <c r="D712" s="2" t="s">
        <v>1201</v>
      </c>
      <c r="E712" s="2" t="s">
        <v>40</v>
      </c>
      <c r="F712" t="s">
        <v>35</v>
      </c>
      <c r="G712" t="s">
        <v>39</v>
      </c>
      <c r="H712" t="s">
        <v>83</v>
      </c>
      <c r="N712" s="2" t="s">
        <v>18</v>
      </c>
      <c r="O712" s="2" t="s">
        <v>19</v>
      </c>
      <c r="P712" s="2">
        <v>60000000</v>
      </c>
      <c r="Q712" s="2">
        <v>5.4</v>
      </c>
      <c r="R712" s="2" t="s">
        <v>1671</v>
      </c>
      <c r="S712" s="2"/>
      <c r="U712" s="2" t="s">
        <v>1672</v>
      </c>
      <c r="V712">
        <f ca="1" t="shared" si="21"/>
        <v>4.85</v>
      </c>
      <c r="AC712" s="2"/>
      <c r="AD712" t="str">
        <f>IFERROR(__xludf.DUMMYFUNCTION("""COMPUTED_VALUE"""),"Sky Captain and the World of Tomorrow ")</f>
        <v>Sky Captain and the World of Tomorrow </v>
      </c>
      <c r="AE712">
        <f t="shared" si="22"/>
        <v>37759974</v>
      </c>
    </row>
    <row r="713" customHeight="1" spans="1:31">
      <c r="A713" s="2" t="s">
        <v>163</v>
      </c>
      <c r="B713" s="2">
        <v>132</v>
      </c>
      <c r="C713" s="2">
        <v>59035104</v>
      </c>
      <c r="D713" s="2" t="s">
        <v>1673</v>
      </c>
      <c r="E713" s="2" t="s">
        <v>12</v>
      </c>
      <c r="F713" t="s">
        <v>30</v>
      </c>
      <c r="G713" t="s">
        <v>17</v>
      </c>
      <c r="H713" t="s">
        <v>24</v>
      </c>
      <c r="N713" s="2" t="s">
        <v>18</v>
      </c>
      <c r="O713" s="2" t="s">
        <v>19</v>
      </c>
      <c r="P713" s="2">
        <v>66000000</v>
      </c>
      <c r="Q713" s="2">
        <v>6.8</v>
      </c>
      <c r="R713" s="2" t="s">
        <v>1674</v>
      </c>
      <c r="S713" s="2"/>
      <c r="U713" s="2" t="s">
        <v>1675</v>
      </c>
      <c r="V713">
        <f ca="1" t="shared" si="21"/>
        <v>8.5</v>
      </c>
      <c r="AC713" s="2"/>
      <c r="AD713" t="str">
        <f>IFERROR(__xludf.DUMMYFUNCTION("""COMPUTED_VALUE"""),"Basic Instinct 2 ")</f>
        <v>Basic Instinct 2 </v>
      </c>
      <c r="AE713">
        <f t="shared" si="22"/>
        <v>5851072</v>
      </c>
    </row>
    <row r="714" customHeight="1" spans="1:31">
      <c r="A714" s="2" t="s">
        <v>1075</v>
      </c>
      <c r="B714" s="2">
        <v>115</v>
      </c>
      <c r="C714" s="2">
        <v>56702901</v>
      </c>
      <c r="D714" s="2" t="s">
        <v>30</v>
      </c>
      <c r="E714" s="2" t="s">
        <v>30</v>
      </c>
      <c r="F714" t="s">
        <v>13</v>
      </c>
      <c r="G714" t="s">
        <v>55</v>
      </c>
      <c r="H714" t="s">
        <v>28</v>
      </c>
      <c r="N714" s="2" t="s">
        <v>18</v>
      </c>
      <c r="O714" s="2" t="s">
        <v>19</v>
      </c>
      <c r="P714" s="2">
        <v>60000000</v>
      </c>
      <c r="Q714" s="2">
        <v>6.5</v>
      </c>
      <c r="R714" s="2" t="s">
        <v>1676</v>
      </c>
      <c r="S714" s="2"/>
      <c r="U714" s="2" t="s">
        <v>1677</v>
      </c>
      <c r="V714">
        <f ca="1" t="shared" si="21"/>
        <v>6.225</v>
      </c>
      <c r="AC714" s="2"/>
      <c r="AD714" t="str">
        <f>IFERROR(__xludf.DUMMYFUNCTION("""COMPUTED_VALUE"""),"Escape Plan ")</f>
        <v>Escape Plan </v>
      </c>
      <c r="AE714">
        <f t="shared" si="22"/>
        <v>25121176</v>
      </c>
    </row>
    <row r="715" customHeight="1" spans="1:31">
      <c r="A715" s="2" t="s">
        <v>1078</v>
      </c>
      <c r="B715" s="2">
        <v>92</v>
      </c>
      <c r="C715" s="2">
        <v>55994557</v>
      </c>
      <c r="D715" s="2" t="s">
        <v>124</v>
      </c>
      <c r="E715" s="2" t="s">
        <v>13</v>
      </c>
      <c r="F715" t="s">
        <v>40</v>
      </c>
      <c r="G715" t="s">
        <v>29</v>
      </c>
      <c r="H715" t="s">
        <v>17</v>
      </c>
      <c r="N715" s="2" t="s">
        <v>18</v>
      </c>
      <c r="O715" s="2" t="s">
        <v>19</v>
      </c>
      <c r="P715" s="2">
        <v>60000000</v>
      </c>
      <c r="Q715" s="2">
        <v>7</v>
      </c>
      <c r="R715" s="2" t="s">
        <v>1678</v>
      </c>
      <c r="S715" s="2"/>
      <c r="U715" s="2" t="s">
        <v>1679</v>
      </c>
      <c r="V715">
        <f ca="1" t="shared" si="21"/>
        <v>6.1</v>
      </c>
      <c r="AC715" s="2"/>
      <c r="AD715" t="str">
        <f>IFERROR(__xludf.DUMMYFUNCTION("""COMPUTED_VALUE"""),"The Legend of Hercules ")</f>
        <v>The Legend of Hercules </v>
      </c>
      <c r="AE715">
        <f t="shared" si="22"/>
        <v>18821180</v>
      </c>
    </row>
    <row r="716" customHeight="1" spans="1:31">
      <c r="A716" s="2" t="s">
        <v>961</v>
      </c>
      <c r="B716" s="2">
        <v>124</v>
      </c>
      <c r="C716" s="2">
        <v>54910560</v>
      </c>
      <c r="D716" s="2" t="s">
        <v>1327</v>
      </c>
      <c r="E716" s="2" t="s">
        <v>12</v>
      </c>
      <c r="F716" t="s">
        <v>13</v>
      </c>
      <c r="G716" t="s">
        <v>23</v>
      </c>
      <c r="H716" t="s">
        <v>55</v>
      </c>
      <c r="N716" s="2" t="s">
        <v>18</v>
      </c>
      <c r="O716" s="2" t="s">
        <v>19</v>
      </c>
      <c r="P716" s="2">
        <v>60000000</v>
      </c>
      <c r="Q716" s="2">
        <v>6.3</v>
      </c>
      <c r="R716" s="2" t="s">
        <v>1680</v>
      </c>
      <c r="S716" s="2"/>
      <c r="U716" s="2" t="s">
        <v>1681</v>
      </c>
      <c r="V716">
        <f ca="1" t="shared" si="21"/>
        <v>6.75</v>
      </c>
      <c r="AC716" s="2"/>
      <c r="AD716" t="str">
        <f>IFERROR(__xludf.DUMMYFUNCTION("""COMPUTED_VALUE"""),"The Sum of All Fears ")</f>
        <v>The Sum of All Fears </v>
      </c>
      <c r="AE716">
        <f t="shared" si="22"/>
        <v>118471196</v>
      </c>
    </row>
    <row r="717" customHeight="1" spans="1:31">
      <c r="A717" s="2" t="s">
        <v>494</v>
      </c>
      <c r="B717" s="2">
        <v>119</v>
      </c>
      <c r="C717" s="2">
        <v>53789313</v>
      </c>
      <c r="D717" s="2" t="s">
        <v>596</v>
      </c>
      <c r="E717" s="2" t="s">
        <v>12</v>
      </c>
      <c r="F717" t="s">
        <v>56</v>
      </c>
      <c r="G717" t="s">
        <v>56</v>
      </c>
      <c r="H717" t="s">
        <v>24</v>
      </c>
      <c r="N717" s="2" t="s">
        <v>18</v>
      </c>
      <c r="O717" s="2" t="s">
        <v>19</v>
      </c>
      <c r="P717" s="2">
        <v>60000000</v>
      </c>
      <c r="Q717" s="2">
        <v>6.3</v>
      </c>
      <c r="R717" s="2" t="s">
        <v>1682</v>
      </c>
      <c r="S717" s="2"/>
      <c r="U717" s="2" t="s">
        <v>1683</v>
      </c>
      <c r="V717">
        <f ca="1" t="shared" si="21"/>
        <v>6.6</v>
      </c>
      <c r="AC717" s="2"/>
      <c r="AD717" t="str">
        <f>IFERROR(__xludf.DUMMYFUNCTION("""COMPUTED_VALUE"""),"The Twilight Saga: Eclipse ")</f>
        <v>The Twilight Saga: Eclipse </v>
      </c>
      <c r="AE717">
        <f t="shared" si="22"/>
        <v>300522989</v>
      </c>
    </row>
    <row r="718" customHeight="1" spans="1:31">
      <c r="A718" s="2" t="s">
        <v>1080</v>
      </c>
      <c r="B718" s="2">
        <v>124</v>
      </c>
      <c r="C718" s="2">
        <v>51045801</v>
      </c>
      <c r="D718" s="2" t="s">
        <v>103</v>
      </c>
      <c r="E718" s="2" t="s">
        <v>30</v>
      </c>
      <c r="F718" t="s">
        <v>40</v>
      </c>
      <c r="G718" t="s">
        <v>40</v>
      </c>
      <c r="H718" t="s">
        <v>23</v>
      </c>
      <c r="N718" s="2" t="s">
        <v>18</v>
      </c>
      <c r="O718" s="2" t="s">
        <v>19</v>
      </c>
      <c r="P718" s="2">
        <v>60000000</v>
      </c>
      <c r="Q718" s="2">
        <v>6.1</v>
      </c>
      <c r="R718" s="2" t="s">
        <v>1684</v>
      </c>
      <c r="S718" s="2"/>
      <c r="U718" s="2" t="s">
        <v>1685</v>
      </c>
      <c r="V718">
        <f ca="1" t="shared" si="21"/>
        <v>6.3</v>
      </c>
      <c r="AC718" s="2"/>
      <c r="AD718" t="str">
        <f>IFERROR(__xludf.DUMMYFUNCTION("""COMPUTED_VALUE"""),"The Score ")</f>
        <v>The Score </v>
      </c>
      <c r="AE718">
        <f t="shared" si="22"/>
        <v>71069760</v>
      </c>
    </row>
    <row r="719" customHeight="1" spans="1:31">
      <c r="A719" s="2" t="s">
        <v>1083</v>
      </c>
      <c r="B719" s="2">
        <v>93</v>
      </c>
      <c r="C719" s="2">
        <v>50818750</v>
      </c>
      <c r="D719" s="2" t="s">
        <v>124</v>
      </c>
      <c r="E719" s="2" t="s">
        <v>13</v>
      </c>
      <c r="F719" t="s">
        <v>30</v>
      </c>
      <c r="G719" t="s">
        <v>16</v>
      </c>
      <c r="H719" t="s">
        <v>24</v>
      </c>
      <c r="N719" s="2" t="s">
        <v>18</v>
      </c>
      <c r="O719" s="2" t="s">
        <v>31</v>
      </c>
      <c r="P719" s="2">
        <v>60000000</v>
      </c>
      <c r="Q719" s="2">
        <v>6.1</v>
      </c>
      <c r="R719" s="2" t="s">
        <v>1686</v>
      </c>
      <c r="S719" s="2"/>
      <c r="U719" s="2" t="s">
        <v>1687</v>
      </c>
      <c r="V719">
        <f ca="1" t="shared" si="21"/>
        <v>7.45</v>
      </c>
      <c r="AC719" s="2"/>
      <c r="AD719" t="str">
        <f>IFERROR(__xludf.DUMMYFUNCTION("""COMPUTED_VALUE"""),"Despicable Me ")</f>
        <v>Despicable Me </v>
      </c>
      <c r="AE719">
        <f t="shared" si="22"/>
        <v>251501558</v>
      </c>
    </row>
    <row r="720" customHeight="1" spans="1:31">
      <c r="A720" s="2" t="s">
        <v>1085</v>
      </c>
      <c r="B720" s="2">
        <v>98</v>
      </c>
      <c r="C720" s="2">
        <v>50189179</v>
      </c>
      <c r="D720" s="2" t="s">
        <v>703</v>
      </c>
      <c r="E720" s="2" t="s">
        <v>12</v>
      </c>
      <c r="F720" t="s">
        <v>56</v>
      </c>
      <c r="G720" t="s">
        <v>17</v>
      </c>
      <c r="H720" t="s">
        <v>24</v>
      </c>
      <c r="N720" s="2" t="s">
        <v>18</v>
      </c>
      <c r="O720" s="2" t="s">
        <v>19</v>
      </c>
      <c r="P720" s="2">
        <v>60000000</v>
      </c>
      <c r="Q720" s="2">
        <v>5.3</v>
      </c>
      <c r="R720" s="2" t="s">
        <v>1688</v>
      </c>
      <c r="S720" s="2"/>
      <c r="U720" s="2" t="s">
        <v>1689</v>
      </c>
      <c r="V720">
        <f ca="1" t="shared" si="21"/>
        <v>5</v>
      </c>
      <c r="AC720" s="2"/>
      <c r="AD720" t="str">
        <f>IFERROR(__xludf.DUMMYFUNCTION("""COMPUTED_VALUE"""),"Money Train ")</f>
        <v>Money Train </v>
      </c>
      <c r="AE720">
        <f t="shared" si="22"/>
        <v>35324127</v>
      </c>
    </row>
    <row r="721" customHeight="1" spans="1:31">
      <c r="A721" s="2" t="s">
        <v>1088</v>
      </c>
      <c r="B721" s="2">
        <v>92</v>
      </c>
      <c r="C721" s="2">
        <v>50024083</v>
      </c>
      <c r="D721" s="2" t="s">
        <v>34</v>
      </c>
      <c r="E721" s="2" t="s">
        <v>12</v>
      </c>
      <c r="F721" t="s">
        <v>23</v>
      </c>
      <c r="G721" t="s">
        <v>15</v>
      </c>
      <c r="H721" t="s">
        <v>83</v>
      </c>
      <c r="N721" s="2" t="s">
        <v>18</v>
      </c>
      <c r="O721" s="2" t="s">
        <v>19</v>
      </c>
      <c r="P721" s="2">
        <v>60000000</v>
      </c>
      <c r="Q721" s="2">
        <v>5.4</v>
      </c>
      <c r="R721" s="2" t="s">
        <v>1690</v>
      </c>
      <c r="S721" s="2"/>
      <c r="U721" s="2" t="s">
        <v>1691</v>
      </c>
      <c r="V721">
        <f ca="1" t="shared" si="21"/>
        <v>7.4</v>
      </c>
      <c r="AC721" s="2"/>
      <c r="AD721" t="str">
        <f>IFERROR(__xludf.DUMMYFUNCTION("""COMPUTED_VALUE"""),"Ted 2 ")</f>
        <v>Ted 2 </v>
      </c>
      <c r="AE721">
        <f t="shared" si="22"/>
        <v>81257375</v>
      </c>
    </row>
    <row r="722" customHeight="1" spans="1:31">
      <c r="A722" s="2" t="s">
        <v>330</v>
      </c>
      <c r="B722" s="2">
        <v>105</v>
      </c>
      <c r="C722" s="2">
        <v>50549107</v>
      </c>
      <c r="D722" s="2" t="s">
        <v>355</v>
      </c>
      <c r="E722" s="2" t="s">
        <v>12</v>
      </c>
      <c r="F722" t="s">
        <v>56</v>
      </c>
      <c r="G722" t="s">
        <v>17</v>
      </c>
      <c r="H722" t="s">
        <v>24</v>
      </c>
      <c r="N722" s="2" t="s">
        <v>18</v>
      </c>
      <c r="O722" s="2" t="s">
        <v>19</v>
      </c>
      <c r="P722" s="2">
        <v>60000000</v>
      </c>
      <c r="Q722" s="2">
        <v>6.2</v>
      </c>
      <c r="R722" s="2" t="s">
        <v>1692</v>
      </c>
      <c r="S722" s="2"/>
      <c r="U722" s="2" t="s">
        <v>1693</v>
      </c>
      <c r="V722">
        <f ca="1" t="shared" si="21"/>
        <v>6.15</v>
      </c>
      <c r="AC722" s="2"/>
      <c r="AD722" t="str">
        <f>IFERROR(__xludf.DUMMYFUNCTION("""COMPUTED_VALUE"""),"Agora ")</f>
        <v>Agora </v>
      </c>
      <c r="AE722">
        <f t="shared" si="22"/>
        <v>617699</v>
      </c>
    </row>
    <row r="723" customHeight="1" spans="1:31">
      <c r="A723" s="2" t="s">
        <v>1091</v>
      </c>
      <c r="B723" s="2">
        <v>124</v>
      </c>
      <c r="C723" s="2">
        <v>56443482</v>
      </c>
      <c r="D723" s="2" t="s">
        <v>1694</v>
      </c>
      <c r="E723" s="2" t="s">
        <v>59</v>
      </c>
      <c r="F723" t="s">
        <v>35</v>
      </c>
      <c r="G723" t="s">
        <v>17</v>
      </c>
      <c r="H723" t="s">
        <v>24</v>
      </c>
      <c r="N723" s="2" t="s">
        <v>18</v>
      </c>
      <c r="O723" s="2" t="s">
        <v>19</v>
      </c>
      <c r="P723" s="2">
        <v>60000000</v>
      </c>
      <c r="Q723" s="2">
        <v>6.6</v>
      </c>
      <c r="R723" s="2" t="s">
        <v>1695</v>
      </c>
      <c r="S723" s="2"/>
      <c r="U723" s="2" t="s">
        <v>1696</v>
      </c>
      <c r="V723">
        <f ca="1" t="shared" si="21"/>
        <v>5</v>
      </c>
      <c r="AC723" s="2"/>
      <c r="AD723" t="str">
        <f>IFERROR(__xludf.DUMMYFUNCTION("""COMPUTED_VALUE"""),"Mystery Men ")</f>
        <v>Mystery Men </v>
      </c>
      <c r="AE723">
        <f t="shared" si="22"/>
        <v>29655469</v>
      </c>
    </row>
    <row r="724" customHeight="1" spans="1:31">
      <c r="A724" s="2" t="s">
        <v>1093</v>
      </c>
      <c r="B724" s="2">
        <v>99</v>
      </c>
      <c r="C724" s="2">
        <v>62401264</v>
      </c>
      <c r="D724" s="2" t="s">
        <v>186</v>
      </c>
      <c r="E724" s="2" t="s">
        <v>12</v>
      </c>
      <c r="F724" t="s">
        <v>13</v>
      </c>
      <c r="G724" t="s">
        <v>17</v>
      </c>
      <c r="H724" t="s">
        <v>83</v>
      </c>
      <c r="N724" s="2" t="s">
        <v>18</v>
      </c>
      <c r="O724" s="2" t="s">
        <v>31</v>
      </c>
      <c r="P724" s="2">
        <v>60000000</v>
      </c>
      <c r="Q724" s="2">
        <v>5.9</v>
      </c>
      <c r="R724" s="2" t="s">
        <v>1697</v>
      </c>
      <c r="S724" s="2"/>
      <c r="U724" s="2" t="s">
        <v>1698</v>
      </c>
      <c r="V724">
        <f ca="1" t="shared" si="21"/>
        <v>6.2375</v>
      </c>
      <c r="AC724" s="2"/>
      <c r="AD724" t="str">
        <f>IFERROR(__xludf.DUMMYFUNCTION("""COMPUTED_VALUE"""),"Hall Pass ")</f>
        <v>Hall Pass </v>
      </c>
      <c r="AE724">
        <f t="shared" si="22"/>
        <v>45044926</v>
      </c>
    </row>
    <row r="725" customHeight="1" spans="1:31">
      <c r="A725" s="2" t="s">
        <v>1096</v>
      </c>
      <c r="B725" s="2">
        <v>116</v>
      </c>
      <c r="C725" s="2">
        <v>47748610</v>
      </c>
      <c r="D725" s="2" t="s">
        <v>1699</v>
      </c>
      <c r="E725" s="2" t="s">
        <v>12</v>
      </c>
      <c r="F725" t="s">
        <v>56</v>
      </c>
      <c r="G725" t="s">
        <v>24</v>
      </c>
      <c r="H725" t="s">
        <v>15</v>
      </c>
      <c r="N725" s="2" t="s">
        <v>18</v>
      </c>
      <c r="O725" s="2" t="s">
        <v>19</v>
      </c>
      <c r="P725" s="2">
        <v>75000000</v>
      </c>
      <c r="Q725" s="2">
        <v>6.3</v>
      </c>
      <c r="R725" s="2" t="s">
        <v>1700</v>
      </c>
      <c r="S725" s="2"/>
      <c r="U725" s="2" t="s">
        <v>1701</v>
      </c>
      <c r="V725">
        <f ca="1" t="shared" si="21"/>
        <v>5.76666666666667</v>
      </c>
      <c r="AC725" s="2"/>
      <c r="AD725" t="str">
        <f>IFERROR(__xludf.DUMMYFUNCTION("""COMPUTED_VALUE"""),"The Insider ")</f>
        <v>The Insider </v>
      </c>
      <c r="AE725">
        <f t="shared" si="22"/>
        <v>28965040</v>
      </c>
    </row>
    <row r="726" customHeight="1" spans="1:31">
      <c r="A726" s="2" t="s">
        <v>881</v>
      </c>
      <c r="B726" s="2">
        <v>124</v>
      </c>
      <c r="C726" s="2">
        <v>46975183</v>
      </c>
      <c r="D726" s="2" t="s">
        <v>915</v>
      </c>
      <c r="E726" s="2" t="s">
        <v>12</v>
      </c>
      <c r="F726" t="s">
        <v>30</v>
      </c>
      <c r="G726" t="s">
        <v>30</v>
      </c>
      <c r="H726" t="s">
        <v>71</v>
      </c>
      <c r="N726" s="2" t="s">
        <v>18</v>
      </c>
      <c r="O726" s="2" t="s">
        <v>19</v>
      </c>
      <c r="P726" s="2">
        <v>61000000</v>
      </c>
      <c r="Q726" s="2">
        <v>7.2</v>
      </c>
      <c r="R726" s="2" t="s">
        <v>1702</v>
      </c>
      <c r="S726" s="2"/>
      <c r="U726" s="2" t="s">
        <v>1703</v>
      </c>
      <c r="V726">
        <f ca="1" t="shared" si="21"/>
        <v>5.7</v>
      </c>
      <c r="AC726" s="2"/>
      <c r="AD726" t="str">
        <f>IFERROR(__xludf.DUMMYFUNCTION("""COMPUTED_VALUE"""),"Body of Lies ")</f>
        <v>Body of Lies </v>
      </c>
      <c r="AE726">
        <f t="shared" si="22"/>
        <v>39380314</v>
      </c>
    </row>
    <row r="727" customHeight="1" spans="1:31">
      <c r="A727" s="2" t="s">
        <v>1099</v>
      </c>
      <c r="B727" s="2">
        <v>96</v>
      </c>
      <c r="C727" s="2">
        <v>50807639</v>
      </c>
      <c r="D727" s="2" t="s">
        <v>124</v>
      </c>
      <c r="E727" s="2" t="s">
        <v>13</v>
      </c>
      <c r="F727" t="s">
        <v>28</v>
      </c>
      <c r="G727" t="s">
        <v>17</v>
      </c>
      <c r="H727" t="s">
        <v>23</v>
      </c>
      <c r="N727" s="2" t="s">
        <v>18</v>
      </c>
      <c r="O727" s="2" t="s">
        <v>19</v>
      </c>
      <c r="P727" s="2">
        <v>60000000</v>
      </c>
      <c r="Q727" s="2">
        <v>6.8</v>
      </c>
      <c r="R727" s="2" t="s">
        <v>1704</v>
      </c>
      <c r="S727" s="2"/>
      <c r="U727" s="2" t="s">
        <v>1705</v>
      </c>
      <c r="V727">
        <f ca="1" t="shared" si="21"/>
        <v>4.2</v>
      </c>
      <c r="AC727" s="2"/>
      <c r="AD727" t="str">
        <f>IFERROR(__xludf.DUMMYFUNCTION("""COMPUTED_VALUE"""),"Abraham Lincoln: Vampire Hunter ")</f>
        <v>Abraham Lincoln: Vampire Hunter </v>
      </c>
      <c r="AE727">
        <f t="shared" si="22"/>
        <v>37515908</v>
      </c>
    </row>
    <row r="728" customHeight="1" spans="1:31">
      <c r="A728" s="2" t="s">
        <v>1101</v>
      </c>
      <c r="B728" s="2">
        <v>104</v>
      </c>
      <c r="C728" s="2">
        <v>46611204</v>
      </c>
      <c r="D728" s="2" t="s">
        <v>959</v>
      </c>
      <c r="E728" s="2" t="s">
        <v>40</v>
      </c>
      <c r="F728" t="s">
        <v>56</v>
      </c>
      <c r="G728" t="s">
        <v>24</v>
      </c>
      <c r="H728" t="s">
        <v>24</v>
      </c>
      <c r="N728" s="2" t="s">
        <v>18</v>
      </c>
      <c r="O728" s="2" t="s">
        <v>19</v>
      </c>
      <c r="P728" s="2">
        <v>48000000</v>
      </c>
      <c r="Q728" s="2">
        <v>6.1</v>
      </c>
      <c r="R728" s="2" t="s">
        <v>1706</v>
      </c>
      <c r="S728" s="2"/>
      <c r="U728" s="2" t="s">
        <v>1707</v>
      </c>
      <c r="V728">
        <f ca="1" t="shared" si="21"/>
        <v>6.7</v>
      </c>
      <c r="AC728" s="2"/>
      <c r="AD728" t="str">
        <f>IFERROR(__xludf.DUMMYFUNCTION("""COMPUTED_VALUE"""),"Entrapment ")</f>
        <v>Entrapment </v>
      </c>
      <c r="AE728">
        <f t="shared" si="22"/>
        <v>87704283</v>
      </c>
    </row>
    <row r="729" customHeight="1" spans="1:31">
      <c r="A729" s="2" t="s">
        <v>711</v>
      </c>
      <c r="B729" s="2">
        <v>100</v>
      </c>
      <c r="C729" s="2">
        <v>257756197</v>
      </c>
      <c r="D729" s="2" t="s">
        <v>392</v>
      </c>
      <c r="E729" s="2" t="s">
        <v>12</v>
      </c>
      <c r="F729" t="s">
        <v>56</v>
      </c>
      <c r="G729" t="s">
        <v>30</v>
      </c>
      <c r="H729" t="s">
        <v>15</v>
      </c>
      <c r="N729" s="2" t="s">
        <v>18</v>
      </c>
      <c r="O729" s="2" t="s">
        <v>159</v>
      </c>
      <c r="P729" s="2">
        <v>60000000</v>
      </c>
      <c r="Q729" s="2">
        <v>7.8</v>
      </c>
      <c r="R729" s="2" t="s">
        <v>1708</v>
      </c>
      <c r="S729" s="2"/>
      <c r="U729" s="2" t="s">
        <v>1709</v>
      </c>
      <c r="V729">
        <f ca="1" t="shared" si="21"/>
        <v>6.3</v>
      </c>
      <c r="AC729" s="2"/>
      <c r="AD729" t="str">
        <f>IFERROR(__xludf.DUMMYFUNCTION("""COMPUTED_VALUE"""),"The X Files ")</f>
        <v>The X Files </v>
      </c>
      <c r="AE729">
        <f t="shared" si="22"/>
        <v>83892253</v>
      </c>
    </row>
    <row r="730" customHeight="1" spans="1:31">
      <c r="A730" s="2" t="s">
        <v>1104</v>
      </c>
      <c r="B730" s="2">
        <v>115</v>
      </c>
      <c r="C730" s="2">
        <v>48472213</v>
      </c>
      <c r="D730" s="2" t="s">
        <v>635</v>
      </c>
      <c r="E730" s="2" t="s">
        <v>12</v>
      </c>
      <c r="F730" t="s">
        <v>56</v>
      </c>
      <c r="G730" t="s">
        <v>29</v>
      </c>
      <c r="H730" t="s">
        <v>17</v>
      </c>
      <c r="N730" s="2" t="s">
        <v>18</v>
      </c>
      <c r="O730" s="2" t="s">
        <v>19</v>
      </c>
      <c r="P730" s="2">
        <v>45000000</v>
      </c>
      <c r="Q730" s="2">
        <v>5</v>
      </c>
      <c r="R730" s="2" t="s">
        <v>1710</v>
      </c>
      <c r="S730" s="2"/>
      <c r="U730" s="2" t="s">
        <v>1711</v>
      </c>
      <c r="V730">
        <f ca="1" t="shared" si="21"/>
        <v>6.55</v>
      </c>
      <c r="AC730" s="2"/>
      <c r="AD730" t="str">
        <f>IFERROR(__xludf.DUMMYFUNCTION("""COMPUTED_VALUE"""),"The Last Legion ")</f>
        <v>The Last Legion </v>
      </c>
      <c r="AE730">
        <f t="shared" si="22"/>
        <v>5931958</v>
      </c>
    </row>
    <row r="731" customHeight="1" spans="1:31">
      <c r="A731" s="2" t="s">
        <v>981</v>
      </c>
      <c r="B731" s="2">
        <v>101</v>
      </c>
      <c r="C731" s="2">
        <v>43060566</v>
      </c>
      <c r="D731" s="2" t="s">
        <v>120</v>
      </c>
      <c r="E731" s="2" t="s">
        <v>12</v>
      </c>
      <c r="F731" t="s">
        <v>30</v>
      </c>
      <c r="G731" t="s">
        <v>24</v>
      </c>
      <c r="H731" t="s">
        <v>24</v>
      </c>
      <c r="N731" s="2" t="s">
        <v>18</v>
      </c>
      <c r="O731" s="2" t="s">
        <v>19</v>
      </c>
      <c r="P731" s="2">
        <v>60000000</v>
      </c>
      <c r="Q731" s="2">
        <v>6.2</v>
      </c>
      <c r="R731" s="2" t="s">
        <v>1712</v>
      </c>
      <c r="S731" s="2"/>
      <c r="U731" s="2" t="s">
        <v>1713</v>
      </c>
      <c r="V731">
        <f ca="1" t="shared" si="21"/>
        <v>5.5</v>
      </c>
      <c r="AC731" s="2"/>
      <c r="AD731" t="str">
        <f>IFERROR(__xludf.DUMMYFUNCTION("""COMPUTED_VALUE"""),"Saving Private Ryan ")</f>
        <v>Saving Private Ryan </v>
      </c>
      <c r="AE731">
        <f t="shared" si="22"/>
        <v>216119322</v>
      </c>
    </row>
    <row r="732" customHeight="1" spans="1:31">
      <c r="A732" s="2" t="s">
        <v>1106</v>
      </c>
      <c r="B732" s="2">
        <v>113</v>
      </c>
      <c r="C732" s="2">
        <v>45996718</v>
      </c>
      <c r="D732" s="2" t="s">
        <v>186</v>
      </c>
      <c r="E732" s="2" t="s">
        <v>12</v>
      </c>
      <c r="F732" t="s">
        <v>14</v>
      </c>
      <c r="G732" t="s">
        <v>24</v>
      </c>
      <c r="H732" t="s">
        <v>24</v>
      </c>
      <c r="N732" s="2" t="s">
        <v>18</v>
      </c>
      <c r="O732" s="2" t="s">
        <v>19</v>
      </c>
      <c r="P732" s="2">
        <v>60000000</v>
      </c>
      <c r="Q732" s="2">
        <v>6.7</v>
      </c>
      <c r="R732" s="2" t="s">
        <v>1714</v>
      </c>
      <c r="S732" s="2"/>
      <c r="U732" s="2" t="s">
        <v>1715</v>
      </c>
      <c r="V732">
        <f ca="1" t="shared" si="21"/>
        <v>7.175</v>
      </c>
      <c r="AC732" s="2"/>
      <c r="AD732" t="str">
        <f>IFERROR(__xludf.DUMMYFUNCTION("""COMPUTED_VALUE"""),"Need for Speed ")</f>
        <v>Need for Speed </v>
      </c>
      <c r="AE732">
        <f t="shared" si="22"/>
        <v>43568375</v>
      </c>
    </row>
    <row r="733" customHeight="1" spans="1:31">
      <c r="A733" s="2" t="s">
        <v>1108</v>
      </c>
      <c r="B733" s="2">
        <v>100</v>
      </c>
      <c r="C733" s="2">
        <v>43337279</v>
      </c>
      <c r="D733" s="2" t="s">
        <v>1716</v>
      </c>
      <c r="E733" s="2" t="s">
        <v>13</v>
      </c>
      <c r="F733" t="s">
        <v>40</v>
      </c>
      <c r="G733" t="s">
        <v>72</v>
      </c>
      <c r="H733" t="s">
        <v>17</v>
      </c>
      <c r="N733" s="2" t="s">
        <v>18</v>
      </c>
      <c r="O733" s="2" t="s">
        <v>19</v>
      </c>
      <c r="P733" s="2">
        <v>60000000</v>
      </c>
      <c r="Q733" s="2">
        <v>4.9</v>
      </c>
      <c r="R733" s="2" t="s">
        <v>1717</v>
      </c>
      <c r="S733" s="2"/>
      <c r="U733" s="2" t="s">
        <v>1718</v>
      </c>
      <c r="V733">
        <f ca="1" t="shared" si="21"/>
        <v>6.6</v>
      </c>
      <c r="AC733" s="2"/>
      <c r="AD733" t="str">
        <f>IFERROR(__xludf.DUMMYFUNCTION("""COMPUTED_VALUE"""),"What Women Want ")</f>
        <v>What Women Want </v>
      </c>
      <c r="AE733">
        <f t="shared" si="22"/>
        <v>182804996</v>
      </c>
    </row>
    <row r="734" customHeight="1" spans="1:31">
      <c r="A734" s="2" t="s">
        <v>1000</v>
      </c>
      <c r="B734" s="2">
        <v>134</v>
      </c>
      <c r="C734" s="2">
        <v>37479778</v>
      </c>
      <c r="D734" s="2" t="s">
        <v>1719</v>
      </c>
      <c r="E734" s="2" t="s">
        <v>59</v>
      </c>
      <c r="F734" t="s">
        <v>13</v>
      </c>
      <c r="G734" t="s">
        <v>39</v>
      </c>
      <c r="H734" t="s">
        <v>17</v>
      </c>
      <c r="N734" s="2" t="s">
        <v>18</v>
      </c>
      <c r="O734" s="2" t="s">
        <v>19</v>
      </c>
      <c r="P734" s="2">
        <v>60000000</v>
      </c>
      <c r="Q734" s="2">
        <v>7.4</v>
      </c>
      <c r="R734" s="2" t="s">
        <v>1720</v>
      </c>
      <c r="S734" s="2"/>
      <c r="U734" s="2" t="s">
        <v>1721</v>
      </c>
      <c r="V734">
        <f ca="1" t="shared" si="21"/>
        <v>5.6</v>
      </c>
      <c r="AC734" s="2"/>
      <c r="AD734" t="str">
        <f>IFERROR(__xludf.DUMMYFUNCTION("""COMPUTED_VALUE"""),"Ice Age ")</f>
        <v>Ice Age </v>
      </c>
      <c r="AE734">
        <f t="shared" si="22"/>
        <v>176387302</v>
      </c>
    </row>
    <row r="735" customHeight="1" spans="1:31">
      <c r="A735" s="2" t="s">
        <v>488</v>
      </c>
      <c r="B735" s="2">
        <v>125</v>
      </c>
      <c r="C735" s="2">
        <v>40559930</v>
      </c>
      <c r="D735" s="2" t="s">
        <v>1722</v>
      </c>
      <c r="E735" s="2" t="s">
        <v>40</v>
      </c>
      <c r="F735" t="s">
        <v>14</v>
      </c>
      <c r="G735" t="s">
        <v>30</v>
      </c>
      <c r="H735" t="s">
        <v>14</v>
      </c>
      <c r="N735" s="2" t="s">
        <v>18</v>
      </c>
      <c r="O735" s="2" t="s">
        <v>19</v>
      </c>
      <c r="P735" s="2">
        <v>60000000</v>
      </c>
      <c r="Q735" s="2">
        <v>6.2</v>
      </c>
      <c r="R735" s="2" t="s">
        <v>1723</v>
      </c>
      <c r="S735" s="2"/>
      <c r="U735" s="2" t="s">
        <v>1724</v>
      </c>
      <c r="V735">
        <f ca="1" t="shared" si="21"/>
        <v>5.65</v>
      </c>
      <c r="AC735" s="2"/>
      <c r="AD735" t="str">
        <f>IFERROR(__xludf.DUMMYFUNCTION("""COMPUTED_VALUE"""),"Dreamcatcher ")</f>
        <v>Dreamcatcher </v>
      </c>
      <c r="AE735">
        <f t="shared" si="22"/>
        <v>33685132</v>
      </c>
    </row>
    <row r="736" customHeight="1" spans="1:31">
      <c r="A736" s="2" t="s">
        <v>1111</v>
      </c>
      <c r="B736" s="2">
        <v>94</v>
      </c>
      <c r="C736" s="2">
        <v>36830057</v>
      </c>
      <c r="D736" s="2" t="s">
        <v>1033</v>
      </c>
      <c r="E736" s="2" t="s">
        <v>40</v>
      </c>
      <c r="F736" t="s">
        <v>35</v>
      </c>
      <c r="G736" t="s">
        <v>24</v>
      </c>
      <c r="H736" t="s">
        <v>40</v>
      </c>
      <c r="N736" s="2" t="s">
        <v>18</v>
      </c>
      <c r="O736" s="2" t="s">
        <v>19</v>
      </c>
      <c r="P736" s="2">
        <v>65000000</v>
      </c>
      <c r="Q736" s="2">
        <v>4.9</v>
      </c>
      <c r="R736" s="2" t="s">
        <v>1725</v>
      </c>
      <c r="S736" s="2"/>
      <c r="U736" s="2" t="s">
        <v>1726</v>
      </c>
      <c r="V736">
        <f ca="1" t="shared" si="21"/>
        <v>4.9</v>
      </c>
      <c r="AC736" s="2"/>
      <c r="AD736" t="str">
        <f>IFERROR(__xludf.DUMMYFUNCTION("""COMPUTED_VALUE"""),"Lincoln ")</f>
        <v>Lincoln </v>
      </c>
      <c r="AE736">
        <f t="shared" si="22"/>
        <v>182204290</v>
      </c>
    </row>
    <row r="737" customHeight="1" spans="1:31">
      <c r="A737" s="2" t="s">
        <v>927</v>
      </c>
      <c r="B737" s="2">
        <v>107</v>
      </c>
      <c r="C737" s="2">
        <v>36279230</v>
      </c>
      <c r="D737" s="2" t="s">
        <v>150</v>
      </c>
      <c r="E737" s="2" t="s">
        <v>12</v>
      </c>
      <c r="F737" t="s">
        <v>15</v>
      </c>
      <c r="G737" t="s">
        <v>17</v>
      </c>
      <c r="H737" t="s">
        <v>15</v>
      </c>
      <c r="N737" s="2" t="s">
        <v>18</v>
      </c>
      <c r="O737" s="2" t="s">
        <v>19</v>
      </c>
      <c r="P737" s="2">
        <v>60000000</v>
      </c>
      <c r="Q737" s="2">
        <v>6.1</v>
      </c>
      <c r="R737" s="2" t="s">
        <v>1727</v>
      </c>
      <c r="S737" s="2"/>
      <c r="U737" s="2" t="s">
        <v>1728</v>
      </c>
      <c r="V737">
        <f ca="1" t="shared" si="21"/>
        <v>6.5</v>
      </c>
      <c r="AC737" s="2"/>
      <c r="AD737" t="str">
        <f>IFERROR(__xludf.DUMMYFUNCTION("""COMPUTED_VALUE"""),"The Matrix ")</f>
        <v>The Matrix </v>
      </c>
      <c r="AE737">
        <f t="shared" si="22"/>
        <v>171383117</v>
      </c>
    </row>
    <row r="738" customHeight="1" spans="1:31">
      <c r="A738" s="2" t="s">
        <v>1113</v>
      </c>
      <c r="B738" s="2">
        <v>91</v>
      </c>
      <c r="C738" s="2">
        <v>42194060</v>
      </c>
      <c r="D738" s="2" t="s">
        <v>248</v>
      </c>
      <c r="E738" s="2" t="s">
        <v>13</v>
      </c>
      <c r="F738" t="s">
        <v>14</v>
      </c>
      <c r="G738" t="s">
        <v>16</v>
      </c>
      <c r="H738" t="s">
        <v>23</v>
      </c>
      <c r="N738" s="2" t="s">
        <v>18</v>
      </c>
      <c r="O738" s="2" t="s">
        <v>1431</v>
      </c>
      <c r="P738" s="2">
        <v>70000000</v>
      </c>
      <c r="Q738" s="2">
        <v>6.1</v>
      </c>
      <c r="R738" s="2" t="s">
        <v>1729</v>
      </c>
      <c r="S738" s="2"/>
      <c r="U738" s="2" t="s">
        <v>1730</v>
      </c>
      <c r="V738">
        <f ca="1" t="shared" si="21"/>
        <v>5.6</v>
      </c>
      <c r="AC738" s="2"/>
      <c r="AD738" t="str">
        <f>IFERROR(__xludf.DUMMYFUNCTION("""COMPUTED_VALUE"""),"Apollo 13 ")</f>
        <v>Apollo 13 </v>
      </c>
      <c r="AE738">
        <f t="shared" si="22"/>
        <v>172071172</v>
      </c>
    </row>
    <row r="739" customHeight="1" spans="1:31">
      <c r="A739" s="2" t="s">
        <v>1115</v>
      </c>
      <c r="B739" s="2">
        <v>116</v>
      </c>
      <c r="C739" s="2">
        <v>43119879</v>
      </c>
      <c r="D739" s="2" t="s">
        <v>108</v>
      </c>
      <c r="E739" s="2" t="s">
        <v>12</v>
      </c>
      <c r="F739" t="s">
        <v>30</v>
      </c>
      <c r="G739" t="s">
        <v>40</v>
      </c>
      <c r="H739" t="s">
        <v>17</v>
      </c>
      <c r="N739" s="2" t="s">
        <v>18</v>
      </c>
      <c r="O739" s="2" t="s">
        <v>19</v>
      </c>
      <c r="P739" s="2">
        <v>60000000</v>
      </c>
      <c r="Q739" s="2">
        <v>6.4</v>
      </c>
      <c r="R739" s="2" t="s">
        <v>1731</v>
      </c>
      <c r="S739" s="2"/>
      <c r="U739" s="2" t="s">
        <v>1732</v>
      </c>
      <c r="V739">
        <f ca="1" t="shared" si="21"/>
        <v>6.5</v>
      </c>
      <c r="AC739" s="2"/>
      <c r="AD739" t="str">
        <f>IFERROR(__xludf.DUMMYFUNCTION("""COMPUTED_VALUE"""),"The Santa Clause 2 ")</f>
        <v>The Santa Clause 2 </v>
      </c>
      <c r="AE739">
        <f t="shared" si="22"/>
        <v>139225750</v>
      </c>
    </row>
    <row r="740" customHeight="1" spans="1:31">
      <c r="A740" s="2" t="s">
        <v>1117</v>
      </c>
      <c r="B740" s="2">
        <v>100</v>
      </c>
      <c r="C740" s="2">
        <v>35096190</v>
      </c>
      <c r="D740" s="2" t="s">
        <v>1733</v>
      </c>
      <c r="E740" s="2" t="s">
        <v>40</v>
      </c>
      <c r="F740" t="s">
        <v>13</v>
      </c>
      <c r="G740" t="s">
        <v>30</v>
      </c>
      <c r="H740" t="s">
        <v>55</v>
      </c>
      <c r="N740" s="2" t="s">
        <v>18</v>
      </c>
      <c r="O740" s="2" t="s">
        <v>19</v>
      </c>
      <c r="P740" s="2">
        <v>60000000</v>
      </c>
      <c r="Q740" s="2">
        <v>6.3</v>
      </c>
      <c r="R740" s="2" t="s">
        <v>1734</v>
      </c>
      <c r="S740" s="2"/>
      <c r="U740" s="2" t="s">
        <v>1735</v>
      </c>
      <c r="V740">
        <f ca="1" t="shared" si="21"/>
        <v>6.8</v>
      </c>
      <c r="AC740" s="2"/>
      <c r="AD740" t="str">
        <f>IFERROR(__xludf.DUMMYFUNCTION("""COMPUTED_VALUE"""),"Les Misérables ")</f>
        <v>Les Misérables </v>
      </c>
      <c r="AE740">
        <f t="shared" si="22"/>
        <v>148775302</v>
      </c>
    </row>
    <row r="741" customHeight="1" spans="1:31">
      <c r="A741" s="2" t="s">
        <v>143</v>
      </c>
      <c r="B741" s="2">
        <v>117</v>
      </c>
      <c r="C741" s="2">
        <v>43290977</v>
      </c>
      <c r="D741" s="2" t="s">
        <v>814</v>
      </c>
      <c r="E741" s="2" t="s">
        <v>56</v>
      </c>
      <c r="F741" t="s">
        <v>30</v>
      </c>
      <c r="G741" t="s">
        <v>30</v>
      </c>
      <c r="H741" t="s">
        <v>14</v>
      </c>
      <c r="N741" s="2" t="s">
        <v>18</v>
      </c>
      <c r="O741" s="2" t="s">
        <v>31</v>
      </c>
      <c r="P741" s="2">
        <v>80000000</v>
      </c>
      <c r="Q741" s="2">
        <v>6.6</v>
      </c>
      <c r="R741" s="2" t="s">
        <v>1736</v>
      </c>
      <c r="S741" s="2"/>
      <c r="U741" s="2" t="s">
        <v>1737</v>
      </c>
      <c r="V741">
        <f ca="1" t="shared" si="21"/>
        <v>6.7</v>
      </c>
      <c r="AC741" s="2"/>
      <c r="AD741" t="str">
        <f>IFERROR(__xludf.DUMMYFUNCTION("""COMPUTED_VALUE"""),"You've Got Mail ")</f>
        <v>You've Got Mail </v>
      </c>
      <c r="AE741">
        <f t="shared" si="22"/>
        <v>115731423</v>
      </c>
    </row>
    <row r="742" customHeight="1" spans="1:31">
      <c r="A742" s="2" t="s">
        <v>648</v>
      </c>
      <c r="B742" s="2">
        <v>110</v>
      </c>
      <c r="C742" s="2">
        <v>33927476</v>
      </c>
      <c r="D742" s="2" t="s">
        <v>1738</v>
      </c>
      <c r="E742" s="2" t="s">
        <v>72</v>
      </c>
      <c r="F742" t="s">
        <v>15</v>
      </c>
      <c r="G742" t="s">
        <v>14</v>
      </c>
      <c r="H742" t="s">
        <v>24</v>
      </c>
      <c r="N742" s="2" t="s">
        <v>18</v>
      </c>
      <c r="O742" s="2" t="s">
        <v>31</v>
      </c>
      <c r="P742" s="2">
        <v>40000000</v>
      </c>
      <c r="Q742" s="2">
        <v>5.7</v>
      </c>
      <c r="R742" s="2" t="s">
        <v>1739</v>
      </c>
      <c r="S742" s="2"/>
      <c r="U742" s="2" t="s">
        <v>1740</v>
      </c>
      <c r="V742">
        <f ca="1" t="shared" si="21"/>
        <v>5.3</v>
      </c>
      <c r="AC742" s="2"/>
      <c r="AD742" t="str">
        <f>IFERROR(__xludf.DUMMYFUNCTION("""COMPUTED_VALUE"""),"Step Brothers ")</f>
        <v>Step Brothers </v>
      </c>
      <c r="AE742">
        <f t="shared" si="22"/>
        <v>100468687</v>
      </c>
    </row>
    <row r="743" customHeight="1" spans="1:31">
      <c r="A743" s="2" t="s">
        <v>1108</v>
      </c>
      <c r="B743" s="2">
        <v>96</v>
      </c>
      <c r="C743" s="2">
        <v>32122249</v>
      </c>
      <c r="D743" s="2" t="s">
        <v>383</v>
      </c>
      <c r="E743" s="2" t="s">
        <v>40</v>
      </c>
      <c r="F743" t="s">
        <v>14</v>
      </c>
      <c r="G743" t="s">
        <v>23</v>
      </c>
      <c r="H743" t="s">
        <v>24</v>
      </c>
      <c r="N743" s="2" t="s">
        <v>18</v>
      </c>
      <c r="O743" s="2" t="s">
        <v>19</v>
      </c>
      <c r="P743" s="2">
        <v>60000000</v>
      </c>
      <c r="Q743" s="2">
        <v>5.9</v>
      </c>
      <c r="R743" s="2" t="s">
        <v>1741</v>
      </c>
      <c r="S743" s="2"/>
      <c r="U743" s="2" t="s">
        <v>1742</v>
      </c>
      <c r="V743">
        <f ca="1" t="shared" si="21"/>
        <v>6</v>
      </c>
      <c r="AC743" s="2"/>
      <c r="AD743" t="str">
        <f>IFERROR(__xludf.DUMMYFUNCTION("""COMPUTED_VALUE"""),"The Mask of Zorro ")</f>
        <v>The Mask of Zorro </v>
      </c>
      <c r="AE743">
        <f t="shared" si="22"/>
        <v>93770936</v>
      </c>
    </row>
    <row r="744" customHeight="1" spans="1:31">
      <c r="A744" s="2" t="s">
        <v>1080</v>
      </c>
      <c r="B744" s="2">
        <v>101</v>
      </c>
      <c r="C744" s="2">
        <v>40076438</v>
      </c>
      <c r="D744" s="2" t="s">
        <v>915</v>
      </c>
      <c r="E744" s="2" t="s">
        <v>12</v>
      </c>
      <c r="F744" t="s">
        <v>72</v>
      </c>
      <c r="G744" t="s">
        <v>14</v>
      </c>
      <c r="H744" t="s">
        <v>56</v>
      </c>
      <c r="N744" s="2" t="s">
        <v>18</v>
      </c>
      <c r="O744" s="2" t="s">
        <v>19</v>
      </c>
      <c r="P744" s="2">
        <v>60000000</v>
      </c>
      <c r="Q744" s="2">
        <v>6</v>
      </c>
      <c r="R744" s="2" t="s">
        <v>1743</v>
      </c>
      <c r="S744" s="2"/>
      <c r="U744" s="2" t="s">
        <v>1744</v>
      </c>
      <c r="V744">
        <f ca="1" t="shared" si="21"/>
        <v>5.8</v>
      </c>
      <c r="AC744" s="2"/>
      <c r="AD744" t="str">
        <f>IFERROR(__xludf.DUMMYFUNCTION("""COMPUTED_VALUE"""),"Due Date ")</f>
        <v>Due Date </v>
      </c>
      <c r="AE744">
        <f t="shared" si="22"/>
        <v>100448403</v>
      </c>
    </row>
    <row r="745" customHeight="1" spans="1:31">
      <c r="A745" s="2" t="s">
        <v>1119</v>
      </c>
      <c r="B745" s="2">
        <v>111</v>
      </c>
      <c r="C745" s="2">
        <v>32940507</v>
      </c>
      <c r="D745" s="2" t="s">
        <v>186</v>
      </c>
      <c r="E745" s="2" t="s">
        <v>12</v>
      </c>
      <c r="F745" t="s">
        <v>40</v>
      </c>
      <c r="G745" t="s">
        <v>40</v>
      </c>
      <c r="H745" t="s">
        <v>56</v>
      </c>
      <c r="N745" s="2" t="s">
        <v>18</v>
      </c>
      <c r="O745" s="2" t="s">
        <v>19</v>
      </c>
      <c r="P745" s="2">
        <v>60000000</v>
      </c>
      <c r="Q745" s="2">
        <v>6.1</v>
      </c>
      <c r="R745" s="2" t="s">
        <v>1745</v>
      </c>
      <c r="S745" s="2"/>
      <c r="U745" s="2" t="s">
        <v>1746</v>
      </c>
      <c r="V745">
        <f ca="1" t="shared" si="21"/>
        <v>6.95</v>
      </c>
      <c r="AC745" s="2"/>
      <c r="AD745" t="str">
        <f>IFERROR(__xludf.DUMMYFUNCTION("""COMPUTED_VALUE"""),"Unbroken ")</f>
        <v>Unbroken </v>
      </c>
      <c r="AE745">
        <f t="shared" si="22"/>
        <v>115603843</v>
      </c>
    </row>
    <row r="746" customHeight="1" spans="1:31">
      <c r="A746" s="2" t="s">
        <v>361</v>
      </c>
      <c r="B746" s="2">
        <v>117</v>
      </c>
      <c r="C746" s="2">
        <v>31670931</v>
      </c>
      <c r="D746" s="2" t="s">
        <v>1747</v>
      </c>
      <c r="E746" s="2" t="s">
        <v>59</v>
      </c>
      <c r="F746" t="s">
        <v>72</v>
      </c>
      <c r="G746" t="s">
        <v>24</v>
      </c>
      <c r="H746" t="s">
        <v>24</v>
      </c>
      <c r="N746" s="2" t="s">
        <v>18</v>
      </c>
      <c r="O746" s="2" t="s">
        <v>31</v>
      </c>
      <c r="P746" s="2">
        <v>60000000</v>
      </c>
      <c r="Q746" s="2">
        <v>6.7</v>
      </c>
      <c r="R746" s="2" t="s">
        <v>1748</v>
      </c>
      <c r="S746" s="2"/>
      <c r="U746" s="2" t="s">
        <v>1749</v>
      </c>
      <c r="V746">
        <f ca="1" t="shared" si="21"/>
        <v>7.2</v>
      </c>
      <c r="AC746" s="2"/>
      <c r="AD746" t="str">
        <f>IFERROR(__xludf.DUMMYFUNCTION("""COMPUTED_VALUE"""),"Space Cowboys ")</f>
        <v>Space Cowboys </v>
      </c>
      <c r="AE746">
        <f t="shared" si="22"/>
        <v>90453913</v>
      </c>
    </row>
    <row r="747" customHeight="1" spans="1:31">
      <c r="A747" s="2" t="s">
        <v>1060</v>
      </c>
      <c r="B747" s="2">
        <v>126</v>
      </c>
      <c r="C747" s="2">
        <v>30695227</v>
      </c>
      <c r="D747" s="2" t="s">
        <v>1750</v>
      </c>
      <c r="E747" s="2" t="s">
        <v>30</v>
      </c>
      <c r="F747" t="s">
        <v>30</v>
      </c>
      <c r="G747" t="s">
        <v>30</v>
      </c>
      <c r="H747" t="s">
        <v>24</v>
      </c>
      <c r="N747" s="2" t="s">
        <v>18</v>
      </c>
      <c r="O747" s="2" t="s">
        <v>19</v>
      </c>
      <c r="P747" s="2">
        <v>60000000</v>
      </c>
      <c r="Q747" s="2">
        <v>6.7</v>
      </c>
      <c r="R747" s="2" t="s">
        <v>1751</v>
      </c>
      <c r="S747" s="2"/>
      <c r="U747" s="2" t="s">
        <v>1752</v>
      </c>
      <c r="V747">
        <f ca="1" t="shared" si="21"/>
        <v>6.1</v>
      </c>
      <c r="AC747" s="2"/>
      <c r="AD747" t="str">
        <f>IFERROR(__xludf.DUMMYFUNCTION("""COMPUTED_VALUE"""),"Cliffhanger ")</f>
        <v>Cliffhanger </v>
      </c>
      <c r="AE747">
        <f t="shared" si="22"/>
        <v>84049087</v>
      </c>
    </row>
    <row r="748" customHeight="1" spans="1:31">
      <c r="A748" s="2" t="s">
        <v>929</v>
      </c>
      <c r="B748" s="2">
        <v>152</v>
      </c>
      <c r="C748" s="2">
        <v>32522352</v>
      </c>
      <c r="D748" s="2" t="s">
        <v>1753</v>
      </c>
      <c r="E748" s="2" t="s">
        <v>13</v>
      </c>
      <c r="F748" t="s">
        <v>23</v>
      </c>
      <c r="G748" t="s">
        <v>17</v>
      </c>
      <c r="H748" t="s">
        <v>23</v>
      </c>
      <c r="N748" s="2" t="s">
        <v>18</v>
      </c>
      <c r="O748" s="2" t="s">
        <v>19</v>
      </c>
      <c r="P748" s="2">
        <v>60000000</v>
      </c>
      <c r="Q748" s="2">
        <v>7.9</v>
      </c>
      <c r="R748" s="2" t="s">
        <v>1754</v>
      </c>
      <c r="S748" s="2"/>
      <c r="U748" s="2" t="s">
        <v>1755</v>
      </c>
      <c r="V748">
        <f ca="1" t="shared" si="21"/>
        <v>4.4</v>
      </c>
      <c r="AC748" s="2"/>
      <c r="AD748" t="str">
        <f>IFERROR(__xludf.DUMMYFUNCTION("""COMPUTED_VALUE"""),"Broken Arrow ")</f>
        <v>Broken Arrow </v>
      </c>
      <c r="AE748">
        <f t="shared" si="22"/>
        <v>70449892</v>
      </c>
    </row>
    <row r="749" customHeight="1" spans="1:31">
      <c r="A749" s="2" t="s">
        <v>367</v>
      </c>
      <c r="B749" s="2">
        <v>101</v>
      </c>
      <c r="C749" s="2">
        <v>26082914</v>
      </c>
      <c r="D749" s="2" t="s">
        <v>1327</v>
      </c>
      <c r="E749" s="2" t="s">
        <v>12</v>
      </c>
      <c r="F749" t="s">
        <v>56</v>
      </c>
      <c r="G749" t="s">
        <v>17</v>
      </c>
      <c r="H749" t="s">
        <v>23</v>
      </c>
      <c r="N749" s="2" t="s">
        <v>18</v>
      </c>
      <c r="O749" s="2" t="s">
        <v>19</v>
      </c>
      <c r="P749" s="2">
        <v>87000000</v>
      </c>
      <c r="Q749" s="2">
        <v>4.3</v>
      </c>
      <c r="R749" s="2" t="s">
        <v>1756</v>
      </c>
      <c r="S749" s="2"/>
      <c r="U749" s="2" t="s">
        <v>1757</v>
      </c>
      <c r="V749">
        <f ca="1" t="shared" si="21"/>
        <v>7.5</v>
      </c>
      <c r="AC749" s="2"/>
      <c r="AD749" t="str">
        <f>IFERROR(__xludf.DUMMYFUNCTION("""COMPUTED_VALUE"""),"The Kid ")</f>
        <v>The Kid </v>
      </c>
      <c r="AE749">
        <f t="shared" si="22"/>
        <v>69688280</v>
      </c>
    </row>
    <row r="750" customHeight="1" spans="1:31">
      <c r="A750" s="2" t="s">
        <v>1121</v>
      </c>
      <c r="B750" s="2">
        <v>87</v>
      </c>
      <c r="C750" s="2">
        <v>29136626</v>
      </c>
      <c r="D750" s="2" t="s">
        <v>1758</v>
      </c>
      <c r="E750" s="2" t="s">
        <v>12</v>
      </c>
      <c r="F750" t="s">
        <v>40</v>
      </c>
      <c r="G750" t="s">
        <v>30</v>
      </c>
      <c r="H750" t="s">
        <v>17</v>
      </c>
      <c r="N750" s="2" t="s">
        <v>18</v>
      </c>
      <c r="O750" s="2" t="s">
        <v>19</v>
      </c>
      <c r="P750" s="2">
        <v>60000000</v>
      </c>
      <c r="Q750" s="2">
        <v>5.7</v>
      </c>
      <c r="R750" s="2" t="s">
        <v>1759</v>
      </c>
      <c r="S750" s="2"/>
      <c r="U750" s="2" t="s">
        <v>1760</v>
      </c>
      <c r="V750">
        <f ca="1" t="shared" si="21"/>
        <v>3.6</v>
      </c>
      <c r="AC750" s="2"/>
      <c r="AD750" t="str">
        <f>IFERROR(__xludf.DUMMYFUNCTION("""COMPUTED_VALUE"""),"World Trade Center ")</f>
        <v>World Trade Center </v>
      </c>
      <c r="AE750">
        <f t="shared" si="22"/>
        <v>70236367</v>
      </c>
    </row>
    <row r="751" customHeight="1" spans="1:31">
      <c r="A751" s="2" t="s">
        <v>1123</v>
      </c>
      <c r="B751" s="2">
        <v>85</v>
      </c>
      <c r="C751" s="2">
        <v>26288320</v>
      </c>
      <c r="D751" s="2" t="s">
        <v>1761</v>
      </c>
      <c r="E751" s="2" t="s">
        <v>13</v>
      </c>
      <c r="F751" t="s">
        <v>13</v>
      </c>
      <c r="G751" t="s">
        <v>24</v>
      </c>
      <c r="H751" t="s">
        <v>24</v>
      </c>
      <c r="N751" s="2" t="s">
        <v>18</v>
      </c>
      <c r="O751" s="2" t="s">
        <v>19</v>
      </c>
      <c r="P751" s="2">
        <v>60000000</v>
      </c>
      <c r="Q751" s="2">
        <v>6.7</v>
      </c>
      <c r="R751" s="2" t="s">
        <v>1762</v>
      </c>
      <c r="S751" s="2"/>
      <c r="U751" s="2" t="s">
        <v>1763</v>
      </c>
      <c r="V751">
        <f ca="1" t="shared" si="21"/>
        <v>3.45</v>
      </c>
      <c r="AC751" s="2"/>
      <c r="AD751" t="str">
        <f>IFERROR(__xludf.DUMMYFUNCTION("""COMPUTED_VALUE"""),"Mona Lisa Smile ")</f>
        <v>Mona Lisa Smile </v>
      </c>
      <c r="AE751">
        <f t="shared" si="22"/>
        <v>63695643</v>
      </c>
    </row>
    <row r="752" customHeight="1" spans="1:31">
      <c r="A752" s="2" t="s">
        <v>750</v>
      </c>
      <c r="B752" s="2">
        <v>130</v>
      </c>
      <c r="C752" s="2">
        <v>26616590</v>
      </c>
      <c r="D752" s="2" t="s">
        <v>1764</v>
      </c>
      <c r="E752" s="2" t="s">
        <v>72</v>
      </c>
      <c r="F752" t="s">
        <v>30</v>
      </c>
      <c r="G752" t="s">
        <v>56</v>
      </c>
      <c r="H752" t="s">
        <v>17</v>
      </c>
      <c r="N752" s="2" t="s">
        <v>18</v>
      </c>
      <c r="O752" s="2" t="s">
        <v>31</v>
      </c>
      <c r="P752" s="2">
        <v>60000000</v>
      </c>
      <c r="Q752" s="2">
        <v>6.7</v>
      </c>
      <c r="R752" s="2" t="s">
        <v>1765</v>
      </c>
      <c r="S752" s="2"/>
      <c r="U752" s="2" t="s">
        <v>1766</v>
      </c>
      <c r="V752">
        <f ca="1" t="shared" si="21"/>
        <v>6.9</v>
      </c>
      <c r="AC752" s="2"/>
      <c r="AD752" t="str">
        <f>IFERROR(__xludf.DUMMYFUNCTION("""COMPUTED_VALUE"""),"The Dictator ")</f>
        <v>The Dictator </v>
      </c>
      <c r="AE752">
        <f t="shared" si="22"/>
        <v>59616969</v>
      </c>
    </row>
    <row r="753" customHeight="1" spans="1:31">
      <c r="A753" s="2" t="s">
        <v>213</v>
      </c>
      <c r="B753" s="2">
        <v>104</v>
      </c>
      <c r="C753" s="2">
        <v>30063805</v>
      </c>
      <c r="D753" s="2" t="s">
        <v>1767</v>
      </c>
      <c r="E753" s="2" t="s">
        <v>30</v>
      </c>
      <c r="F753" t="s">
        <v>30</v>
      </c>
      <c r="G753" t="s">
        <v>72</v>
      </c>
      <c r="H753" t="s">
        <v>24</v>
      </c>
      <c r="N753" s="2" t="s">
        <v>18</v>
      </c>
      <c r="O753" s="2" t="s">
        <v>19</v>
      </c>
      <c r="P753" s="2">
        <v>60000000</v>
      </c>
      <c r="Q753" s="2">
        <v>6.1</v>
      </c>
      <c r="R753" s="2" t="s">
        <v>1768</v>
      </c>
      <c r="S753" s="2"/>
      <c r="U753" s="2" t="s">
        <v>1769</v>
      </c>
      <c r="V753">
        <f ca="1" t="shared" si="21"/>
        <v>6.5</v>
      </c>
      <c r="AC753" s="2"/>
      <c r="AD753" t="str">
        <f>IFERROR(__xludf.DUMMYFUNCTION("""COMPUTED_VALUE"""),"Eyes Wide Shut ")</f>
        <v>Eyes Wide Shut </v>
      </c>
      <c r="AE753">
        <f t="shared" si="22"/>
        <v>55637521</v>
      </c>
    </row>
    <row r="754" customHeight="1" spans="1:31">
      <c r="A754" s="2" t="s">
        <v>733</v>
      </c>
      <c r="B754" s="2">
        <v>121</v>
      </c>
      <c r="C754" s="2">
        <v>22518325</v>
      </c>
      <c r="D754" s="2" t="s">
        <v>814</v>
      </c>
      <c r="E754" s="2" t="s">
        <v>56</v>
      </c>
      <c r="F754" t="s">
        <v>13</v>
      </c>
      <c r="G754" t="s">
        <v>56</v>
      </c>
      <c r="H754" t="s">
        <v>24</v>
      </c>
      <c r="N754" s="2" t="s">
        <v>18</v>
      </c>
      <c r="O754" s="2" t="s">
        <v>293</v>
      </c>
      <c r="P754" s="2">
        <v>50000000</v>
      </c>
      <c r="Q754" s="2">
        <v>5.6</v>
      </c>
      <c r="R754" s="2" t="s">
        <v>1770</v>
      </c>
      <c r="S754" s="2"/>
      <c r="U754" s="2" t="s">
        <v>1771</v>
      </c>
      <c r="V754">
        <f ca="1" t="shared" si="21"/>
        <v>7.3</v>
      </c>
      <c r="AC754" s="2"/>
      <c r="AD754" t="str">
        <f>IFERROR(__xludf.DUMMYFUNCTION("""COMPUTED_VALUE"""),"Annie ")</f>
        <v>Annie </v>
      </c>
      <c r="AE754">
        <f t="shared" si="22"/>
        <v>85911144</v>
      </c>
    </row>
    <row r="755" customHeight="1" spans="1:31">
      <c r="A755" s="2" t="s">
        <v>1127</v>
      </c>
      <c r="B755" s="2">
        <v>140</v>
      </c>
      <c r="C755" s="2">
        <v>13082288</v>
      </c>
      <c r="D755" s="2" t="s">
        <v>1772</v>
      </c>
      <c r="E755" s="2" t="s">
        <v>12</v>
      </c>
      <c r="F755" t="s">
        <v>30</v>
      </c>
      <c r="G755" t="s">
        <v>30</v>
      </c>
      <c r="H755" t="s">
        <v>17</v>
      </c>
      <c r="N755" s="2" t="s">
        <v>18</v>
      </c>
      <c r="O755" s="2" t="s">
        <v>31</v>
      </c>
      <c r="P755" s="2">
        <v>60000000</v>
      </c>
      <c r="Q755" s="2">
        <v>6.6</v>
      </c>
      <c r="R755" s="2" t="s">
        <v>1773</v>
      </c>
      <c r="S755" s="2"/>
      <c r="U755" s="2" t="s">
        <v>1774</v>
      </c>
      <c r="V755">
        <f ca="1" t="shared" si="21"/>
        <v>6.7</v>
      </c>
      <c r="AC755" s="2"/>
      <c r="AD755" t="str">
        <f>IFERROR(__xludf.DUMMYFUNCTION("""COMPUTED_VALUE"""),"Focus ")</f>
        <v>Focus </v>
      </c>
      <c r="AE755">
        <f t="shared" si="22"/>
        <v>53846810</v>
      </c>
    </row>
    <row r="756" customHeight="1" spans="1:31">
      <c r="A756" s="2" t="s">
        <v>1129</v>
      </c>
      <c r="B756" s="2">
        <v>131</v>
      </c>
      <c r="C756" s="2">
        <v>18208078</v>
      </c>
      <c r="D756" s="2" t="s">
        <v>355</v>
      </c>
      <c r="E756" s="2" t="s">
        <v>12</v>
      </c>
      <c r="F756" t="s">
        <v>59</v>
      </c>
      <c r="G756" t="s">
        <v>28</v>
      </c>
      <c r="H756" t="s">
        <v>29</v>
      </c>
      <c r="N756" s="2" t="s">
        <v>18</v>
      </c>
      <c r="O756" s="2" t="s">
        <v>19</v>
      </c>
      <c r="P756" s="2">
        <v>60000000</v>
      </c>
      <c r="Q756" s="2">
        <v>6.9</v>
      </c>
      <c r="R756" s="2" t="s">
        <v>1775</v>
      </c>
      <c r="S756" s="2"/>
      <c r="U756" s="2" t="s">
        <v>1776</v>
      </c>
      <c r="V756">
        <f ca="1" t="shared" si="21"/>
        <v>7.16666666666667</v>
      </c>
      <c r="AC756" s="2"/>
      <c r="AD756" t="str">
        <f>IFERROR(__xludf.DUMMYFUNCTION("""COMPUTED_VALUE"""),"This Means War ")</f>
        <v>This Means War </v>
      </c>
      <c r="AE756">
        <f t="shared" si="22"/>
        <v>54758358</v>
      </c>
    </row>
    <row r="757" customHeight="1" spans="1:31">
      <c r="A757" s="2" t="s">
        <v>1132</v>
      </c>
      <c r="B757" s="2">
        <v>91</v>
      </c>
      <c r="C757" s="2">
        <v>14218868</v>
      </c>
      <c r="D757" s="2" t="s">
        <v>1764</v>
      </c>
      <c r="E757" s="2" t="s">
        <v>72</v>
      </c>
      <c r="F757" t="s">
        <v>40</v>
      </c>
      <c r="G757" t="s">
        <v>30</v>
      </c>
      <c r="H757" t="s">
        <v>39</v>
      </c>
      <c r="N757" s="2" t="s">
        <v>18</v>
      </c>
      <c r="O757" s="2" t="s">
        <v>19</v>
      </c>
      <c r="P757" s="2">
        <v>65000000</v>
      </c>
      <c r="Q757" s="2">
        <v>4.8</v>
      </c>
      <c r="R757" s="2" t="s">
        <v>1777</v>
      </c>
      <c r="S757" s="2"/>
      <c r="U757" s="2" t="s">
        <v>1778</v>
      </c>
      <c r="V757">
        <f ca="1" t="shared" si="21"/>
        <v>6.9</v>
      </c>
      <c r="AC757" s="2"/>
      <c r="AD757" t="str">
        <f>IFERROR(__xludf.DUMMYFUNCTION("""COMPUTED_VALUE"""),"Blade: Trinity ")</f>
        <v>Blade: Trinity </v>
      </c>
      <c r="AE757">
        <f t="shared" si="22"/>
        <v>52397267</v>
      </c>
    </row>
    <row r="758" customHeight="1" spans="1:31">
      <c r="A758" s="2" t="s">
        <v>1134</v>
      </c>
      <c r="B758" s="2">
        <v>118</v>
      </c>
      <c r="C758" s="2">
        <v>22451</v>
      </c>
      <c r="D758" s="2" t="s">
        <v>1779</v>
      </c>
      <c r="E758" s="2" t="s">
        <v>30</v>
      </c>
      <c r="F758" t="s">
        <v>14</v>
      </c>
      <c r="G758" t="s">
        <v>28</v>
      </c>
      <c r="H758" t="s">
        <v>28</v>
      </c>
      <c r="N758" s="2" t="s">
        <v>18</v>
      </c>
      <c r="O758" s="2" t="s">
        <v>19</v>
      </c>
      <c r="P758" s="2">
        <v>60000000</v>
      </c>
      <c r="Q758" s="2">
        <v>6.2</v>
      </c>
      <c r="R758" s="2" t="s">
        <v>1780</v>
      </c>
      <c r="S758" s="2"/>
      <c r="U758" s="2" t="s">
        <v>1781</v>
      </c>
      <c r="V758">
        <f ca="1" t="shared" si="21"/>
        <v>8.1</v>
      </c>
      <c r="AC758" s="2"/>
      <c r="AD758" t="str">
        <f>IFERROR(__xludf.DUMMYFUNCTION("""COMPUTED_VALUE"""),"Primary Colors ")</f>
        <v>Primary Colors </v>
      </c>
      <c r="AE758">
        <f t="shared" si="22"/>
        <v>38965914</v>
      </c>
    </row>
    <row r="759" customHeight="1" spans="1:31">
      <c r="A759" s="2" t="s">
        <v>1137</v>
      </c>
      <c r="B759" s="2">
        <v>130</v>
      </c>
      <c r="C759" s="2">
        <v>31165421</v>
      </c>
      <c r="D759" s="2" t="s">
        <v>1782</v>
      </c>
      <c r="E759" s="2" t="s">
        <v>14</v>
      </c>
      <c r="F759" t="s">
        <v>23</v>
      </c>
      <c r="G759" t="s">
        <v>15</v>
      </c>
      <c r="H759" t="s">
        <v>24</v>
      </c>
      <c r="N759" s="2" t="s">
        <v>18</v>
      </c>
      <c r="O759" s="2" t="s">
        <v>19</v>
      </c>
      <c r="P759" s="2">
        <v>60000000</v>
      </c>
      <c r="Q759" s="2">
        <v>6</v>
      </c>
      <c r="R759" s="2" t="s">
        <v>1783</v>
      </c>
      <c r="S759" s="2"/>
      <c r="U759" s="2" t="s">
        <v>1784</v>
      </c>
      <c r="V759">
        <f ca="1" t="shared" ref="V759:V822" si="23">AVERAGEIF(A643:A4428,U759,Q644:Q4428)</f>
        <v>6.5</v>
      </c>
      <c r="AC759" s="2"/>
      <c r="AD759" t="str">
        <f>IFERROR(__xludf.DUMMYFUNCTION("""COMPUTED_VALUE"""),"Resident Evil: Retribution ")</f>
        <v>Resident Evil: Retribution </v>
      </c>
      <c r="AE759">
        <f t="shared" ref="AE759:AE822" si="24">C643-B643</f>
        <v>42345435</v>
      </c>
    </row>
    <row r="760" customHeight="1" spans="1:31">
      <c r="A760" s="2" t="s">
        <v>1070</v>
      </c>
      <c r="B760" s="2">
        <v>90</v>
      </c>
      <c r="C760" s="2">
        <v>11802056</v>
      </c>
      <c r="D760" s="2" t="s">
        <v>1785</v>
      </c>
      <c r="E760" s="2" t="s">
        <v>13</v>
      </c>
      <c r="F760" t="s">
        <v>13</v>
      </c>
      <c r="G760" t="s">
        <v>17</v>
      </c>
      <c r="H760" t="s">
        <v>17</v>
      </c>
      <c r="N760" s="2" t="s">
        <v>18</v>
      </c>
      <c r="O760" s="2" t="s">
        <v>19</v>
      </c>
      <c r="P760" s="2">
        <v>60000000</v>
      </c>
      <c r="Q760" s="2">
        <v>4.9</v>
      </c>
      <c r="R760" s="2" t="s">
        <v>1786</v>
      </c>
      <c r="S760" s="2"/>
      <c r="U760" s="2" t="s">
        <v>1787</v>
      </c>
      <c r="V760">
        <f ca="1" t="shared" si="23"/>
        <v>7.4</v>
      </c>
      <c r="AC760" s="2"/>
      <c r="AD760" t="str">
        <f>IFERROR(__xludf.DUMMYFUNCTION("""COMPUTED_VALUE"""),"Death Race ")</f>
        <v>Death Race </v>
      </c>
      <c r="AE760">
        <f t="shared" si="24"/>
        <v>36064799</v>
      </c>
    </row>
    <row r="761" customHeight="1" spans="1:31">
      <c r="A761" s="2" t="s">
        <v>1139</v>
      </c>
      <c r="B761" s="2">
        <v>103</v>
      </c>
      <c r="C761" s="2">
        <v>25472967</v>
      </c>
      <c r="D761" s="2" t="s">
        <v>1788</v>
      </c>
      <c r="E761" s="2" t="s">
        <v>30</v>
      </c>
      <c r="F761" t="s">
        <v>30</v>
      </c>
      <c r="G761" t="s">
        <v>23</v>
      </c>
      <c r="H761" t="s">
        <v>16</v>
      </c>
      <c r="N761" s="2" t="s">
        <v>18</v>
      </c>
      <c r="O761" s="2" t="s">
        <v>19</v>
      </c>
      <c r="P761" s="2">
        <v>30000000</v>
      </c>
      <c r="Q761" s="2">
        <v>5.6</v>
      </c>
      <c r="R761" s="2" t="s">
        <v>1789</v>
      </c>
      <c r="S761" s="2"/>
      <c r="U761" s="2" t="s">
        <v>1790</v>
      </c>
      <c r="V761">
        <f ca="1" t="shared" si="23"/>
        <v>8</v>
      </c>
      <c r="AC761" s="2"/>
      <c r="AD761" t="str">
        <f>IFERROR(__xludf.DUMMYFUNCTION("""COMPUTED_VALUE"""),"The Long Kiss Goodnight ")</f>
        <v>The Long Kiss Goodnight </v>
      </c>
      <c r="AE761">
        <f t="shared" si="24"/>
        <v>33327930</v>
      </c>
    </row>
    <row r="762" customHeight="1" spans="1:31">
      <c r="A762" s="2" t="s">
        <v>327</v>
      </c>
      <c r="B762" s="2">
        <v>122</v>
      </c>
      <c r="C762" s="2">
        <v>22362500</v>
      </c>
      <c r="D762" s="2" t="s">
        <v>975</v>
      </c>
      <c r="E762" s="2" t="s">
        <v>40</v>
      </c>
      <c r="F762" t="s">
        <v>30</v>
      </c>
      <c r="G762" t="s">
        <v>39</v>
      </c>
      <c r="H762" t="s">
        <v>24</v>
      </c>
      <c r="N762" s="2" t="s">
        <v>18</v>
      </c>
      <c r="O762" s="2" t="s">
        <v>19</v>
      </c>
      <c r="P762" s="2">
        <v>55000000</v>
      </c>
      <c r="Q762" s="2">
        <v>6.1</v>
      </c>
      <c r="R762" s="2" t="s">
        <v>1791</v>
      </c>
      <c r="S762" s="2"/>
      <c r="U762" s="2" t="s">
        <v>1792</v>
      </c>
      <c r="V762">
        <f ca="1" t="shared" si="23"/>
        <v>6.6</v>
      </c>
      <c r="AC762" s="2"/>
      <c r="AD762" t="str">
        <f>IFERROR(__xludf.DUMMYFUNCTION("""COMPUTED_VALUE"""),"Proof of Life ")</f>
        <v>Proof of Life </v>
      </c>
      <c r="AE762">
        <f t="shared" si="24"/>
        <v>32598796</v>
      </c>
    </row>
    <row r="763" customHeight="1" spans="1:31">
      <c r="A763" s="2" t="s">
        <v>1142</v>
      </c>
      <c r="B763" s="2">
        <v>106</v>
      </c>
      <c r="C763" s="2">
        <v>17281832</v>
      </c>
      <c r="D763" s="2" t="s">
        <v>99</v>
      </c>
      <c r="E763" s="2" t="s">
        <v>13</v>
      </c>
      <c r="F763" t="s">
        <v>13</v>
      </c>
      <c r="G763" t="s">
        <v>24</v>
      </c>
      <c r="H763" t="s">
        <v>17</v>
      </c>
      <c r="N763" s="2" t="s">
        <v>18</v>
      </c>
      <c r="O763" s="2" t="s">
        <v>293</v>
      </c>
      <c r="P763" s="2">
        <v>60000000</v>
      </c>
      <c r="Q763" s="2">
        <v>6.1</v>
      </c>
      <c r="R763" s="2" t="s">
        <v>1793</v>
      </c>
      <c r="S763" s="2"/>
      <c r="U763" s="2" t="s">
        <v>1794</v>
      </c>
      <c r="V763">
        <f ca="1" t="shared" si="23"/>
        <v>6.72</v>
      </c>
      <c r="AC763" s="2"/>
      <c r="AD763" t="str">
        <f>IFERROR(__xludf.DUMMYFUNCTION("""COMPUTED_VALUE"""),"Zathura: A Space Adventure ")</f>
        <v>Zathura: A Space Adventure </v>
      </c>
      <c r="AE763">
        <f t="shared" si="24"/>
        <v>28045439</v>
      </c>
    </row>
    <row r="764" customHeight="1" spans="1:31">
      <c r="A764" s="2" t="s">
        <v>1021</v>
      </c>
      <c r="B764" s="2">
        <v>103</v>
      </c>
      <c r="C764" s="2">
        <v>19781879</v>
      </c>
      <c r="D764" s="2" t="s">
        <v>1177</v>
      </c>
      <c r="E764" s="2" t="s">
        <v>12</v>
      </c>
      <c r="F764" t="s">
        <v>13</v>
      </c>
      <c r="G764" t="s">
        <v>24</v>
      </c>
      <c r="H764" t="s">
        <v>55</v>
      </c>
      <c r="N764" s="2" t="s">
        <v>18</v>
      </c>
      <c r="O764" s="2" t="s">
        <v>19</v>
      </c>
      <c r="P764" s="2">
        <v>60000000</v>
      </c>
      <c r="Q764" s="2">
        <v>4.8</v>
      </c>
      <c r="R764" s="2" t="s">
        <v>1795</v>
      </c>
      <c r="S764" s="2"/>
      <c r="U764" s="2" t="s">
        <v>1796</v>
      </c>
      <c r="V764">
        <f ca="1" t="shared" si="23"/>
        <v>6.7</v>
      </c>
      <c r="AC764" s="2"/>
      <c r="AD764" t="str">
        <f>IFERROR(__xludf.DUMMYFUNCTION("""COMPUTED_VALUE"""),"Fight Club ")</f>
        <v>Fight Club </v>
      </c>
      <c r="AE764">
        <f t="shared" si="24"/>
        <v>37023244</v>
      </c>
    </row>
    <row r="765" customHeight="1" spans="1:31">
      <c r="A765" s="2" t="s">
        <v>1144</v>
      </c>
      <c r="B765" s="2">
        <v>107</v>
      </c>
      <c r="C765" s="2">
        <v>7605668</v>
      </c>
      <c r="D765" s="2" t="s">
        <v>1797</v>
      </c>
      <c r="E765" s="2" t="s">
        <v>12</v>
      </c>
      <c r="F765" t="s">
        <v>28</v>
      </c>
      <c r="G765" t="s">
        <v>23</v>
      </c>
      <c r="H765" t="s">
        <v>14</v>
      </c>
      <c r="N765" s="2" t="s">
        <v>18</v>
      </c>
      <c r="O765" s="2" t="s">
        <v>31</v>
      </c>
      <c r="P765" s="2">
        <v>60000000</v>
      </c>
      <c r="Q765" s="2">
        <v>5.5</v>
      </c>
      <c r="R765" s="2" t="s">
        <v>1798</v>
      </c>
      <c r="S765" s="2"/>
      <c r="U765" s="2" t="s">
        <v>1799</v>
      </c>
      <c r="V765">
        <f ca="1" t="shared" si="23"/>
        <v>5.46666666666667</v>
      </c>
      <c r="AC765" s="2"/>
      <c r="AD765" t="str">
        <f>IFERROR(__xludf.DUMMYFUNCTION("""COMPUTED_VALUE"""),"We Are Marshall ")</f>
        <v>We Are Marshall </v>
      </c>
      <c r="AE765">
        <f t="shared" si="24"/>
        <v>43532163</v>
      </c>
    </row>
    <row r="766" customHeight="1" spans="1:31">
      <c r="A766" s="2" t="s">
        <v>1146</v>
      </c>
      <c r="B766" s="2">
        <v>156</v>
      </c>
      <c r="C766" s="2">
        <v>4535117</v>
      </c>
      <c r="D766" s="2" t="s">
        <v>715</v>
      </c>
      <c r="E766" s="2" t="s">
        <v>12</v>
      </c>
      <c r="F766" t="s">
        <v>13</v>
      </c>
      <c r="G766" t="s">
        <v>24</v>
      </c>
      <c r="H766" t="s">
        <v>29</v>
      </c>
      <c r="N766" s="2" t="s">
        <v>18</v>
      </c>
      <c r="O766" s="2" t="s">
        <v>293</v>
      </c>
      <c r="P766" s="2">
        <v>60000000</v>
      </c>
      <c r="Q766" s="2">
        <v>3.8</v>
      </c>
      <c r="R766" s="2" t="s">
        <v>1800</v>
      </c>
      <c r="S766" s="2"/>
      <c r="U766" s="2" t="s">
        <v>1801</v>
      </c>
      <c r="V766">
        <f ca="1" t="shared" si="23"/>
        <v>6.45</v>
      </c>
      <c r="AC766" s="2"/>
      <c r="AD766" t="str">
        <f>IFERROR(__xludf.DUMMYFUNCTION("""COMPUTED_VALUE"""),"Hudson Hawk ")</f>
        <v>Hudson Hawk </v>
      </c>
      <c r="AE766">
        <f t="shared" si="24"/>
        <v>17217980</v>
      </c>
    </row>
    <row r="767" customHeight="1" spans="1:31">
      <c r="A767" s="2" t="s">
        <v>143</v>
      </c>
      <c r="B767" s="2">
        <v>127</v>
      </c>
      <c r="C767" s="2">
        <v>4426297</v>
      </c>
      <c r="D767" s="2" t="s">
        <v>456</v>
      </c>
      <c r="E767" s="2" t="s">
        <v>13</v>
      </c>
      <c r="F767" t="s">
        <v>40</v>
      </c>
      <c r="G767" t="s">
        <v>40</v>
      </c>
      <c r="H767" t="s">
        <v>17</v>
      </c>
      <c r="N767" s="2" t="s">
        <v>18</v>
      </c>
      <c r="O767" s="2" t="s">
        <v>19</v>
      </c>
      <c r="P767" s="2">
        <v>35000000</v>
      </c>
      <c r="Q767" s="2">
        <v>6.5</v>
      </c>
      <c r="R767" s="2" t="s">
        <v>1802</v>
      </c>
      <c r="S767" s="2"/>
      <c r="U767" s="2" t="s">
        <v>1803</v>
      </c>
      <c r="V767">
        <f ca="1" t="shared" si="23"/>
        <v>5.95</v>
      </c>
      <c r="AC767" s="2"/>
      <c r="AD767" t="str">
        <f>IFERROR(__xludf.DUMMYFUNCTION("""COMPUTED_VALUE"""),"Lucky Numbers ")</f>
        <v>Lucky Numbers </v>
      </c>
      <c r="AE767">
        <f t="shared" si="24"/>
        <v>10014129</v>
      </c>
    </row>
    <row r="768" customHeight="1" spans="1:31">
      <c r="A768" s="2" t="s">
        <v>1148</v>
      </c>
      <c r="B768" s="2">
        <v>132</v>
      </c>
      <c r="C768" s="2">
        <v>10166502</v>
      </c>
      <c r="D768" s="2" t="s">
        <v>536</v>
      </c>
      <c r="E768" s="2" t="s">
        <v>12</v>
      </c>
      <c r="F768" t="s">
        <v>14</v>
      </c>
      <c r="G768" t="s">
        <v>40</v>
      </c>
      <c r="H768" t="s">
        <v>24</v>
      </c>
      <c r="N768" s="2" t="s">
        <v>1804</v>
      </c>
      <c r="O768" s="2" t="s">
        <v>19</v>
      </c>
      <c r="P768" s="2">
        <v>80000000</v>
      </c>
      <c r="Q768" s="2">
        <v>6.7</v>
      </c>
      <c r="R768" s="2" t="s">
        <v>1805</v>
      </c>
      <c r="S768" s="2"/>
      <c r="U768" s="2" t="s">
        <v>1806</v>
      </c>
      <c r="V768">
        <f ca="1" t="shared" si="23"/>
        <v>5.9</v>
      </c>
      <c r="AC768" s="2"/>
      <c r="AD768" t="str">
        <f>IFERROR(__xludf.DUMMYFUNCTION("""COMPUTED_VALUE"""),"I, Frankenstein ")</f>
        <v>I, Frankenstein </v>
      </c>
      <c r="AE768">
        <f t="shared" si="24"/>
        <v>19058926</v>
      </c>
    </row>
    <row r="769" customHeight="1" spans="1:31">
      <c r="A769" s="2" t="s">
        <v>1150</v>
      </c>
      <c r="B769" s="2">
        <v>108</v>
      </c>
      <c r="C769" s="2">
        <v>363024263</v>
      </c>
      <c r="D769" s="2" t="s">
        <v>1807</v>
      </c>
      <c r="E769" s="2" t="s">
        <v>12</v>
      </c>
      <c r="F769" t="s">
        <v>83</v>
      </c>
      <c r="G769" t="s">
        <v>23</v>
      </c>
      <c r="H769" t="s">
        <v>30</v>
      </c>
      <c r="N769" s="2" t="s">
        <v>18</v>
      </c>
      <c r="O769" s="2" t="s">
        <v>19</v>
      </c>
      <c r="P769" s="2">
        <v>58000000</v>
      </c>
      <c r="Q769" s="2">
        <v>8.1</v>
      </c>
      <c r="R769" s="2" t="s">
        <v>1808</v>
      </c>
      <c r="S769" s="2"/>
      <c r="U769" s="2" t="s">
        <v>1809</v>
      </c>
      <c r="V769">
        <f ca="1" t="shared" si="23"/>
        <v>5.4</v>
      </c>
      <c r="AC769" s="2"/>
      <c r="AD769" t="str">
        <f>IFERROR(__xludf.DUMMYFUNCTION("""COMPUTED_VALUE"""),"Oliver Twist ")</f>
        <v>Oliver Twist </v>
      </c>
      <c r="AE769">
        <f t="shared" si="24"/>
        <v>1987157</v>
      </c>
    </row>
    <row r="770" customHeight="1" spans="1:31">
      <c r="A770" s="2" t="s">
        <v>1153</v>
      </c>
      <c r="B770" s="2">
        <v>114</v>
      </c>
      <c r="C770" s="2">
        <v>12065985</v>
      </c>
      <c r="D770" s="2" t="s">
        <v>975</v>
      </c>
      <c r="E770" s="2" t="s">
        <v>40</v>
      </c>
      <c r="F770" t="s">
        <v>40</v>
      </c>
      <c r="G770" t="s">
        <v>28</v>
      </c>
      <c r="H770" t="s">
        <v>24</v>
      </c>
      <c r="N770" s="2" t="s">
        <v>18</v>
      </c>
      <c r="O770" s="2" t="s">
        <v>19</v>
      </c>
      <c r="P770" s="2">
        <v>60000000</v>
      </c>
      <c r="Q770" s="2">
        <v>4.9</v>
      </c>
      <c r="R770" s="2" t="s">
        <v>1810</v>
      </c>
      <c r="S770" s="2"/>
      <c r="U770" s="2" t="s">
        <v>1811</v>
      </c>
      <c r="V770">
        <f ca="1" t="shared" si="23"/>
        <v>7.025</v>
      </c>
      <c r="AC770" s="2"/>
      <c r="AD770" t="str">
        <f>IFERROR(__xludf.DUMMYFUNCTION("""COMPUTED_VALUE"""),"Elektra ")</f>
        <v>Elektra </v>
      </c>
      <c r="AE770">
        <f t="shared" si="24"/>
        <v>24407844</v>
      </c>
    </row>
    <row r="771" customHeight="1" spans="1:31">
      <c r="A771" s="2" t="s">
        <v>1000</v>
      </c>
      <c r="B771" s="2">
        <v>133</v>
      </c>
      <c r="C771" s="2">
        <v>350123553</v>
      </c>
      <c r="D771" s="2" t="s">
        <v>1812</v>
      </c>
      <c r="E771" s="2" t="s">
        <v>12</v>
      </c>
      <c r="F771" t="s">
        <v>56</v>
      </c>
      <c r="G771" t="s">
        <v>72</v>
      </c>
      <c r="H771" t="s">
        <v>72</v>
      </c>
      <c r="N771" s="2" t="s">
        <v>18</v>
      </c>
      <c r="O771" s="2" t="s">
        <v>19</v>
      </c>
      <c r="P771" s="2">
        <v>58800000</v>
      </c>
      <c r="Q771" s="2">
        <v>7.3</v>
      </c>
      <c r="R771" s="2" t="s">
        <v>1813</v>
      </c>
      <c r="S771" s="2"/>
      <c r="U771" s="2" t="s">
        <v>1814</v>
      </c>
      <c r="V771">
        <f ca="1" t="shared" si="23"/>
        <v>6.08421052631579</v>
      </c>
      <c r="AC771" s="2"/>
      <c r="AD771" t="str">
        <f>IFERROR(__xludf.DUMMYFUNCTION("""COMPUTED_VALUE"""),"Sin City: A Dame to Kill For ")</f>
        <v>Sin City: A Dame to Kill For </v>
      </c>
      <c r="AE771">
        <f t="shared" si="24"/>
        <v>13750454</v>
      </c>
    </row>
    <row r="772" customHeight="1" spans="1:31">
      <c r="A772" s="2" t="s">
        <v>191</v>
      </c>
      <c r="B772" s="2">
        <v>103</v>
      </c>
      <c r="C772" s="2">
        <v>80021740</v>
      </c>
      <c r="D772" s="2" t="s">
        <v>1815</v>
      </c>
      <c r="E772" s="2" t="s">
        <v>13</v>
      </c>
      <c r="F772" t="s">
        <v>30</v>
      </c>
      <c r="G772" t="s">
        <v>15</v>
      </c>
      <c r="H772" t="s">
        <v>24</v>
      </c>
      <c r="N772" s="2" t="s">
        <v>18</v>
      </c>
      <c r="O772" s="2" t="s">
        <v>19</v>
      </c>
      <c r="P772" s="2">
        <v>58000000</v>
      </c>
      <c r="Q772" s="2">
        <v>6.4</v>
      </c>
      <c r="R772" s="2" t="s">
        <v>1816</v>
      </c>
      <c r="S772" s="2"/>
      <c r="U772" s="2" t="s">
        <v>1817</v>
      </c>
      <c r="V772">
        <f ca="1" t="shared" si="23"/>
        <v>7.6</v>
      </c>
      <c r="AC772" s="2"/>
      <c r="AD772" t="str">
        <f>IFERROR(__xludf.DUMMYFUNCTION("""COMPUTED_VALUE"""),"Random Hearts ")</f>
        <v>Random Hearts </v>
      </c>
      <c r="AE772">
        <f t="shared" si="24"/>
        <v>31054791</v>
      </c>
    </row>
    <row r="773" customHeight="1" spans="1:31">
      <c r="A773" s="2" t="s">
        <v>699</v>
      </c>
      <c r="B773" s="2">
        <v>95</v>
      </c>
      <c r="C773" s="2">
        <v>48291624</v>
      </c>
      <c r="D773" s="2" t="s">
        <v>1456</v>
      </c>
      <c r="E773" s="2" t="s">
        <v>40</v>
      </c>
      <c r="F773" t="s">
        <v>40</v>
      </c>
      <c r="G773" t="s">
        <v>24</v>
      </c>
      <c r="H773" t="s">
        <v>17</v>
      </c>
      <c r="N773" s="2" t="s">
        <v>18</v>
      </c>
      <c r="O773" s="2" t="s">
        <v>19</v>
      </c>
      <c r="P773" s="2">
        <v>58000000</v>
      </c>
      <c r="Q773" s="2">
        <v>6.7</v>
      </c>
      <c r="R773" s="2" t="s">
        <v>1818</v>
      </c>
      <c r="S773" s="2"/>
      <c r="U773" s="2" t="s">
        <v>1819</v>
      </c>
      <c r="V773">
        <f ca="1" t="shared" si="23"/>
        <v>6.1</v>
      </c>
      <c r="AC773" s="2"/>
      <c r="AD773" t="str">
        <f>IFERROR(__xludf.DUMMYFUNCTION("""COMPUTED_VALUE"""),"Everest ")</f>
        <v>Everest </v>
      </c>
      <c r="AE773">
        <f t="shared" si="24"/>
        <v>43247019</v>
      </c>
    </row>
    <row r="774" customHeight="1" spans="1:31">
      <c r="A774" s="2" t="s">
        <v>1073</v>
      </c>
      <c r="B774" s="2">
        <v>90</v>
      </c>
      <c r="C774" s="2">
        <v>35231365</v>
      </c>
      <c r="D774" s="2" t="s">
        <v>1820</v>
      </c>
      <c r="E774" s="2" t="s">
        <v>40</v>
      </c>
      <c r="F774" t="s">
        <v>35</v>
      </c>
      <c r="G774" t="s">
        <v>40</v>
      </c>
      <c r="H774" t="s">
        <v>39</v>
      </c>
      <c r="N774" s="2" t="s">
        <v>18</v>
      </c>
      <c r="O774" s="2" t="s">
        <v>19</v>
      </c>
      <c r="P774" s="2">
        <v>60000000</v>
      </c>
      <c r="Q774" s="2">
        <v>3.6</v>
      </c>
      <c r="R774" s="2" t="s">
        <v>1821</v>
      </c>
      <c r="S774" s="2"/>
      <c r="U774" s="2" t="s">
        <v>1822</v>
      </c>
      <c r="V774">
        <f ca="1" t="shared" si="23"/>
        <v>5.1</v>
      </c>
      <c r="AC774" s="2"/>
      <c r="AD774" t="str">
        <f>IFERROR(__xludf.DUMMYFUNCTION("""COMPUTED_VALUE"""),"Perfume: The Story of a Murderer ")</f>
        <v>Perfume: The Story of a Murderer </v>
      </c>
      <c r="AE774">
        <f t="shared" si="24"/>
        <v>2208792</v>
      </c>
    </row>
    <row r="775" customHeight="1" spans="1:31">
      <c r="A775" s="2" t="s">
        <v>1156</v>
      </c>
      <c r="B775" s="2">
        <v>87</v>
      </c>
      <c r="C775" s="2">
        <v>53715611</v>
      </c>
      <c r="D775" s="2" t="s">
        <v>1823</v>
      </c>
      <c r="E775" s="2" t="s">
        <v>12</v>
      </c>
      <c r="F775" t="s">
        <v>13</v>
      </c>
      <c r="G775" t="s">
        <v>30</v>
      </c>
      <c r="H775" t="s">
        <v>24</v>
      </c>
      <c r="N775" s="2" t="s">
        <v>18</v>
      </c>
      <c r="O775" s="2" t="s">
        <v>19</v>
      </c>
      <c r="P775" s="2">
        <v>63000000</v>
      </c>
      <c r="Q775" s="2">
        <v>5.7</v>
      </c>
      <c r="R775" s="2" t="s">
        <v>1824</v>
      </c>
      <c r="S775" s="2"/>
      <c r="U775" s="2" t="s">
        <v>1825</v>
      </c>
      <c r="V775">
        <f ca="1" t="shared" si="23"/>
        <v>7.1</v>
      </c>
      <c r="AC775" s="2"/>
      <c r="AD775" t="str">
        <f>IFERROR(__xludf.DUMMYFUNCTION("""COMPUTED_VALUE"""),"Austin Powers in Goldmember ")</f>
        <v>Austin Powers in Goldmember </v>
      </c>
      <c r="AE775">
        <f t="shared" si="24"/>
        <v>213079069</v>
      </c>
    </row>
    <row r="776" customHeight="1" spans="1:31">
      <c r="A776" s="2" t="s">
        <v>936</v>
      </c>
      <c r="B776" s="2">
        <v>114</v>
      </c>
      <c r="C776" s="2">
        <v>31199215</v>
      </c>
      <c r="D776" s="2" t="s">
        <v>1826</v>
      </c>
      <c r="E776" s="2" t="s">
        <v>40</v>
      </c>
      <c r="F776" t="s">
        <v>17</v>
      </c>
      <c r="G776" t="s">
        <v>29</v>
      </c>
      <c r="H776" t="s">
        <v>14</v>
      </c>
      <c r="N776" s="2" t="s">
        <v>18</v>
      </c>
      <c r="O776" s="2" t="s">
        <v>19</v>
      </c>
      <c r="P776" s="2">
        <v>58000000</v>
      </c>
      <c r="Q776" s="2">
        <v>6</v>
      </c>
      <c r="R776" s="2" t="s">
        <v>1827</v>
      </c>
      <c r="S776" s="2"/>
      <c r="U776" s="2" t="s">
        <v>1828</v>
      </c>
      <c r="V776">
        <f ca="1" t="shared" si="23"/>
        <v>7.6</v>
      </c>
      <c r="AC776" s="2"/>
      <c r="AD776" t="str">
        <f>IFERROR(__xludf.DUMMYFUNCTION("""COMPUTED_VALUE"""),"Astro Boy ")</f>
        <v>Astro Boy </v>
      </c>
      <c r="AE776">
        <f t="shared" si="24"/>
        <v>19547970</v>
      </c>
    </row>
    <row r="777" customHeight="1" spans="1:31">
      <c r="A777" s="2" t="s">
        <v>1050</v>
      </c>
      <c r="B777" s="2">
        <v>103</v>
      </c>
      <c r="C777" s="2">
        <v>29580087</v>
      </c>
      <c r="D777" s="2" t="s">
        <v>521</v>
      </c>
      <c r="E777" s="2" t="s">
        <v>40</v>
      </c>
      <c r="F777" t="s">
        <v>17</v>
      </c>
      <c r="G777" t="s">
        <v>24</v>
      </c>
      <c r="H777" t="s">
        <v>83</v>
      </c>
      <c r="N777" s="2" t="s">
        <v>18</v>
      </c>
      <c r="O777" s="2" t="s">
        <v>19</v>
      </c>
      <c r="P777" s="2">
        <v>58000000</v>
      </c>
      <c r="Q777" s="2">
        <v>4.7</v>
      </c>
      <c r="R777" s="2" t="s">
        <v>1829</v>
      </c>
      <c r="S777" s="2"/>
      <c r="U777" s="2" t="s">
        <v>1830</v>
      </c>
      <c r="V777">
        <f ca="1" t="shared" si="23"/>
        <v>6.2</v>
      </c>
      <c r="AC777" s="2"/>
      <c r="AD777" t="str">
        <f>IFERROR(__xludf.DUMMYFUNCTION("""COMPUTED_VALUE"""),"Jurassic Park ")</f>
        <v>Jurassic Park </v>
      </c>
      <c r="AE777">
        <f t="shared" si="24"/>
        <v>356783873</v>
      </c>
    </row>
    <row r="778" customHeight="1" spans="1:31">
      <c r="A778" s="2" t="s">
        <v>315</v>
      </c>
      <c r="B778" s="2">
        <v>125</v>
      </c>
      <c r="C778" s="2">
        <v>44665963</v>
      </c>
      <c r="D778" s="2" t="s">
        <v>40</v>
      </c>
      <c r="E778" s="2" t="s">
        <v>40</v>
      </c>
      <c r="F778" t="s">
        <v>13</v>
      </c>
      <c r="G778" t="s">
        <v>28</v>
      </c>
      <c r="H778" t="s">
        <v>16</v>
      </c>
      <c r="N778" s="2" t="s">
        <v>18</v>
      </c>
      <c r="O778" s="2" t="s">
        <v>19</v>
      </c>
      <c r="P778" s="2">
        <v>58000000</v>
      </c>
      <c r="Q778" s="2">
        <v>6.3</v>
      </c>
      <c r="R778" s="2" t="s">
        <v>1831</v>
      </c>
      <c r="S778" s="2"/>
      <c r="U778" s="2" t="s">
        <v>1832</v>
      </c>
      <c r="V778">
        <f ca="1" t="shared" si="23"/>
        <v>2.7</v>
      </c>
      <c r="AC778" s="2"/>
      <c r="AD778" t="str">
        <f>IFERROR(__xludf.DUMMYFUNCTION("""COMPUTED_VALUE"""),"Wyatt Earp ")</f>
        <v>Wyatt Earp </v>
      </c>
      <c r="AE778">
        <f t="shared" si="24"/>
        <v>25051788</v>
      </c>
    </row>
    <row r="779" customHeight="1" spans="1:31">
      <c r="A779" s="2" t="s">
        <v>750</v>
      </c>
      <c r="B779" s="2">
        <v>97</v>
      </c>
      <c r="C779" s="2">
        <v>60128566</v>
      </c>
      <c r="D779" s="2" t="s">
        <v>1378</v>
      </c>
      <c r="E779" s="2" t="s">
        <v>12</v>
      </c>
      <c r="F779" t="s">
        <v>17</v>
      </c>
      <c r="G779" t="s">
        <v>30</v>
      </c>
      <c r="H779" t="s">
        <v>40</v>
      </c>
      <c r="N779" s="2" t="s">
        <v>18</v>
      </c>
      <c r="O779" s="2" t="s">
        <v>293</v>
      </c>
      <c r="P779" s="2">
        <v>60000000</v>
      </c>
      <c r="Q779" s="2">
        <v>5.9</v>
      </c>
      <c r="R779" s="2" t="s">
        <v>1833</v>
      </c>
      <c r="S779" s="2"/>
      <c r="U779" s="2" t="s">
        <v>1834</v>
      </c>
      <c r="V779">
        <f ca="1" t="shared" si="23"/>
        <v>7.225</v>
      </c>
      <c r="AC779" s="2"/>
      <c r="AD779" t="str">
        <f>IFERROR(__xludf.DUMMYFUNCTION("""COMPUTED_VALUE"""),"Clear and Present Danger ")</f>
        <v>Clear and Present Danger </v>
      </c>
      <c r="AE779">
        <f t="shared" si="24"/>
        <v>122012569</v>
      </c>
    </row>
    <row r="780" customHeight="1" spans="1:31">
      <c r="A780" s="2" t="s">
        <v>1158</v>
      </c>
      <c r="B780" s="2">
        <v>125</v>
      </c>
      <c r="C780" s="2">
        <v>49875589</v>
      </c>
      <c r="D780" s="2" t="s">
        <v>414</v>
      </c>
      <c r="E780" s="2" t="s">
        <v>12</v>
      </c>
      <c r="F780" t="s">
        <v>30</v>
      </c>
      <c r="G780" t="s">
        <v>56</v>
      </c>
      <c r="H780" t="s">
        <v>24</v>
      </c>
      <c r="N780" s="2" t="s">
        <v>18</v>
      </c>
      <c r="O780" s="2" t="s">
        <v>19</v>
      </c>
      <c r="P780" s="2">
        <v>58000000</v>
      </c>
      <c r="Q780" s="2">
        <v>5.9</v>
      </c>
      <c r="R780" s="2" t="s">
        <v>1835</v>
      </c>
      <c r="S780" s="2"/>
      <c r="U780" s="2" t="s">
        <v>1836</v>
      </c>
      <c r="V780">
        <f ca="1" t="shared" si="23"/>
        <v>6.9</v>
      </c>
      <c r="AC780" s="2"/>
      <c r="AD780" t="str">
        <f>IFERROR(__xludf.DUMMYFUNCTION("""COMPUTED_VALUE"""),"Dragon Blade ")</f>
        <v>Dragon Blade </v>
      </c>
      <c r="AE780">
        <f t="shared" si="24"/>
        <v>72310</v>
      </c>
    </row>
    <row r="781" customHeight="1" spans="1:31">
      <c r="A781" s="2" t="s">
        <v>1012</v>
      </c>
      <c r="B781" s="2">
        <v>136</v>
      </c>
      <c r="C781" s="2">
        <v>60984028</v>
      </c>
      <c r="D781" s="2" t="s">
        <v>712</v>
      </c>
      <c r="E781" s="2" t="s">
        <v>30</v>
      </c>
      <c r="F781" t="s">
        <v>56</v>
      </c>
      <c r="G781" t="s">
        <v>72</v>
      </c>
      <c r="H781" t="s">
        <v>14</v>
      </c>
      <c r="N781" s="2" t="s">
        <v>18</v>
      </c>
      <c r="O781" s="2" t="s">
        <v>19</v>
      </c>
      <c r="P781" s="2">
        <v>57000000</v>
      </c>
      <c r="Q781" s="2">
        <v>7.5</v>
      </c>
      <c r="R781" s="2" t="s">
        <v>1837</v>
      </c>
      <c r="S781" s="2"/>
      <c r="U781" s="2" t="s">
        <v>1838</v>
      </c>
      <c r="V781">
        <f ca="1" t="shared" si="23"/>
        <v>6.2</v>
      </c>
      <c r="AC781" s="2"/>
      <c r="AD781" t="str">
        <f>IFERROR(__xludf.DUMMYFUNCTION("""COMPUTED_VALUE"""),"Littleman ")</f>
        <v>Littleman </v>
      </c>
      <c r="AE781">
        <f t="shared" si="24"/>
        <v>58255189</v>
      </c>
    </row>
    <row r="782" customHeight="1" spans="1:31">
      <c r="A782" s="2" t="s">
        <v>1162</v>
      </c>
      <c r="B782" s="2">
        <v>116</v>
      </c>
      <c r="C782" s="2">
        <v>36931089</v>
      </c>
      <c r="D782" s="2" t="s">
        <v>40</v>
      </c>
      <c r="E782" s="2" t="s">
        <v>40</v>
      </c>
      <c r="F782" t="s">
        <v>23</v>
      </c>
      <c r="G782" t="s">
        <v>15</v>
      </c>
      <c r="H782" t="s">
        <v>15</v>
      </c>
      <c r="N782" s="2" t="s">
        <v>18</v>
      </c>
      <c r="O782" s="2" t="s">
        <v>19</v>
      </c>
      <c r="P782" s="2">
        <v>70000000</v>
      </c>
      <c r="Q782" s="2">
        <v>5.6</v>
      </c>
      <c r="R782" s="2" t="s">
        <v>1839</v>
      </c>
      <c r="S782" s="2"/>
      <c r="U782" s="2" t="s">
        <v>1840</v>
      </c>
      <c r="V782">
        <f ca="1" t="shared" si="23"/>
        <v>5.25</v>
      </c>
      <c r="AC782" s="2"/>
      <c r="AD782" t="str">
        <f>IFERROR(__xludf.DUMMYFUNCTION("""COMPUTED_VALUE"""),"U-571 ")</f>
        <v>U-571 </v>
      </c>
      <c r="AE782">
        <f t="shared" si="24"/>
        <v>77085914</v>
      </c>
    </row>
    <row r="783" customHeight="1" spans="1:31">
      <c r="A783" s="2" t="s">
        <v>207</v>
      </c>
      <c r="B783" s="2">
        <v>103</v>
      </c>
      <c r="C783" s="2">
        <v>51317350</v>
      </c>
      <c r="D783" s="2" t="s">
        <v>22</v>
      </c>
      <c r="E783" s="2" t="s">
        <v>12</v>
      </c>
      <c r="F783" t="s">
        <v>56</v>
      </c>
      <c r="G783" t="s">
        <v>17</v>
      </c>
      <c r="H783" t="s">
        <v>15</v>
      </c>
      <c r="N783" s="2" t="s">
        <v>18</v>
      </c>
      <c r="O783" s="2" t="s">
        <v>19</v>
      </c>
      <c r="P783" s="2">
        <v>57000000</v>
      </c>
      <c r="Q783" s="2">
        <v>6.4</v>
      </c>
      <c r="R783" s="2" t="s">
        <v>1841</v>
      </c>
      <c r="S783" s="2"/>
      <c r="U783" s="2" t="s">
        <v>1842</v>
      </c>
      <c r="V783">
        <f ca="1" t="shared" si="23"/>
        <v>5.63333333333333</v>
      </c>
      <c r="AC783" s="2"/>
      <c r="AD783" t="str">
        <f>IFERROR(__xludf.DUMMYFUNCTION("""COMPUTED_VALUE"""),"The American President ")</f>
        <v>The American President </v>
      </c>
      <c r="AE783">
        <f t="shared" si="24"/>
        <v>64999886</v>
      </c>
    </row>
    <row r="784" customHeight="1" spans="1:31">
      <c r="A784" s="2" t="s">
        <v>119</v>
      </c>
      <c r="B784" s="2">
        <v>97</v>
      </c>
      <c r="C784" s="2">
        <v>28328132</v>
      </c>
      <c r="D784" s="2" t="s">
        <v>1843</v>
      </c>
      <c r="E784" s="2" t="s">
        <v>12</v>
      </c>
      <c r="F784" t="s">
        <v>30</v>
      </c>
      <c r="G784" t="s">
        <v>17</v>
      </c>
      <c r="H784" t="s">
        <v>30</v>
      </c>
      <c r="N784" s="2" t="s">
        <v>18</v>
      </c>
      <c r="O784" s="2" t="s">
        <v>19</v>
      </c>
      <c r="P784" s="2">
        <v>58000000</v>
      </c>
      <c r="Q784" s="2">
        <v>6.3</v>
      </c>
      <c r="R784" s="2" t="s">
        <v>1844</v>
      </c>
      <c r="S784" s="2"/>
      <c r="U784" s="2" t="s">
        <v>1845</v>
      </c>
      <c r="V784">
        <f ca="1" t="shared" si="23"/>
        <v>6.9</v>
      </c>
      <c r="AC784" s="2"/>
      <c r="AD784" t="str">
        <f>IFERROR(__xludf.DUMMYFUNCTION("""COMPUTED_VALUE"""),"The Love Guru ")</f>
        <v>The Love Guru </v>
      </c>
      <c r="AE784">
        <f t="shared" si="24"/>
        <v>32178690</v>
      </c>
    </row>
    <row r="785" customHeight="1" spans="1:31">
      <c r="A785" s="2" t="s">
        <v>1164</v>
      </c>
      <c r="B785" s="2">
        <v>96</v>
      </c>
      <c r="C785" s="2">
        <v>51774002</v>
      </c>
      <c r="D785" s="2" t="s">
        <v>502</v>
      </c>
      <c r="E785" s="2" t="s">
        <v>12</v>
      </c>
      <c r="F785" t="s">
        <v>30</v>
      </c>
      <c r="G785" t="s">
        <v>24</v>
      </c>
      <c r="H785" t="s">
        <v>23</v>
      </c>
      <c r="N785" s="2" t="s">
        <v>18</v>
      </c>
      <c r="O785" s="2" t="s">
        <v>19</v>
      </c>
      <c r="P785" s="2">
        <v>57000000</v>
      </c>
      <c r="Q785" s="2">
        <v>4.3</v>
      </c>
      <c r="R785" s="2" t="s">
        <v>1846</v>
      </c>
      <c r="S785" s="2"/>
      <c r="U785" s="2" t="s">
        <v>1847</v>
      </c>
      <c r="V785">
        <f ca="1" t="shared" si="23"/>
        <v>5.5</v>
      </c>
      <c r="AC785" s="2"/>
      <c r="AD785" t="str">
        <f>IFERROR(__xludf.DUMMYFUNCTION("""COMPUTED_VALUE"""),"3000 Miles to Graceland ")</f>
        <v>3000 Miles to Graceland </v>
      </c>
      <c r="AE785">
        <f t="shared" si="24"/>
        <v>15738507</v>
      </c>
    </row>
    <row r="786" customHeight="1" spans="1:31">
      <c r="A786" s="2" t="s">
        <v>1166</v>
      </c>
      <c r="B786" s="2">
        <v>131</v>
      </c>
      <c r="C786" s="2">
        <v>25528495</v>
      </c>
      <c r="D786" s="2" t="s">
        <v>1848</v>
      </c>
      <c r="E786" s="2" t="s">
        <v>30</v>
      </c>
      <c r="F786" t="s">
        <v>30</v>
      </c>
      <c r="G786" t="s">
        <v>23</v>
      </c>
      <c r="H786" t="s">
        <v>24</v>
      </c>
      <c r="N786" s="2" t="s">
        <v>18</v>
      </c>
      <c r="O786" s="2" t="s">
        <v>31</v>
      </c>
      <c r="P786" s="2">
        <v>57000000</v>
      </c>
      <c r="Q786" s="2">
        <v>5.9</v>
      </c>
      <c r="R786" s="2" t="s">
        <v>1849</v>
      </c>
      <c r="S786" s="2"/>
      <c r="U786" s="2" t="s">
        <v>1850</v>
      </c>
      <c r="V786">
        <f ca="1" t="shared" si="23"/>
        <v>7.1</v>
      </c>
      <c r="AC786" s="2"/>
      <c r="AD786" t="str">
        <f>IFERROR(__xludf.DUMMYFUNCTION("""COMPUTED_VALUE"""),"The Hateful Eight ")</f>
        <v>The Hateful Eight </v>
      </c>
      <c r="AE786">
        <f t="shared" si="24"/>
        <v>54116004</v>
      </c>
    </row>
    <row r="787" customHeight="1" spans="1:31">
      <c r="A787" s="2" t="s">
        <v>796</v>
      </c>
      <c r="B787" s="2">
        <v>95</v>
      </c>
      <c r="C787" s="2">
        <v>113006880</v>
      </c>
      <c r="D787" s="2" t="s">
        <v>1851</v>
      </c>
      <c r="E787" s="2" t="s">
        <v>12</v>
      </c>
      <c r="F787" t="s">
        <v>28</v>
      </c>
      <c r="G787" t="s">
        <v>24</v>
      </c>
      <c r="H787" t="s">
        <v>24</v>
      </c>
      <c r="N787" s="2" t="s">
        <v>18</v>
      </c>
      <c r="O787" s="2" t="s">
        <v>121</v>
      </c>
      <c r="P787" s="2">
        <v>56000000</v>
      </c>
      <c r="Q787" s="2">
        <v>5.5</v>
      </c>
      <c r="R787" s="2" t="s">
        <v>1852</v>
      </c>
      <c r="S787" s="2"/>
      <c r="U787" s="2" t="s">
        <v>1853</v>
      </c>
      <c r="V787">
        <f ca="1" t="shared" si="23"/>
        <v>3.4</v>
      </c>
      <c r="AC787" s="2"/>
      <c r="AD787" t="str">
        <f>IFERROR(__xludf.DUMMYFUNCTION("""COMPUTED_VALUE"""),"Blades of Glory ")</f>
        <v>Blades of Glory </v>
      </c>
      <c r="AE787">
        <f t="shared" si="24"/>
        <v>118153440</v>
      </c>
    </row>
    <row r="788" customHeight="1" spans="1:31">
      <c r="A788" s="2" t="s">
        <v>1168</v>
      </c>
      <c r="B788" s="2">
        <v>86</v>
      </c>
      <c r="C788" s="2">
        <v>45860039</v>
      </c>
      <c r="D788" s="2" t="s">
        <v>1854</v>
      </c>
      <c r="E788" s="2" t="s">
        <v>12</v>
      </c>
      <c r="F788" t="s">
        <v>24</v>
      </c>
      <c r="G788" t="s">
        <v>17</v>
      </c>
      <c r="H788" t="s">
        <v>14</v>
      </c>
      <c r="N788" s="2" t="s">
        <v>18</v>
      </c>
      <c r="O788" s="2" t="s">
        <v>19</v>
      </c>
      <c r="P788" s="2">
        <v>56000000</v>
      </c>
      <c r="Q788" s="2">
        <v>6.2</v>
      </c>
      <c r="R788" s="2" t="s">
        <v>1855</v>
      </c>
      <c r="S788" s="2"/>
      <c r="U788" s="2" t="s">
        <v>1856</v>
      </c>
      <c r="V788">
        <f ca="1" t="shared" si="23"/>
        <v>6.8</v>
      </c>
      <c r="AC788" s="2"/>
      <c r="AD788" t="str">
        <f>IFERROR(__xludf.DUMMYFUNCTION("""COMPUTED_VALUE"""),"Hop ")</f>
        <v>Hop </v>
      </c>
      <c r="AE788">
        <f t="shared" si="24"/>
        <v>108012075</v>
      </c>
    </row>
    <row r="789" customHeight="1" spans="1:31">
      <c r="A789" s="2" t="s">
        <v>178</v>
      </c>
      <c r="B789" s="2">
        <v>142</v>
      </c>
      <c r="C789" s="2">
        <v>329691196</v>
      </c>
      <c r="D789" s="2" t="s">
        <v>975</v>
      </c>
      <c r="E789" s="2" t="s">
        <v>40</v>
      </c>
      <c r="F789" t="s">
        <v>14</v>
      </c>
      <c r="G789" t="s">
        <v>24</v>
      </c>
      <c r="H789" t="s">
        <v>28</v>
      </c>
      <c r="N789" s="2" t="s">
        <v>18</v>
      </c>
      <c r="O789" s="2" t="s">
        <v>19</v>
      </c>
      <c r="P789" s="2">
        <v>55000000</v>
      </c>
      <c r="Q789" s="2">
        <v>8.8</v>
      </c>
      <c r="R789" s="2" t="s">
        <v>1857</v>
      </c>
      <c r="S789" s="2"/>
      <c r="U789" s="2" t="s">
        <v>1858</v>
      </c>
      <c r="V789">
        <f ca="1" t="shared" si="23"/>
        <v>6.6</v>
      </c>
      <c r="AC789" s="2"/>
      <c r="AD789" t="str">
        <f>IFERROR(__xludf.DUMMYFUNCTION("""COMPUTED_VALUE"""),"300 ")</f>
        <v>300 </v>
      </c>
      <c r="AE789">
        <f t="shared" si="24"/>
        <v>210592473</v>
      </c>
    </row>
    <row r="790" customHeight="1" spans="1:31">
      <c r="A790" s="2" t="s">
        <v>1041</v>
      </c>
      <c r="B790" s="2">
        <v>92</v>
      </c>
      <c r="C790" s="2">
        <v>217326336</v>
      </c>
      <c r="D790" s="2" t="s">
        <v>1338</v>
      </c>
      <c r="E790" s="2" t="s">
        <v>35</v>
      </c>
      <c r="F790" t="s">
        <v>56</v>
      </c>
      <c r="G790" t="s">
        <v>39</v>
      </c>
      <c r="H790" t="s">
        <v>24</v>
      </c>
      <c r="N790" s="2" t="s">
        <v>18</v>
      </c>
      <c r="O790" s="2" t="s">
        <v>19</v>
      </c>
      <c r="P790" s="2">
        <v>60000000</v>
      </c>
      <c r="Q790" s="2">
        <v>5.2</v>
      </c>
      <c r="R790" s="2" t="s">
        <v>1859</v>
      </c>
      <c r="S790" s="2"/>
      <c r="U790" s="2" t="s">
        <v>1860</v>
      </c>
      <c r="V790">
        <f ca="1" t="shared" si="23"/>
        <v>5.9</v>
      </c>
      <c r="AC790" s="2"/>
      <c r="AD790" t="str">
        <f>IFERROR(__xludf.DUMMYFUNCTION("""COMPUTED_VALUE"""),"Meet the Fockers ")</f>
        <v>Meet the Fockers </v>
      </c>
      <c r="AE790">
        <f t="shared" si="24"/>
        <v>279167469</v>
      </c>
    </row>
    <row r="791" customHeight="1" spans="1:31">
      <c r="A791" s="2" t="s">
        <v>682</v>
      </c>
      <c r="B791" s="2">
        <v>108</v>
      </c>
      <c r="C791" s="2">
        <v>166225040</v>
      </c>
      <c r="D791" s="2" t="s">
        <v>40</v>
      </c>
      <c r="E791" s="2" t="s">
        <v>40</v>
      </c>
      <c r="F791" t="s">
        <v>40</v>
      </c>
      <c r="G791" t="s">
        <v>30</v>
      </c>
      <c r="H791" t="s">
        <v>24</v>
      </c>
      <c r="N791" s="2" t="s">
        <v>18</v>
      </c>
      <c r="O791" s="2" t="s">
        <v>19</v>
      </c>
      <c r="P791" s="2">
        <v>55000000</v>
      </c>
      <c r="Q791" s="2">
        <v>7</v>
      </c>
      <c r="R791" s="2" t="s">
        <v>1861</v>
      </c>
      <c r="S791" s="2"/>
      <c r="U791" s="2" t="s">
        <v>1862</v>
      </c>
      <c r="V791">
        <f ca="1" t="shared" si="23"/>
        <v>5.2</v>
      </c>
      <c r="AC791" s="2"/>
      <c r="AD791" t="str">
        <f>IFERROR(__xludf.DUMMYFUNCTION("""COMPUTED_VALUE"""),"Marley &amp; Me ")</f>
        <v>Marley &amp; Me </v>
      </c>
      <c r="AE791">
        <f t="shared" si="24"/>
        <v>143151358</v>
      </c>
    </row>
    <row r="792" customHeight="1" spans="1:31">
      <c r="A792" s="2" t="s">
        <v>1170</v>
      </c>
      <c r="B792" s="2">
        <v>84</v>
      </c>
      <c r="C792" s="2">
        <v>141600000</v>
      </c>
      <c r="D792" s="2" t="s">
        <v>1863</v>
      </c>
      <c r="E792" s="2" t="s">
        <v>13</v>
      </c>
      <c r="F792" t="s">
        <v>14</v>
      </c>
      <c r="G792" t="s">
        <v>24</v>
      </c>
      <c r="H792" t="s">
        <v>24</v>
      </c>
      <c r="N792" s="2" t="s">
        <v>18</v>
      </c>
      <c r="O792" s="2" t="s">
        <v>19</v>
      </c>
      <c r="P792" s="2">
        <v>55000000</v>
      </c>
      <c r="Q792" s="2">
        <v>6.6</v>
      </c>
      <c r="R792" s="2" t="s">
        <v>1864</v>
      </c>
      <c r="S792" s="2"/>
      <c r="U792" s="2" t="s">
        <v>1865</v>
      </c>
      <c r="V792">
        <f ca="1" t="shared" si="23"/>
        <v>6.2</v>
      </c>
      <c r="AC792" s="2"/>
      <c r="AD792" t="str">
        <f>IFERROR(__xludf.DUMMYFUNCTION("""COMPUTED_VALUE"""),"The Green Mile ")</f>
        <v>The Green Mile </v>
      </c>
      <c r="AE792">
        <f t="shared" si="24"/>
        <v>136801185</v>
      </c>
    </row>
    <row r="793" customHeight="1" spans="1:31">
      <c r="A793" s="2" t="s">
        <v>399</v>
      </c>
      <c r="B793" s="2">
        <v>188</v>
      </c>
      <c r="C793" s="2">
        <v>134218018</v>
      </c>
      <c r="D793" s="2" t="s">
        <v>1866</v>
      </c>
      <c r="E793" s="2" t="s">
        <v>12</v>
      </c>
      <c r="F793" t="s">
        <v>13</v>
      </c>
      <c r="G793" t="s">
        <v>24</v>
      </c>
      <c r="H793" t="s">
        <v>24</v>
      </c>
      <c r="N793" s="2" t="s">
        <v>18</v>
      </c>
      <c r="O793" s="2" t="s">
        <v>19</v>
      </c>
      <c r="P793" s="2">
        <v>55000000</v>
      </c>
      <c r="Q793" s="2">
        <v>7.3</v>
      </c>
      <c r="R793" s="2" t="s">
        <v>1867</v>
      </c>
      <c r="S793" s="2"/>
      <c r="U793" s="2" t="s">
        <v>1868</v>
      </c>
      <c r="V793">
        <f ca="1" t="shared" si="23"/>
        <v>5.9</v>
      </c>
      <c r="AC793" s="2"/>
      <c r="AD793" t="str">
        <f>IFERROR(__xludf.DUMMYFUNCTION("""COMPUTED_VALUE"""),"Chicken Little ")</f>
        <v>Chicken Little </v>
      </c>
      <c r="AE793">
        <f t="shared" si="24"/>
        <v>135381426</v>
      </c>
    </row>
    <row r="794" customHeight="1" spans="1:31">
      <c r="A794" s="2" t="s">
        <v>213</v>
      </c>
      <c r="B794" s="2">
        <v>95</v>
      </c>
      <c r="C794" s="2">
        <v>128769345</v>
      </c>
      <c r="D794" s="2" t="s">
        <v>951</v>
      </c>
      <c r="E794" s="2" t="s">
        <v>40</v>
      </c>
      <c r="F794" t="s">
        <v>13</v>
      </c>
      <c r="G794" t="s">
        <v>24</v>
      </c>
      <c r="H794" t="s">
        <v>14</v>
      </c>
      <c r="N794" s="2" t="s">
        <v>18</v>
      </c>
      <c r="O794" s="2" t="s">
        <v>19</v>
      </c>
      <c r="P794" s="2">
        <v>54000000</v>
      </c>
      <c r="Q794" s="2">
        <v>5.6</v>
      </c>
      <c r="R794" s="2" t="s">
        <v>1869</v>
      </c>
      <c r="S794" s="2"/>
      <c r="U794" s="2" t="s">
        <v>1870</v>
      </c>
      <c r="V794">
        <f ca="1" t="shared" si="23"/>
        <v>5.75</v>
      </c>
      <c r="AC794" s="2"/>
      <c r="AD794" t="str">
        <f>IFERROR(__xludf.DUMMYFUNCTION("""COMPUTED_VALUE"""),"Gone Girl ")</f>
        <v>Gone Girl </v>
      </c>
      <c r="AE794">
        <f t="shared" si="24"/>
        <v>167735247</v>
      </c>
    </row>
    <row r="795" customHeight="1" spans="1:31">
      <c r="A795" s="2" t="s">
        <v>894</v>
      </c>
      <c r="B795" s="2">
        <v>118</v>
      </c>
      <c r="C795" s="2">
        <v>177575142</v>
      </c>
      <c r="D795" s="2" t="s">
        <v>607</v>
      </c>
      <c r="E795" s="2" t="s">
        <v>40</v>
      </c>
      <c r="F795" t="s">
        <v>23</v>
      </c>
      <c r="G795" t="s">
        <v>17</v>
      </c>
      <c r="H795" t="s">
        <v>24</v>
      </c>
      <c r="N795" s="2" t="s">
        <v>18</v>
      </c>
      <c r="O795" s="2" t="s">
        <v>19</v>
      </c>
      <c r="P795" s="2">
        <v>70000000</v>
      </c>
      <c r="Q795" s="2">
        <v>6.6</v>
      </c>
      <c r="R795" s="2" t="s">
        <v>1871</v>
      </c>
      <c r="S795" s="2"/>
      <c r="U795" s="2" t="s">
        <v>1872</v>
      </c>
      <c r="V795">
        <f ca="1" t="shared" si="23"/>
        <v>6.7</v>
      </c>
      <c r="AC795" s="2"/>
      <c r="AD795" t="str">
        <f>IFERROR(__xludf.DUMMYFUNCTION("""COMPUTED_VALUE"""),"The Bourne Identity ")</f>
        <v>The Bourne Identity </v>
      </c>
      <c r="AE795">
        <f t="shared" si="24"/>
        <v>121468841</v>
      </c>
    </row>
    <row r="796" customHeight="1" spans="1:31">
      <c r="A796" s="2" t="s">
        <v>1172</v>
      </c>
      <c r="B796" s="2">
        <v>92</v>
      </c>
      <c r="C796" s="2">
        <v>105263257</v>
      </c>
      <c r="D796" s="2" t="s">
        <v>1873</v>
      </c>
      <c r="E796" s="2" t="s">
        <v>12</v>
      </c>
      <c r="F796" t="s">
        <v>13</v>
      </c>
      <c r="G796" t="s">
        <v>17</v>
      </c>
      <c r="H796" t="s">
        <v>15</v>
      </c>
      <c r="N796" s="2" t="s">
        <v>18</v>
      </c>
      <c r="O796" s="2" t="s">
        <v>19</v>
      </c>
      <c r="P796" s="2">
        <v>55000000</v>
      </c>
      <c r="Q796" s="2">
        <v>5.4</v>
      </c>
      <c r="R796" s="2" t="s">
        <v>1874</v>
      </c>
      <c r="S796" s="2"/>
      <c r="U796" s="2" t="s">
        <v>1875</v>
      </c>
      <c r="V796">
        <f ca="1" t="shared" si="23"/>
        <v>6.1</v>
      </c>
      <c r="AC796" s="2"/>
      <c r="AD796" t="str">
        <f>IFERROR(__xludf.DUMMYFUNCTION("""COMPUTED_VALUE"""),"GoldenEye ")</f>
        <v>GoldenEye </v>
      </c>
      <c r="AE796">
        <f t="shared" si="24"/>
        <v>106635866</v>
      </c>
    </row>
    <row r="797" customHeight="1" spans="1:31">
      <c r="A797" s="2" t="s">
        <v>1174</v>
      </c>
      <c r="B797" s="2">
        <v>74</v>
      </c>
      <c r="C797" s="2">
        <v>104354205</v>
      </c>
      <c r="D797" s="2" t="s">
        <v>607</v>
      </c>
      <c r="E797" s="2" t="s">
        <v>40</v>
      </c>
      <c r="F797" t="s">
        <v>35</v>
      </c>
      <c r="G797" t="s">
        <v>30</v>
      </c>
      <c r="H797" t="s">
        <v>17</v>
      </c>
      <c r="N797" s="2" t="s">
        <v>18</v>
      </c>
      <c r="O797" s="2" t="s">
        <v>19</v>
      </c>
      <c r="P797" s="2">
        <v>55000000</v>
      </c>
      <c r="Q797" s="2">
        <v>6.3</v>
      </c>
      <c r="R797" s="2" t="s">
        <v>1876</v>
      </c>
      <c r="S797" s="2"/>
      <c r="U797" s="2" t="s">
        <v>1877</v>
      </c>
      <c r="V797">
        <f ca="1" t="shared" si="23"/>
        <v>5.4</v>
      </c>
      <c r="AC797" s="2"/>
      <c r="AD797" t="str">
        <f>IFERROR(__xludf.DUMMYFUNCTION("""COMPUTED_VALUE"""),"The General's Daughter ")</f>
        <v>The General's Daughter </v>
      </c>
      <c r="AE797">
        <f t="shared" si="24"/>
        <v>102677973</v>
      </c>
    </row>
    <row r="798" customHeight="1" spans="1:31">
      <c r="A798" s="2" t="s">
        <v>432</v>
      </c>
      <c r="B798" s="2">
        <v>134</v>
      </c>
      <c r="C798" s="2">
        <v>107100855</v>
      </c>
      <c r="D798" s="2" t="s">
        <v>1438</v>
      </c>
      <c r="E798" s="2" t="s">
        <v>59</v>
      </c>
      <c r="F798" t="s">
        <v>72</v>
      </c>
      <c r="G798" t="s">
        <v>30</v>
      </c>
      <c r="H798" t="s">
        <v>17</v>
      </c>
      <c r="N798" s="2" t="s">
        <v>18</v>
      </c>
      <c r="O798" s="2" t="s">
        <v>19</v>
      </c>
      <c r="P798" s="2">
        <v>55000000</v>
      </c>
      <c r="Q798" s="2">
        <v>7.9</v>
      </c>
      <c r="R798" s="2" t="s">
        <v>1878</v>
      </c>
      <c r="S798" s="2"/>
      <c r="U798" s="2" t="s">
        <v>1879</v>
      </c>
      <c r="V798">
        <f ca="1" t="shared" si="23"/>
        <v>6.7</v>
      </c>
      <c r="AC798" s="2"/>
      <c r="AD798" t="str">
        <f>IFERROR(__xludf.DUMMYFUNCTION("""COMPUTED_VALUE"""),"The Truman Show ")</f>
        <v>The Truman Show </v>
      </c>
      <c r="AE798">
        <f t="shared" si="24"/>
        <v>125603257</v>
      </c>
    </row>
    <row r="799" customHeight="1" spans="1:31">
      <c r="A799" s="2" t="s">
        <v>315</v>
      </c>
      <c r="B799" s="2">
        <v>101</v>
      </c>
      <c r="C799" s="2">
        <v>98711404</v>
      </c>
      <c r="D799" s="2" t="s">
        <v>1722</v>
      </c>
      <c r="E799" s="2" t="s">
        <v>40</v>
      </c>
      <c r="F799" t="s">
        <v>30</v>
      </c>
      <c r="G799" t="s">
        <v>30</v>
      </c>
      <c r="H799" t="s">
        <v>24</v>
      </c>
      <c r="N799" s="2" t="s">
        <v>18</v>
      </c>
      <c r="O799" s="2" t="s">
        <v>19</v>
      </c>
      <c r="P799" s="2">
        <v>55000000</v>
      </c>
      <c r="Q799" s="2">
        <v>6.3</v>
      </c>
      <c r="R799" s="2" t="s">
        <v>1880</v>
      </c>
      <c r="S799" s="2"/>
      <c r="U799" s="2" t="s">
        <v>1881</v>
      </c>
      <c r="V799">
        <f ca="1" t="shared" si="23"/>
        <v>6.63333333333333</v>
      </c>
      <c r="AC799" s="2"/>
      <c r="AD799" t="str">
        <f>IFERROR(__xludf.DUMMYFUNCTION("""COMPUTED_VALUE"""),"The Prince of Egypt ")</f>
        <v>The Prince of Egypt </v>
      </c>
      <c r="AE799">
        <f t="shared" si="24"/>
        <v>101217801</v>
      </c>
    </row>
    <row r="800" customHeight="1" spans="1:31">
      <c r="A800" s="2" t="s">
        <v>655</v>
      </c>
      <c r="B800" s="2">
        <v>100</v>
      </c>
      <c r="C800" s="2">
        <v>100328194</v>
      </c>
      <c r="D800" s="2" t="s">
        <v>214</v>
      </c>
      <c r="E800" s="2" t="s">
        <v>40</v>
      </c>
      <c r="F800" t="s">
        <v>13</v>
      </c>
      <c r="G800" t="s">
        <v>15</v>
      </c>
      <c r="H800" t="s">
        <v>16</v>
      </c>
      <c r="N800" s="2" t="s">
        <v>18</v>
      </c>
      <c r="O800" s="2" t="s">
        <v>19</v>
      </c>
      <c r="P800" s="2">
        <v>50000000</v>
      </c>
      <c r="Q800" s="2">
        <v>6</v>
      </c>
      <c r="R800" s="2" t="s">
        <v>1882</v>
      </c>
      <c r="S800" s="2"/>
      <c r="U800" s="2" t="s">
        <v>1883</v>
      </c>
      <c r="V800">
        <f ca="1" t="shared" si="23"/>
        <v>5.5</v>
      </c>
      <c r="AC800" s="2"/>
      <c r="AD800" t="str">
        <f>IFERROR(__xludf.DUMMYFUNCTION("""COMPUTED_VALUE"""),"Daddy Day Care ")</f>
        <v>Daddy Day Care </v>
      </c>
      <c r="AE800">
        <f t="shared" si="24"/>
        <v>104148689</v>
      </c>
    </row>
    <row r="801" customHeight="1" spans="1:31">
      <c r="A801" s="2" t="s">
        <v>881</v>
      </c>
      <c r="B801" s="2">
        <v>132</v>
      </c>
      <c r="C801" s="2">
        <v>101530738</v>
      </c>
      <c r="D801" s="2" t="s">
        <v>150</v>
      </c>
      <c r="E801" s="2" t="s">
        <v>12</v>
      </c>
      <c r="F801" t="s">
        <v>30</v>
      </c>
      <c r="G801" t="s">
        <v>35</v>
      </c>
      <c r="H801" t="s">
        <v>23</v>
      </c>
      <c r="N801" s="2" t="s">
        <v>18</v>
      </c>
      <c r="O801" s="2" t="s">
        <v>19</v>
      </c>
      <c r="P801" s="2">
        <v>55000000</v>
      </c>
      <c r="Q801" s="2">
        <v>7.2</v>
      </c>
      <c r="R801" s="2" t="s">
        <v>1884</v>
      </c>
      <c r="S801" s="2"/>
      <c r="U801" s="2" t="s">
        <v>1885</v>
      </c>
      <c r="V801">
        <f ca="1" t="shared" si="23"/>
        <v>6.7</v>
      </c>
      <c r="AC801" s="2"/>
      <c r="AD801" t="str">
        <f>IFERROR(__xludf.DUMMYFUNCTION("""COMPUTED_VALUE"""),"2 Guns ")</f>
        <v>2 Guns </v>
      </c>
      <c r="AE801">
        <f t="shared" si="24"/>
        <v>75573191</v>
      </c>
    </row>
    <row r="802" customHeight="1" spans="1:31">
      <c r="A802" s="2" t="s">
        <v>1176</v>
      </c>
      <c r="B802" s="2">
        <v>105</v>
      </c>
      <c r="C802" s="2">
        <v>93815117</v>
      </c>
      <c r="D802" s="2" t="s">
        <v>521</v>
      </c>
      <c r="E802" s="2" t="s">
        <v>40</v>
      </c>
      <c r="F802" t="s">
        <v>40</v>
      </c>
      <c r="G802" t="s">
        <v>30</v>
      </c>
      <c r="H802" t="s">
        <v>24</v>
      </c>
      <c r="N802" s="2" t="s">
        <v>18</v>
      </c>
      <c r="O802" s="2" t="s">
        <v>19</v>
      </c>
      <c r="P802" s="2">
        <v>55000000</v>
      </c>
      <c r="Q802" s="2">
        <v>5.1</v>
      </c>
      <c r="R802" s="2" t="s">
        <v>1886</v>
      </c>
      <c r="S802" s="2"/>
      <c r="U802" s="2" t="s">
        <v>1887</v>
      </c>
      <c r="V802">
        <f ca="1" t="shared" si="23"/>
        <v>6.38</v>
      </c>
      <c r="AC802" s="2"/>
      <c r="AD802" t="str">
        <f>IFERROR(__xludf.DUMMYFUNCTION("""COMPUTED_VALUE"""),"Cats &amp; Dogs ")</f>
        <v>Cats &amp; Dogs </v>
      </c>
      <c r="AE802">
        <f t="shared" si="24"/>
        <v>93375064</v>
      </c>
    </row>
    <row r="803" customHeight="1" spans="1:31">
      <c r="A803" s="2" t="s">
        <v>617</v>
      </c>
      <c r="B803" s="2">
        <v>123</v>
      </c>
      <c r="C803" s="2">
        <v>91400000</v>
      </c>
      <c r="D803" s="2" t="s">
        <v>706</v>
      </c>
      <c r="E803" s="2" t="s">
        <v>12</v>
      </c>
      <c r="F803" t="s">
        <v>40</v>
      </c>
      <c r="G803" t="s">
        <v>30</v>
      </c>
      <c r="H803" t="s">
        <v>24</v>
      </c>
      <c r="N803" s="2" t="s">
        <v>18</v>
      </c>
      <c r="O803" s="2" t="s">
        <v>19</v>
      </c>
      <c r="P803" s="2">
        <v>53000000</v>
      </c>
      <c r="Q803" s="2">
        <v>7.3</v>
      </c>
      <c r="R803" s="2" t="s">
        <v>1888</v>
      </c>
      <c r="S803" s="2"/>
      <c r="U803" s="2" t="s">
        <v>1889</v>
      </c>
      <c r="V803">
        <f ca="1" t="shared" si="23"/>
        <v>5.6</v>
      </c>
      <c r="AC803" s="2"/>
      <c r="AD803" t="str">
        <f>IFERROR(__xludf.DUMMYFUNCTION("""COMPUTED_VALUE"""),"The Italian Job ")</f>
        <v>The Italian Job </v>
      </c>
      <c r="AE803">
        <f t="shared" si="24"/>
        <v>106125901</v>
      </c>
    </row>
    <row r="804" customHeight="1" spans="1:31">
      <c r="A804" s="2" t="s">
        <v>1179</v>
      </c>
      <c r="B804" s="2">
        <v>117</v>
      </c>
      <c r="C804" s="2">
        <v>162586036</v>
      </c>
      <c r="D804" s="2" t="s">
        <v>562</v>
      </c>
      <c r="E804" s="2" t="s">
        <v>59</v>
      </c>
      <c r="F804" t="s">
        <v>56</v>
      </c>
      <c r="G804" t="s">
        <v>24</v>
      </c>
      <c r="H804" t="s">
        <v>24</v>
      </c>
      <c r="N804" s="2" t="s">
        <v>18</v>
      </c>
      <c r="O804" s="2" t="s">
        <v>19</v>
      </c>
      <c r="P804" s="2">
        <v>55000000</v>
      </c>
      <c r="Q804" s="2">
        <v>8</v>
      </c>
      <c r="R804" s="2" t="s">
        <v>1890</v>
      </c>
      <c r="S804" s="2"/>
      <c r="U804" s="2" t="s">
        <v>1891</v>
      </c>
      <c r="V804">
        <f ca="1" t="shared" si="23"/>
        <v>7</v>
      </c>
      <c r="AC804" s="2"/>
      <c r="AD804" t="str">
        <f>IFERROR(__xludf.DUMMYFUNCTION("""COMPUTED_VALUE"""),"Two Weeks Notice ")</f>
        <v>Two Weeks Notice </v>
      </c>
      <c r="AE804">
        <f t="shared" si="24"/>
        <v>93307695</v>
      </c>
    </row>
    <row r="805" customHeight="1" spans="1:31">
      <c r="A805" s="2" t="s">
        <v>468</v>
      </c>
      <c r="B805" s="2">
        <v>98</v>
      </c>
      <c r="C805" s="2">
        <v>89706988</v>
      </c>
      <c r="D805" s="2" t="s">
        <v>712</v>
      </c>
      <c r="E805" s="2" t="s">
        <v>30</v>
      </c>
      <c r="F805" t="s">
        <v>24</v>
      </c>
      <c r="G805" t="s">
        <v>30</v>
      </c>
      <c r="H805" t="s">
        <v>23</v>
      </c>
      <c r="N805" s="2" t="s">
        <v>18</v>
      </c>
      <c r="O805" s="2" t="s">
        <v>19</v>
      </c>
      <c r="P805" s="2">
        <v>55000000</v>
      </c>
      <c r="Q805" s="2">
        <v>6.2</v>
      </c>
      <c r="R805" s="2" t="s">
        <v>1892</v>
      </c>
      <c r="S805" s="2"/>
      <c r="U805" s="2" t="s">
        <v>1893</v>
      </c>
      <c r="V805">
        <f ca="1" t="shared" si="23"/>
        <v>5.5</v>
      </c>
      <c r="AC805" s="2"/>
      <c r="AD805" t="str">
        <f>IFERROR(__xludf.DUMMYFUNCTION("""COMPUTED_VALUE"""),"Antz ")</f>
        <v>Antz </v>
      </c>
      <c r="AE805">
        <f t="shared" si="24"/>
        <v>90646471</v>
      </c>
    </row>
    <row r="806" customHeight="1" spans="1:31">
      <c r="A806" s="2" t="s">
        <v>889</v>
      </c>
      <c r="B806" s="2">
        <v>128</v>
      </c>
      <c r="C806" s="2">
        <v>83000000</v>
      </c>
      <c r="D806" s="2" t="s">
        <v>1655</v>
      </c>
      <c r="E806" s="2" t="s">
        <v>30</v>
      </c>
      <c r="F806" t="s">
        <v>39</v>
      </c>
      <c r="G806" t="s">
        <v>24</v>
      </c>
      <c r="H806" t="s">
        <v>17</v>
      </c>
      <c r="N806" s="2" t="s">
        <v>18</v>
      </c>
      <c r="O806" s="2" t="s">
        <v>19</v>
      </c>
      <c r="P806" s="2">
        <v>55000000</v>
      </c>
      <c r="Q806" s="2">
        <v>6</v>
      </c>
      <c r="R806" s="2" t="s">
        <v>1894</v>
      </c>
      <c r="S806" s="2"/>
      <c r="U806" s="2" t="s">
        <v>1895</v>
      </c>
      <c r="V806">
        <f ca="1" t="shared" si="23"/>
        <v>5.75</v>
      </c>
      <c r="AC806" s="2"/>
      <c r="AD806" t="str">
        <f>IFERROR(__xludf.DUMMYFUNCTION("""COMPUTED_VALUE"""),"Couples Retreat ")</f>
        <v>Couples Retreat </v>
      </c>
      <c r="AE806">
        <f t="shared" si="24"/>
        <v>109176102</v>
      </c>
    </row>
    <row r="807" customHeight="1" spans="1:31">
      <c r="A807" s="2" t="s">
        <v>655</v>
      </c>
      <c r="B807" s="2">
        <v>114</v>
      </c>
      <c r="C807" s="2">
        <v>78745923</v>
      </c>
      <c r="D807" s="2" t="s">
        <v>266</v>
      </c>
      <c r="E807" s="2" t="s">
        <v>30</v>
      </c>
      <c r="F807" t="s">
        <v>35</v>
      </c>
      <c r="G807" t="s">
        <v>56</v>
      </c>
      <c r="H807" t="s">
        <v>15</v>
      </c>
      <c r="N807" s="2" t="s">
        <v>18</v>
      </c>
      <c r="O807" s="2" t="s">
        <v>293</v>
      </c>
      <c r="P807" s="2">
        <v>55000000</v>
      </c>
      <c r="Q807" s="2">
        <v>6.7</v>
      </c>
      <c r="R807" s="2" t="s">
        <v>1896</v>
      </c>
      <c r="S807" s="2"/>
      <c r="U807" s="2" t="s">
        <v>1897</v>
      </c>
      <c r="V807">
        <f ca="1" t="shared" si="23"/>
        <v>6.1</v>
      </c>
      <c r="AC807" s="2"/>
      <c r="AD807" t="str">
        <f>IFERROR(__xludf.DUMMYFUNCTION("""COMPUTED_VALUE"""),"Days of Thunder ")</f>
        <v>Days of Thunder </v>
      </c>
      <c r="AE807">
        <f t="shared" si="24"/>
        <v>82670626</v>
      </c>
    </row>
    <row r="808" customHeight="1" spans="1:31">
      <c r="A808" s="2" t="s">
        <v>627</v>
      </c>
      <c r="B808" s="2">
        <v>111</v>
      </c>
      <c r="C808" s="2">
        <v>70098138</v>
      </c>
      <c r="D808" s="2" t="s">
        <v>12</v>
      </c>
      <c r="E808" s="2" t="s">
        <v>12</v>
      </c>
      <c r="F808" t="s">
        <v>30</v>
      </c>
      <c r="G808" t="s">
        <v>30</v>
      </c>
      <c r="H808" t="s">
        <v>23</v>
      </c>
      <c r="N808" s="2" t="s">
        <v>18</v>
      </c>
      <c r="O808" s="2" t="s">
        <v>19</v>
      </c>
      <c r="P808" s="2">
        <v>30000000</v>
      </c>
      <c r="Q808" s="2">
        <v>8.1</v>
      </c>
      <c r="R808" s="2" t="s">
        <v>1898</v>
      </c>
      <c r="S808" s="2"/>
      <c r="U808" s="2" t="s">
        <v>1899</v>
      </c>
      <c r="V808">
        <f ca="1" t="shared" si="23"/>
        <v>4.8</v>
      </c>
      <c r="AC808" s="2"/>
      <c r="AD808" t="str">
        <f>IFERROR(__xludf.DUMMYFUNCTION("""COMPUTED_VALUE"""),"Cheaper by the Dozen 2 ")</f>
        <v>Cheaper by the Dozen 2 </v>
      </c>
      <c r="AE808">
        <f t="shared" si="24"/>
        <v>82569438</v>
      </c>
    </row>
    <row r="809" customHeight="1" spans="1:31">
      <c r="A809" s="2" t="s">
        <v>679</v>
      </c>
      <c r="B809" s="2">
        <v>85</v>
      </c>
      <c r="C809" s="2">
        <v>66365290</v>
      </c>
      <c r="D809" s="2" t="s">
        <v>40</v>
      </c>
      <c r="E809" s="2" t="s">
        <v>40</v>
      </c>
      <c r="F809" t="s">
        <v>30</v>
      </c>
      <c r="G809" t="s">
        <v>14</v>
      </c>
      <c r="H809" t="s">
        <v>17</v>
      </c>
      <c r="N809" s="2" t="s">
        <v>18</v>
      </c>
      <c r="O809" s="2" t="s">
        <v>19</v>
      </c>
      <c r="P809" s="2">
        <v>55000000</v>
      </c>
      <c r="Q809" s="2">
        <v>6.4</v>
      </c>
      <c r="R809" s="2" t="s">
        <v>1900</v>
      </c>
      <c r="S809" s="2"/>
      <c r="U809" s="2" t="s">
        <v>1901</v>
      </c>
      <c r="V809">
        <f ca="1" t="shared" si="23"/>
        <v>7</v>
      </c>
      <c r="AC809" s="2"/>
      <c r="AD809" t="str">
        <f>IFERROR(__xludf.DUMMYFUNCTION("""COMPUTED_VALUE"""),"The Scorch Trials ")</f>
        <v>The Scorch Trials </v>
      </c>
      <c r="AE809">
        <f t="shared" si="24"/>
        <v>81687455</v>
      </c>
    </row>
    <row r="810" customHeight="1" spans="1:31">
      <c r="A810" s="2" t="s">
        <v>627</v>
      </c>
      <c r="B810" s="2">
        <v>137</v>
      </c>
      <c r="C810" s="2">
        <v>66207920</v>
      </c>
      <c r="D810" s="2" t="s">
        <v>186</v>
      </c>
      <c r="E810" s="2" t="s">
        <v>12</v>
      </c>
      <c r="F810" t="s">
        <v>30</v>
      </c>
      <c r="G810" t="s">
        <v>24</v>
      </c>
      <c r="H810" t="s">
        <v>17</v>
      </c>
      <c r="N810" s="2" t="s">
        <v>18</v>
      </c>
      <c r="O810" s="2" t="s">
        <v>19</v>
      </c>
      <c r="P810" s="2">
        <v>30000000</v>
      </c>
      <c r="Q810" s="2">
        <v>8</v>
      </c>
      <c r="R810" s="2" t="s">
        <v>1902</v>
      </c>
      <c r="S810" s="2"/>
      <c r="U810" s="2" t="s">
        <v>1903</v>
      </c>
      <c r="V810">
        <f ca="1" t="shared" si="23"/>
        <v>7.2</v>
      </c>
      <c r="AC810" s="2"/>
      <c r="AD810" t="str">
        <f>IFERROR(__xludf.DUMMYFUNCTION("""COMPUTED_VALUE"""),"Eat Pray Love ")</f>
        <v>Eat Pray Love </v>
      </c>
      <c r="AE810">
        <f t="shared" si="24"/>
        <v>80573870</v>
      </c>
    </row>
    <row r="811" customHeight="1" spans="1:31">
      <c r="A811" s="2" t="s">
        <v>744</v>
      </c>
      <c r="B811" s="2">
        <v>97</v>
      </c>
      <c r="C811" s="2">
        <v>63408614</v>
      </c>
      <c r="D811" s="2" t="s">
        <v>174</v>
      </c>
      <c r="E811" s="2" t="s">
        <v>12</v>
      </c>
      <c r="F811" t="s">
        <v>16</v>
      </c>
      <c r="G811" t="s">
        <v>24</v>
      </c>
      <c r="H811" t="s">
        <v>14</v>
      </c>
      <c r="N811" s="2" t="s">
        <v>18</v>
      </c>
      <c r="O811" s="2" t="s">
        <v>19</v>
      </c>
      <c r="P811" s="2">
        <v>55000000</v>
      </c>
      <c r="Q811" s="2">
        <v>6.3</v>
      </c>
      <c r="R811" s="2" t="s">
        <v>1904</v>
      </c>
      <c r="S811" s="2"/>
      <c r="U811" s="2" t="s">
        <v>1905</v>
      </c>
      <c r="V811">
        <f ca="1" t="shared" si="23"/>
        <v>7.1</v>
      </c>
      <c r="AC811" s="2"/>
      <c r="AD811" t="str">
        <f>IFERROR(__xludf.DUMMYFUNCTION("""COMPUTED_VALUE"""),"The Family Man ")</f>
        <v>The Family Man </v>
      </c>
      <c r="AE811">
        <f t="shared" si="24"/>
        <v>75763960</v>
      </c>
    </row>
    <row r="812" customHeight="1" spans="1:31">
      <c r="A812" s="2" t="s">
        <v>178</v>
      </c>
      <c r="B812" s="2">
        <v>104</v>
      </c>
      <c r="C812" s="2">
        <v>58422650</v>
      </c>
      <c r="D812" s="2" t="s">
        <v>340</v>
      </c>
      <c r="E812" s="2" t="s">
        <v>40</v>
      </c>
      <c r="F812" t="s">
        <v>30</v>
      </c>
      <c r="G812" t="s">
        <v>56</v>
      </c>
      <c r="H812" t="s">
        <v>16</v>
      </c>
      <c r="N812" s="2" t="s">
        <v>18</v>
      </c>
      <c r="O812" s="2" t="s">
        <v>19</v>
      </c>
      <c r="P812" s="2">
        <v>55000000</v>
      </c>
      <c r="Q812" s="2">
        <v>6.4</v>
      </c>
      <c r="R812" s="2" t="s">
        <v>1906</v>
      </c>
      <c r="S812" s="2"/>
      <c r="U812" s="2" t="s">
        <v>1907</v>
      </c>
      <c r="V812">
        <f ca="1" t="shared" si="23"/>
        <v>6.6</v>
      </c>
      <c r="AC812" s="2"/>
      <c r="AD812" t="str">
        <f>IFERROR(__xludf.DUMMYFUNCTION("""COMPUTED_VALUE"""),"RED ")</f>
        <v>RED </v>
      </c>
      <c r="AE812">
        <f t="shared" si="24"/>
        <v>90356746</v>
      </c>
    </row>
    <row r="813" customHeight="1" spans="1:31">
      <c r="A813" s="2" t="s">
        <v>1181</v>
      </c>
      <c r="B813" s="2">
        <v>110</v>
      </c>
      <c r="C813" s="2">
        <v>56932305</v>
      </c>
      <c r="D813" s="2" t="s">
        <v>1908</v>
      </c>
      <c r="E813" s="2" t="s">
        <v>12</v>
      </c>
      <c r="F813" t="s">
        <v>15</v>
      </c>
      <c r="G813" t="s">
        <v>24</v>
      </c>
      <c r="H813" t="s">
        <v>24</v>
      </c>
      <c r="N813" s="2" t="s">
        <v>18</v>
      </c>
      <c r="O813" s="2" t="s">
        <v>19</v>
      </c>
      <c r="P813" s="2">
        <v>55000000</v>
      </c>
      <c r="Q813" s="2">
        <v>6.6</v>
      </c>
      <c r="R813" s="2" t="s">
        <v>1909</v>
      </c>
      <c r="S813" s="2"/>
      <c r="U813" s="2" t="s">
        <v>1910</v>
      </c>
      <c r="V813">
        <f ca="1" t="shared" si="23"/>
        <v>4.8</v>
      </c>
      <c r="AC813" s="2"/>
      <c r="AD813" t="str">
        <f>IFERROR(__xludf.DUMMYFUNCTION("""COMPUTED_VALUE"""),"Any Given Sunday ")</f>
        <v>Any Given Sunday </v>
      </c>
      <c r="AE813">
        <f t="shared" si="24"/>
        <v>75530676</v>
      </c>
    </row>
    <row r="814" customHeight="1" spans="1:31">
      <c r="A814" s="2" t="s">
        <v>1115</v>
      </c>
      <c r="B814" s="2">
        <v>133</v>
      </c>
      <c r="C814" s="2">
        <v>68750000</v>
      </c>
      <c r="D814" s="2" t="s">
        <v>27</v>
      </c>
      <c r="E814" s="2" t="s">
        <v>12</v>
      </c>
      <c r="F814" t="s">
        <v>55</v>
      </c>
      <c r="G814" t="s">
        <v>56</v>
      </c>
      <c r="H814" t="s">
        <v>23</v>
      </c>
      <c r="N814" s="2" t="s">
        <v>18</v>
      </c>
      <c r="O814" s="2" t="s">
        <v>19</v>
      </c>
      <c r="P814" s="2">
        <v>55000000</v>
      </c>
      <c r="Q814" s="2">
        <v>6.4</v>
      </c>
      <c r="R814" s="2" t="s">
        <v>1911</v>
      </c>
      <c r="S814" s="2"/>
      <c r="U814" s="2" t="s">
        <v>1912</v>
      </c>
      <c r="V814">
        <f ca="1" t="shared" si="23"/>
        <v>7.5</v>
      </c>
      <c r="AC814" s="2"/>
      <c r="AD814" t="str">
        <f>IFERROR(__xludf.DUMMYFUNCTION("""COMPUTED_VALUE"""),"The Horse Whisperer ")</f>
        <v>The Horse Whisperer </v>
      </c>
      <c r="AE814">
        <f t="shared" si="24"/>
        <v>75370593</v>
      </c>
    </row>
    <row r="815" customHeight="1" spans="1:31">
      <c r="A815" s="2" t="s">
        <v>699</v>
      </c>
      <c r="B815" s="2">
        <v>94</v>
      </c>
      <c r="C815" s="2">
        <v>68218041</v>
      </c>
      <c r="D815" s="2" t="s">
        <v>214</v>
      </c>
      <c r="E815" s="2" t="s">
        <v>40</v>
      </c>
      <c r="F815" t="s">
        <v>24</v>
      </c>
      <c r="G815" t="s">
        <v>24</v>
      </c>
      <c r="H815" t="s">
        <v>55</v>
      </c>
      <c r="N815" s="2" t="s">
        <v>18</v>
      </c>
      <c r="O815" s="2" t="s">
        <v>19</v>
      </c>
      <c r="P815" s="2">
        <v>55000000</v>
      </c>
      <c r="Q815" s="2">
        <v>6</v>
      </c>
      <c r="R815" s="2" t="s">
        <v>1913</v>
      </c>
      <c r="S815" s="2"/>
      <c r="U815" s="2" t="s">
        <v>1914</v>
      </c>
      <c r="V815">
        <f ca="1" t="shared" si="23"/>
        <v>6.4</v>
      </c>
      <c r="AC815" s="2"/>
      <c r="AD815" t="str">
        <f>IFERROR(__xludf.DUMMYFUNCTION("""COMPUTED_VALUE"""),"Collateral ")</f>
        <v>Collateral </v>
      </c>
      <c r="AE815">
        <f t="shared" si="24"/>
        <v>100003372</v>
      </c>
    </row>
    <row r="816" customHeight="1" spans="1:31">
      <c r="A816" s="2" t="s">
        <v>363</v>
      </c>
      <c r="B816" s="2">
        <v>104</v>
      </c>
      <c r="C816" s="2">
        <v>25040293</v>
      </c>
      <c r="D816" s="2" t="s">
        <v>22</v>
      </c>
      <c r="E816" s="2" t="s">
        <v>12</v>
      </c>
      <c r="F816" t="s">
        <v>30</v>
      </c>
      <c r="G816" t="s">
        <v>24</v>
      </c>
      <c r="H816" t="s">
        <v>83</v>
      </c>
      <c r="N816" s="2" t="s">
        <v>18</v>
      </c>
      <c r="O816" s="2" t="s">
        <v>19</v>
      </c>
      <c r="P816" s="2">
        <v>55000000</v>
      </c>
      <c r="Q816" s="2">
        <v>6.6</v>
      </c>
      <c r="R816" s="2" t="s">
        <v>1915</v>
      </c>
      <c r="S816" s="2"/>
      <c r="U816" s="2" t="s">
        <v>1916</v>
      </c>
      <c r="V816">
        <f ca="1" t="shared" si="23"/>
        <v>6.8</v>
      </c>
      <c r="AC816" s="2"/>
      <c r="AD816" t="str">
        <f>IFERROR(__xludf.DUMMYFUNCTION("""COMPUTED_VALUE"""),"The Scorpion King ")</f>
        <v>The Scorpion King </v>
      </c>
      <c r="AE816">
        <f t="shared" si="24"/>
        <v>90341570</v>
      </c>
    </row>
    <row r="817" customHeight="1" spans="1:31">
      <c r="A817" s="2" t="s">
        <v>1183</v>
      </c>
      <c r="B817" s="2">
        <v>91</v>
      </c>
      <c r="C817" s="2">
        <v>55747724</v>
      </c>
      <c r="D817" s="2" t="s">
        <v>189</v>
      </c>
      <c r="E817" s="2" t="s">
        <v>13</v>
      </c>
      <c r="F817" t="s">
        <v>40</v>
      </c>
      <c r="G817" t="s">
        <v>17</v>
      </c>
      <c r="H817" t="s">
        <v>24</v>
      </c>
      <c r="N817" s="2" t="s">
        <v>18</v>
      </c>
      <c r="O817" s="2" t="s">
        <v>19</v>
      </c>
      <c r="P817" s="2">
        <v>55000000</v>
      </c>
      <c r="Q817" s="2">
        <v>5.9</v>
      </c>
      <c r="R817" s="2" t="s">
        <v>1917</v>
      </c>
      <c r="S817" s="2"/>
      <c r="U817" s="2" t="s">
        <v>1918</v>
      </c>
      <c r="V817">
        <f ca="1" t="shared" si="23"/>
        <v>6.55</v>
      </c>
      <c r="AC817" s="2"/>
      <c r="AD817" t="str">
        <f>IFERROR(__xludf.DUMMYFUNCTION("""COMPUTED_VALUE"""),"Ladder 49 ")</f>
        <v>Ladder 49 </v>
      </c>
      <c r="AE817">
        <f t="shared" si="24"/>
        <v>74540647</v>
      </c>
    </row>
    <row r="818" customHeight="1" spans="1:31">
      <c r="A818" s="2" t="s">
        <v>265</v>
      </c>
      <c r="B818" s="2">
        <v>145</v>
      </c>
      <c r="C818" s="2">
        <v>55473600</v>
      </c>
      <c r="D818" s="2" t="s">
        <v>1699</v>
      </c>
      <c r="E818" s="2" t="s">
        <v>12</v>
      </c>
      <c r="F818" t="s">
        <v>13</v>
      </c>
      <c r="G818" t="s">
        <v>30</v>
      </c>
      <c r="H818" t="s">
        <v>24</v>
      </c>
      <c r="N818" s="2" t="s">
        <v>18</v>
      </c>
      <c r="O818" s="2" t="s">
        <v>19</v>
      </c>
      <c r="P818" s="2">
        <v>50000000</v>
      </c>
      <c r="Q818" s="2">
        <v>6.4</v>
      </c>
      <c r="R818" s="2" t="s">
        <v>1919</v>
      </c>
      <c r="S818" s="2"/>
      <c r="U818" s="2" t="s">
        <v>1920</v>
      </c>
      <c r="V818">
        <f ca="1" t="shared" si="23"/>
        <v>5.8</v>
      </c>
      <c r="AC818" s="2"/>
      <c r="AD818" t="str">
        <f>IFERROR(__xludf.DUMMYFUNCTION("""COMPUTED_VALUE"""),"Jack Reacher ")</f>
        <v>Jack Reacher </v>
      </c>
      <c r="AE818">
        <f t="shared" si="24"/>
        <v>80033513</v>
      </c>
    </row>
    <row r="819" customHeight="1" spans="1:31">
      <c r="A819" s="2" t="s">
        <v>1185</v>
      </c>
      <c r="B819" s="2">
        <v>135</v>
      </c>
      <c r="C819" s="2">
        <v>49994804</v>
      </c>
      <c r="D819" s="2" t="s">
        <v>1921</v>
      </c>
      <c r="E819" s="2" t="s">
        <v>59</v>
      </c>
      <c r="F819" t="s">
        <v>83</v>
      </c>
      <c r="G819" t="s">
        <v>24</v>
      </c>
      <c r="H819" t="s">
        <v>28</v>
      </c>
      <c r="N819" s="2" t="s">
        <v>18</v>
      </c>
      <c r="O819" s="2" t="s">
        <v>19</v>
      </c>
      <c r="P819" s="2">
        <v>55000000</v>
      </c>
      <c r="Q819" s="2">
        <v>6.3</v>
      </c>
      <c r="R819" s="2" t="s">
        <v>1922</v>
      </c>
      <c r="S819" s="2"/>
      <c r="U819" s="2" t="s">
        <v>1923</v>
      </c>
      <c r="V819">
        <f ca="1" t="shared" si="23"/>
        <v>7.3</v>
      </c>
      <c r="AC819" s="2"/>
      <c r="AD819" t="str">
        <f>IFERROR(__xludf.DUMMYFUNCTION("""COMPUTED_VALUE"""),"Deep Blue Sea ")</f>
        <v>Deep Blue Sea </v>
      </c>
      <c r="AE819">
        <f t="shared" si="24"/>
        <v>73648037</v>
      </c>
    </row>
    <row r="820" customHeight="1" spans="1:31">
      <c r="A820" s="2" t="s">
        <v>1188</v>
      </c>
      <c r="B820" s="2">
        <v>122</v>
      </c>
      <c r="C820" s="2">
        <v>41609593</v>
      </c>
      <c r="D820" s="2" t="s">
        <v>1327</v>
      </c>
      <c r="E820" s="2" t="s">
        <v>12</v>
      </c>
      <c r="F820" t="s">
        <v>28</v>
      </c>
      <c r="G820" t="s">
        <v>30</v>
      </c>
      <c r="H820" t="s">
        <v>24</v>
      </c>
      <c r="N820" s="2" t="s">
        <v>18</v>
      </c>
      <c r="O820" s="2" t="s">
        <v>31</v>
      </c>
      <c r="P820" s="2">
        <v>55000000</v>
      </c>
      <c r="Q820" s="2">
        <v>7.3</v>
      </c>
      <c r="R820" s="2" t="s">
        <v>1924</v>
      </c>
      <c r="S820" s="2"/>
      <c r="U820" s="2" t="s">
        <v>1925</v>
      </c>
      <c r="V820">
        <f ca="1" t="shared" si="23"/>
        <v>6</v>
      </c>
      <c r="AC820" s="2"/>
      <c r="AD820" t="str">
        <f>IFERROR(__xludf.DUMMYFUNCTION("""COMPUTED_VALUE"""),"This Is It ")</f>
        <v>This Is It </v>
      </c>
      <c r="AE820">
        <f t="shared" si="24"/>
        <v>71844313</v>
      </c>
    </row>
    <row r="821" customHeight="1" spans="1:31">
      <c r="A821" s="2" t="s">
        <v>823</v>
      </c>
      <c r="B821" s="2">
        <v>110</v>
      </c>
      <c r="C821" s="2">
        <v>38553833</v>
      </c>
      <c r="D821" s="2" t="s">
        <v>1926</v>
      </c>
      <c r="E821" s="2" t="s">
        <v>13</v>
      </c>
      <c r="F821" t="s">
        <v>72</v>
      </c>
      <c r="G821" t="s">
        <v>24</v>
      </c>
      <c r="H821" t="s">
        <v>17</v>
      </c>
      <c r="N821" s="2" t="s">
        <v>18</v>
      </c>
      <c r="O821" s="2" t="s">
        <v>19</v>
      </c>
      <c r="P821" s="2">
        <v>55000000</v>
      </c>
      <c r="Q821" s="2">
        <v>6.8</v>
      </c>
      <c r="R821" s="2" t="s">
        <v>1927</v>
      </c>
      <c r="S821" s="2"/>
      <c r="U821" s="2" t="s">
        <v>1928</v>
      </c>
      <c r="V821">
        <f ca="1" t="shared" si="23"/>
        <v>7.1</v>
      </c>
      <c r="AC821" s="2"/>
      <c r="AD821" t="str">
        <f>IFERROR(__xludf.DUMMYFUNCTION("""COMPUTED_VALUE"""),"Contagion ")</f>
        <v>Contagion </v>
      </c>
      <c r="AE821">
        <f t="shared" si="24"/>
        <v>75638637</v>
      </c>
    </row>
    <row r="822" customHeight="1" spans="1:31">
      <c r="A822" s="2" t="s">
        <v>1191</v>
      </c>
      <c r="B822" s="2">
        <v>95</v>
      </c>
      <c r="C822" s="2">
        <v>76137505</v>
      </c>
      <c r="D822" s="2" t="s">
        <v>303</v>
      </c>
      <c r="E822" s="2" t="s">
        <v>35</v>
      </c>
      <c r="F822" t="s">
        <v>17</v>
      </c>
      <c r="G822" t="s">
        <v>40</v>
      </c>
      <c r="H822" t="s">
        <v>24</v>
      </c>
      <c r="N822" s="2" t="s">
        <v>18</v>
      </c>
      <c r="O822" s="2" t="s">
        <v>31</v>
      </c>
      <c r="P822" s="2">
        <v>55000000</v>
      </c>
      <c r="Q822" s="2">
        <v>7.2</v>
      </c>
      <c r="R822" s="2" t="s">
        <v>1929</v>
      </c>
      <c r="S822" s="2"/>
      <c r="U822" s="2" t="s">
        <v>1930</v>
      </c>
      <c r="V822">
        <f ca="1" t="shared" si="23"/>
        <v>8</v>
      </c>
      <c r="AC822" s="2"/>
      <c r="AD822" t="str">
        <f>IFERROR(__xludf.DUMMYFUNCTION("""COMPUTED_VALUE"""),"Kangaroo Jack ")</f>
        <v>Kangaroo Jack </v>
      </c>
      <c r="AE822">
        <f t="shared" si="24"/>
        <v>66734903</v>
      </c>
    </row>
    <row r="823" customHeight="1" spans="1:31">
      <c r="A823" s="2" t="s">
        <v>1194</v>
      </c>
      <c r="B823" s="2">
        <v>102</v>
      </c>
      <c r="C823" s="2">
        <v>34350553</v>
      </c>
      <c r="D823" s="2" t="s">
        <v>703</v>
      </c>
      <c r="E823" s="2" t="s">
        <v>12</v>
      </c>
      <c r="F823" t="s">
        <v>24</v>
      </c>
      <c r="G823" t="s">
        <v>24</v>
      </c>
      <c r="H823" t="s">
        <v>15</v>
      </c>
      <c r="N823" s="2" t="s">
        <v>18</v>
      </c>
      <c r="O823" s="2" t="s">
        <v>19</v>
      </c>
      <c r="P823" s="2">
        <v>68000000</v>
      </c>
      <c r="Q823" s="2">
        <v>5.7</v>
      </c>
      <c r="R823" s="2" t="s">
        <v>1931</v>
      </c>
      <c r="S823" s="2"/>
      <c r="U823" s="2" t="s">
        <v>1932</v>
      </c>
      <c r="V823">
        <f ca="1" t="shared" ref="V823:V886" si="25">AVERAGEIF(A707:A4492,U823,Q708:Q4492)</f>
        <v>6.3</v>
      </c>
      <c r="AC823" s="2"/>
      <c r="AD823" t="str">
        <f>IFERROR(__xludf.DUMMYFUNCTION("""COMPUTED_VALUE"""),"Coraline ")</f>
        <v>Coraline </v>
      </c>
      <c r="AE823">
        <f t="shared" ref="AE823:AE886" si="26">C707-B707</f>
        <v>75279958</v>
      </c>
    </row>
    <row r="824" customHeight="1" spans="1:31">
      <c r="A824" s="2" t="s">
        <v>1196</v>
      </c>
      <c r="B824" s="2">
        <v>94</v>
      </c>
      <c r="C824" s="2">
        <v>34238611</v>
      </c>
      <c r="D824" s="2" t="s">
        <v>186</v>
      </c>
      <c r="E824" s="2" t="s">
        <v>12</v>
      </c>
      <c r="F824" t="s">
        <v>30</v>
      </c>
      <c r="G824" t="s">
        <v>14</v>
      </c>
      <c r="H824" t="s">
        <v>24</v>
      </c>
      <c r="N824" s="2" t="s">
        <v>18</v>
      </c>
      <c r="O824" s="2" t="s">
        <v>19</v>
      </c>
      <c r="P824" s="2">
        <v>55000000</v>
      </c>
      <c r="Q824" s="2">
        <v>6</v>
      </c>
      <c r="R824" s="2" t="s">
        <v>1933</v>
      </c>
      <c r="S824" s="2"/>
      <c r="U824" s="2" t="s">
        <v>1934</v>
      </c>
      <c r="V824">
        <f ca="1" t="shared" si="25"/>
        <v>7.7</v>
      </c>
      <c r="AC824" s="2"/>
      <c r="AD824" t="str">
        <f>IFERROR(__xludf.DUMMYFUNCTION("""COMPUTED_VALUE"""),"The Happening ")</f>
        <v>The Happening </v>
      </c>
      <c r="AE824">
        <f t="shared" si="26"/>
        <v>64505821</v>
      </c>
    </row>
    <row r="825" customHeight="1" spans="1:31">
      <c r="A825" s="2" t="s">
        <v>273</v>
      </c>
      <c r="B825" s="2">
        <v>126</v>
      </c>
      <c r="C825" s="2">
        <v>34098563</v>
      </c>
      <c r="D825" s="2" t="s">
        <v>1655</v>
      </c>
      <c r="E825" s="2" t="s">
        <v>30</v>
      </c>
      <c r="F825" t="s">
        <v>30</v>
      </c>
      <c r="G825" t="s">
        <v>30</v>
      </c>
      <c r="H825" t="s">
        <v>28</v>
      </c>
      <c r="N825" s="2" t="s">
        <v>18</v>
      </c>
      <c r="O825" s="2" t="s">
        <v>19</v>
      </c>
      <c r="P825" s="2">
        <v>55000000</v>
      </c>
      <c r="Q825" s="2">
        <v>6.5</v>
      </c>
      <c r="R825" s="2" t="s">
        <v>1935</v>
      </c>
      <c r="S825" s="2"/>
      <c r="U825" s="2" t="s">
        <v>1936</v>
      </c>
      <c r="V825">
        <f ca="1" t="shared" si="25"/>
        <v>6.45</v>
      </c>
      <c r="AC825" s="2"/>
      <c r="AD825" t="str">
        <f>IFERROR(__xludf.DUMMYFUNCTION("""COMPUTED_VALUE"""),"Man on Fire ")</f>
        <v>Man on Fire </v>
      </c>
      <c r="AE825">
        <f t="shared" si="26"/>
        <v>77862400</v>
      </c>
    </row>
    <row r="826" customHeight="1" spans="1:31">
      <c r="A826" s="2" t="s">
        <v>956</v>
      </c>
      <c r="B826" s="2">
        <v>118</v>
      </c>
      <c r="C826" s="2">
        <v>33828318</v>
      </c>
      <c r="D826" s="2" t="s">
        <v>40</v>
      </c>
      <c r="E826" s="2" t="s">
        <v>40</v>
      </c>
      <c r="F826" t="s">
        <v>17</v>
      </c>
      <c r="G826" t="s">
        <v>28</v>
      </c>
      <c r="H826" t="s">
        <v>24</v>
      </c>
      <c r="N826" s="2" t="s">
        <v>18</v>
      </c>
      <c r="O826" s="2" t="s">
        <v>19</v>
      </c>
      <c r="P826" s="2">
        <v>55000000</v>
      </c>
      <c r="Q826" s="2">
        <v>5.8</v>
      </c>
      <c r="R826" s="2" t="s">
        <v>1937</v>
      </c>
      <c r="S826" s="2"/>
      <c r="U826" s="2" t="s">
        <v>1938</v>
      </c>
      <c r="V826">
        <f ca="1" t="shared" si="25"/>
        <v>6.3</v>
      </c>
      <c r="AC826" s="2"/>
      <c r="AD826" t="str">
        <f>IFERROR(__xludf.DUMMYFUNCTION("""COMPUTED_VALUE"""),"The Shaggy Dog ")</f>
        <v>The Shaggy Dog </v>
      </c>
      <c r="AE826">
        <f t="shared" si="26"/>
        <v>61112818</v>
      </c>
    </row>
    <row r="827" customHeight="1" spans="1:31">
      <c r="A827" s="2" t="s">
        <v>1198</v>
      </c>
      <c r="B827" s="2">
        <v>99</v>
      </c>
      <c r="C827" s="2">
        <v>33472850</v>
      </c>
      <c r="D827" s="2" t="s">
        <v>1581</v>
      </c>
      <c r="E827" s="2" t="s">
        <v>40</v>
      </c>
      <c r="F827" t="s">
        <v>13</v>
      </c>
      <c r="G827" t="s">
        <v>24</v>
      </c>
      <c r="H827" t="s">
        <v>17</v>
      </c>
      <c r="N827" s="2" t="s">
        <v>18</v>
      </c>
      <c r="O827" s="2" t="s">
        <v>19</v>
      </c>
      <c r="P827" s="2">
        <v>55000000</v>
      </c>
      <c r="Q827" s="2">
        <v>5.8</v>
      </c>
      <c r="R827" s="2" t="s">
        <v>1939</v>
      </c>
      <c r="S827" s="2"/>
      <c r="U827" s="2" t="s">
        <v>1940</v>
      </c>
      <c r="V827">
        <f ca="1" t="shared" si="25"/>
        <v>8</v>
      </c>
      <c r="AC827" s="2"/>
      <c r="AD827" t="str">
        <f>IFERROR(__xludf.DUMMYFUNCTION("""COMPUTED_VALUE"""),"Starsky &amp; Hutch ")</f>
        <v>Starsky &amp; Hutch </v>
      </c>
      <c r="AE827">
        <f t="shared" si="26"/>
        <v>88200124</v>
      </c>
    </row>
    <row r="828" customHeight="1" spans="1:31">
      <c r="A828" s="2" t="s">
        <v>1200</v>
      </c>
      <c r="B828" s="2">
        <v>88</v>
      </c>
      <c r="C828" s="2">
        <v>31051126</v>
      </c>
      <c r="D828" s="2" t="s">
        <v>189</v>
      </c>
      <c r="E828" s="2" t="s">
        <v>13</v>
      </c>
      <c r="F828" t="s">
        <v>56</v>
      </c>
      <c r="G828" t="s">
        <v>40</v>
      </c>
      <c r="H828" t="s">
        <v>17</v>
      </c>
      <c r="N828" s="2" t="s">
        <v>18</v>
      </c>
      <c r="O828" s="2" t="s">
        <v>31</v>
      </c>
      <c r="P828" s="2">
        <v>55000000</v>
      </c>
      <c r="Q828" s="2">
        <v>6.7</v>
      </c>
      <c r="R828" s="2" t="s">
        <v>1941</v>
      </c>
      <c r="S828" s="2"/>
      <c r="U828" s="2" t="s">
        <v>1942</v>
      </c>
      <c r="V828">
        <f ca="1" t="shared" si="25"/>
        <v>5.75</v>
      </c>
      <c r="AC828" s="2"/>
      <c r="AD828" t="str">
        <f>IFERROR(__xludf.DUMMYFUNCTION("""COMPUTED_VALUE"""),"Jingle All the Way ")</f>
        <v>Jingle All the Way </v>
      </c>
      <c r="AE828">
        <f t="shared" si="26"/>
        <v>60573547</v>
      </c>
    </row>
    <row r="829" customHeight="1" spans="1:31">
      <c r="A829" s="2" t="s">
        <v>1000</v>
      </c>
      <c r="B829" s="2">
        <v>141</v>
      </c>
      <c r="C829" s="2">
        <v>35707327</v>
      </c>
      <c r="D829" s="2" t="s">
        <v>814</v>
      </c>
      <c r="E829" s="2" t="s">
        <v>56</v>
      </c>
      <c r="F829" t="s">
        <v>24</v>
      </c>
      <c r="G829" t="s">
        <v>24</v>
      </c>
      <c r="H829" t="s">
        <v>23</v>
      </c>
      <c r="N829" s="2" t="s">
        <v>18</v>
      </c>
      <c r="O829" s="2" t="s">
        <v>19</v>
      </c>
      <c r="P829" s="2">
        <v>55000000</v>
      </c>
      <c r="Q829" s="2">
        <v>7.8</v>
      </c>
      <c r="R829" s="2" t="s">
        <v>1943</v>
      </c>
      <c r="S829" s="2"/>
      <c r="U829" s="2" t="s">
        <v>1944</v>
      </c>
      <c r="V829">
        <f ca="1" t="shared" si="25"/>
        <v>6.6</v>
      </c>
      <c r="AC829" s="2"/>
      <c r="AD829" t="str">
        <f>IFERROR(__xludf.DUMMYFUNCTION("""COMPUTED_VALUE"""),"Hellboy ")</f>
        <v>Hellboy </v>
      </c>
      <c r="AE829">
        <f t="shared" si="26"/>
        <v>59034972</v>
      </c>
    </row>
    <row r="830" customHeight="1" spans="1:31">
      <c r="A830" s="2" t="s">
        <v>771</v>
      </c>
      <c r="B830" s="2">
        <v>107</v>
      </c>
      <c r="C830" s="2">
        <v>20550712</v>
      </c>
      <c r="D830" s="2" t="s">
        <v>511</v>
      </c>
      <c r="E830" s="2" t="s">
        <v>12</v>
      </c>
      <c r="F830" t="s">
        <v>56</v>
      </c>
      <c r="G830" t="s">
        <v>15</v>
      </c>
      <c r="H830" t="s">
        <v>24</v>
      </c>
      <c r="N830" s="2" t="s">
        <v>18</v>
      </c>
      <c r="O830" s="2" t="s">
        <v>19</v>
      </c>
      <c r="P830" s="2">
        <v>50000000</v>
      </c>
      <c r="Q830" s="2">
        <v>5.6</v>
      </c>
      <c r="R830" s="2" t="s">
        <v>1945</v>
      </c>
      <c r="S830" s="2"/>
      <c r="U830" s="2" t="s">
        <v>1946</v>
      </c>
      <c r="V830">
        <f ca="1" t="shared" si="25"/>
        <v>5.43333333333333</v>
      </c>
      <c r="AC830" s="2"/>
      <c r="AD830" t="str">
        <f>IFERROR(__xludf.DUMMYFUNCTION("""COMPUTED_VALUE"""),"A Civil Action ")</f>
        <v>A Civil Action </v>
      </c>
      <c r="AE830">
        <f t="shared" si="26"/>
        <v>56702786</v>
      </c>
    </row>
    <row r="831" customHeight="1" spans="1:31">
      <c r="A831" s="2" t="s">
        <v>617</v>
      </c>
      <c r="B831" s="2">
        <v>116</v>
      </c>
      <c r="C831" s="2">
        <v>18573791</v>
      </c>
      <c r="D831" s="2" t="s">
        <v>1947</v>
      </c>
      <c r="E831" s="2" t="s">
        <v>12</v>
      </c>
      <c r="F831" t="s">
        <v>35</v>
      </c>
      <c r="G831" t="s">
        <v>17</v>
      </c>
      <c r="H831" t="s">
        <v>15</v>
      </c>
      <c r="N831" s="2" t="s">
        <v>18</v>
      </c>
      <c r="O831" s="2" t="s">
        <v>19</v>
      </c>
      <c r="P831" s="2">
        <v>55000000</v>
      </c>
      <c r="Q831" s="2">
        <v>5.8</v>
      </c>
      <c r="R831" s="2" t="s">
        <v>1948</v>
      </c>
      <c r="S831" s="2"/>
      <c r="U831" s="2" t="s">
        <v>1949</v>
      </c>
      <c r="V831">
        <f ca="1" t="shared" si="25"/>
        <v>7.2</v>
      </c>
      <c r="AC831" s="2"/>
      <c r="AD831" t="str">
        <f>IFERROR(__xludf.DUMMYFUNCTION("""COMPUTED_VALUE"""),"ParaNorman ")</f>
        <v>ParaNorman </v>
      </c>
      <c r="AE831">
        <f t="shared" si="26"/>
        <v>55994465</v>
      </c>
    </row>
    <row r="832" customHeight="1" spans="1:31">
      <c r="A832" s="2" t="s">
        <v>490</v>
      </c>
      <c r="B832" s="2">
        <v>143</v>
      </c>
      <c r="C832" s="2">
        <v>51225796</v>
      </c>
      <c r="D832" s="2" t="s">
        <v>1950</v>
      </c>
      <c r="E832" s="2" t="s">
        <v>30</v>
      </c>
      <c r="F832" t="s">
        <v>16</v>
      </c>
      <c r="G832" t="s">
        <v>17</v>
      </c>
      <c r="H832" t="s">
        <v>28</v>
      </c>
      <c r="N832" s="2" t="s">
        <v>18</v>
      </c>
      <c r="O832" s="2" t="s">
        <v>31</v>
      </c>
      <c r="P832" s="2">
        <v>70000000</v>
      </c>
      <c r="Q832" s="2">
        <v>7.4</v>
      </c>
      <c r="R832" s="2" t="s">
        <v>1951</v>
      </c>
      <c r="S832" s="2"/>
      <c r="U832" s="2" t="s">
        <v>1952</v>
      </c>
      <c r="V832">
        <f ca="1" t="shared" si="25"/>
        <v>6.96</v>
      </c>
      <c r="AC832" s="2"/>
      <c r="AD832" t="str">
        <f>IFERROR(__xludf.DUMMYFUNCTION("""COMPUTED_VALUE"""),"The Jackal ")</f>
        <v>The Jackal </v>
      </c>
      <c r="AE832">
        <f t="shared" si="26"/>
        <v>54910436</v>
      </c>
    </row>
    <row r="833" customHeight="1" spans="1:31">
      <c r="A833" s="2" t="s">
        <v>1203</v>
      </c>
      <c r="B833" s="2">
        <v>114</v>
      </c>
      <c r="C833" s="2">
        <v>16264475</v>
      </c>
      <c r="D833" s="2" t="s">
        <v>1284</v>
      </c>
      <c r="E833" s="2" t="s">
        <v>59</v>
      </c>
      <c r="F833" t="s">
        <v>28</v>
      </c>
      <c r="G833" t="s">
        <v>83</v>
      </c>
      <c r="H833" t="s">
        <v>28</v>
      </c>
      <c r="N833" s="2" t="s">
        <v>18</v>
      </c>
      <c r="O833" s="2" t="s">
        <v>31</v>
      </c>
      <c r="P833" s="2">
        <v>55000000</v>
      </c>
      <c r="Q833" s="2">
        <v>6.9</v>
      </c>
      <c r="R833" s="2" t="s">
        <v>1953</v>
      </c>
      <c r="S833" s="2"/>
      <c r="U833" s="2" t="s">
        <v>1954</v>
      </c>
      <c r="V833">
        <f ca="1" t="shared" si="25"/>
        <v>5.525</v>
      </c>
      <c r="AC833" s="2"/>
      <c r="AD833" t="str">
        <f>IFERROR(__xludf.DUMMYFUNCTION("""COMPUTED_VALUE"""),"Paycheck ")</f>
        <v>Paycheck </v>
      </c>
      <c r="AE833">
        <f t="shared" si="26"/>
        <v>53789194</v>
      </c>
    </row>
    <row r="834" customHeight="1" spans="1:31">
      <c r="A834" s="2" t="s">
        <v>1205</v>
      </c>
      <c r="B834" s="2">
        <v>93</v>
      </c>
      <c r="C834" s="2">
        <v>25857987</v>
      </c>
      <c r="D834" s="2" t="s">
        <v>256</v>
      </c>
      <c r="E834" s="2" t="s">
        <v>12</v>
      </c>
      <c r="F834" t="s">
        <v>56</v>
      </c>
      <c r="G834" t="s">
        <v>30</v>
      </c>
      <c r="H834" t="s">
        <v>14</v>
      </c>
      <c r="N834" s="2" t="s">
        <v>18</v>
      </c>
      <c r="O834" s="2" t="s">
        <v>19</v>
      </c>
      <c r="P834" s="2">
        <v>62000000</v>
      </c>
      <c r="Q834" s="2">
        <v>5.5</v>
      </c>
      <c r="R834" s="2" t="s">
        <v>1955</v>
      </c>
      <c r="S834" s="2"/>
      <c r="U834" s="2" t="s">
        <v>1956</v>
      </c>
      <c r="V834">
        <f ca="1" t="shared" si="25"/>
        <v>7.35</v>
      </c>
      <c r="AC834" s="2"/>
      <c r="AD834" t="str">
        <f>IFERROR(__xludf.DUMMYFUNCTION("""COMPUTED_VALUE"""),"Up Close &amp; Personal ")</f>
        <v>Up Close &amp; Personal </v>
      </c>
      <c r="AE834">
        <f t="shared" si="26"/>
        <v>51045677</v>
      </c>
    </row>
    <row r="835" customHeight="1" spans="1:31">
      <c r="A835" s="2" t="s">
        <v>1208</v>
      </c>
      <c r="B835" s="2">
        <v>280</v>
      </c>
      <c r="C835" s="2">
        <v>12870569</v>
      </c>
      <c r="D835" s="2" t="s">
        <v>731</v>
      </c>
      <c r="E835" s="2" t="s">
        <v>30</v>
      </c>
      <c r="F835" t="s">
        <v>55</v>
      </c>
      <c r="G835" t="s">
        <v>17</v>
      </c>
      <c r="H835" t="s">
        <v>16</v>
      </c>
      <c r="N835" s="2" t="s">
        <v>18</v>
      </c>
      <c r="O835" s="2" t="s">
        <v>19</v>
      </c>
      <c r="P835" s="2">
        <v>56000000</v>
      </c>
      <c r="Q835" s="2">
        <v>6.3</v>
      </c>
      <c r="R835" s="2" t="s">
        <v>1957</v>
      </c>
      <c r="S835" s="2"/>
      <c r="U835" s="2" t="s">
        <v>1958</v>
      </c>
      <c r="V835">
        <f ca="1" t="shared" si="25"/>
        <v>6.45</v>
      </c>
      <c r="AC835" s="2"/>
      <c r="AD835" t="str">
        <f>IFERROR(__xludf.DUMMYFUNCTION("""COMPUTED_VALUE"""),"The Tale of Despereaux ")</f>
        <v>The Tale of Despereaux </v>
      </c>
      <c r="AE835">
        <f t="shared" si="26"/>
        <v>50818657</v>
      </c>
    </row>
    <row r="836" customHeight="1" spans="1:31">
      <c r="A836" s="2" t="s">
        <v>1210</v>
      </c>
      <c r="B836" s="2">
        <v>100</v>
      </c>
      <c r="C836" s="2">
        <v>11466088</v>
      </c>
      <c r="D836" s="2" t="s">
        <v>34</v>
      </c>
      <c r="E836" s="2" t="s">
        <v>12</v>
      </c>
      <c r="F836" t="s">
        <v>30</v>
      </c>
      <c r="G836" t="s">
        <v>24</v>
      </c>
      <c r="H836" t="s">
        <v>24</v>
      </c>
      <c r="N836" s="2" t="s">
        <v>18</v>
      </c>
      <c r="O836" s="2" t="s">
        <v>19</v>
      </c>
      <c r="P836" s="2">
        <v>71000000</v>
      </c>
      <c r="Q836" s="2">
        <v>4.7</v>
      </c>
      <c r="R836" s="2" t="s">
        <v>1959</v>
      </c>
      <c r="S836" s="2"/>
      <c r="U836" s="2" t="s">
        <v>1960</v>
      </c>
      <c r="V836">
        <f ca="1" t="shared" si="25"/>
        <v>6.45</v>
      </c>
      <c r="AC836" s="2"/>
      <c r="AD836" t="str">
        <f>IFERROR(__xludf.DUMMYFUNCTION("""COMPUTED_VALUE"""),"The Tuxedo ")</f>
        <v>The Tuxedo </v>
      </c>
      <c r="AE836">
        <f t="shared" si="26"/>
        <v>50189081</v>
      </c>
    </row>
    <row r="837" customHeight="1" spans="1:31">
      <c r="A837" s="2" t="s">
        <v>1213</v>
      </c>
      <c r="B837" s="2">
        <v>107</v>
      </c>
      <c r="C837" s="2">
        <v>16088610</v>
      </c>
      <c r="D837" s="2" t="s">
        <v>1961</v>
      </c>
      <c r="E837" s="2" t="s">
        <v>40</v>
      </c>
      <c r="F837" t="s">
        <v>72</v>
      </c>
      <c r="G837" t="s">
        <v>56</v>
      </c>
      <c r="H837" t="s">
        <v>24</v>
      </c>
      <c r="N837" s="2" t="s">
        <v>18</v>
      </c>
      <c r="O837" s="2" t="s">
        <v>19</v>
      </c>
      <c r="P837" s="2">
        <v>55000000</v>
      </c>
      <c r="Q837" s="2">
        <v>5.6</v>
      </c>
      <c r="R837" s="2" t="s">
        <v>1962</v>
      </c>
      <c r="S837" s="2"/>
      <c r="U837" s="2" t="s">
        <v>1963</v>
      </c>
      <c r="V837">
        <f ca="1" t="shared" si="25"/>
        <v>6.6</v>
      </c>
      <c r="AC837" s="2"/>
      <c r="AD837" t="str">
        <f>IFERROR(__xludf.DUMMYFUNCTION("""COMPUTED_VALUE"""),"Under Siege 2: Dark Territory ")</f>
        <v>Under Siege 2: Dark Territory </v>
      </c>
      <c r="AE837">
        <f t="shared" si="26"/>
        <v>50023991</v>
      </c>
    </row>
    <row r="838" customHeight="1" spans="1:31">
      <c r="A838" s="2" t="s">
        <v>278</v>
      </c>
      <c r="B838" s="2">
        <v>119</v>
      </c>
      <c r="C838" s="2">
        <v>51178893</v>
      </c>
      <c r="D838" s="2" t="s">
        <v>1964</v>
      </c>
      <c r="E838" s="2" t="s">
        <v>13</v>
      </c>
      <c r="F838" t="s">
        <v>55</v>
      </c>
      <c r="G838" t="s">
        <v>24</v>
      </c>
      <c r="H838" t="s">
        <v>24</v>
      </c>
      <c r="N838" s="2" t="s">
        <v>18</v>
      </c>
      <c r="O838" s="2" t="s">
        <v>19</v>
      </c>
      <c r="P838" s="2">
        <v>50000000</v>
      </c>
      <c r="Q838" s="2">
        <v>6.4</v>
      </c>
      <c r="R838" s="2" t="s">
        <v>1965</v>
      </c>
      <c r="S838" s="2"/>
      <c r="U838" s="2" t="s">
        <v>1966</v>
      </c>
      <c r="V838">
        <f ca="1" t="shared" si="25"/>
        <v>7.05</v>
      </c>
      <c r="AC838" s="2"/>
      <c r="AD838" t="str">
        <f>IFERROR(__xludf.DUMMYFUNCTION("""COMPUTED_VALUE"""),"Jack Ryan: Shadow Recruit ")</f>
        <v>Jack Ryan: Shadow Recruit </v>
      </c>
      <c r="AE838">
        <f t="shared" si="26"/>
        <v>50549002</v>
      </c>
    </row>
    <row r="839" customHeight="1" spans="1:31">
      <c r="A839" s="2" t="s">
        <v>934</v>
      </c>
      <c r="B839" s="2">
        <v>95</v>
      </c>
      <c r="C839" s="2">
        <v>6768055</v>
      </c>
      <c r="D839" s="2" t="s">
        <v>1192</v>
      </c>
      <c r="E839" s="2" t="s">
        <v>12</v>
      </c>
      <c r="F839" t="s">
        <v>17</v>
      </c>
      <c r="G839" t="s">
        <v>30</v>
      </c>
      <c r="H839" t="s">
        <v>24</v>
      </c>
      <c r="N839" s="2" t="s">
        <v>18</v>
      </c>
      <c r="O839" s="2" t="s">
        <v>31</v>
      </c>
      <c r="P839" s="2">
        <v>57000000</v>
      </c>
      <c r="Q839" s="2">
        <v>4.2</v>
      </c>
      <c r="R839" s="2" t="s">
        <v>1967</v>
      </c>
      <c r="S839" s="2"/>
      <c r="U839" s="2" t="s">
        <v>1968</v>
      </c>
      <c r="V839">
        <f ca="1" t="shared" si="25"/>
        <v>6</v>
      </c>
      <c r="AC839" s="2"/>
      <c r="AD839" t="str">
        <f>IFERROR(__xludf.DUMMYFUNCTION("""COMPUTED_VALUE"""),"Joy ")</f>
        <v>Joy </v>
      </c>
      <c r="AE839">
        <f t="shared" si="26"/>
        <v>56443358</v>
      </c>
    </row>
    <row r="840" customHeight="1" spans="1:31">
      <c r="A840" s="2" t="s">
        <v>1216</v>
      </c>
      <c r="B840" s="2">
        <v>119</v>
      </c>
      <c r="C840" s="2">
        <v>39440655</v>
      </c>
      <c r="D840" s="2" t="s">
        <v>1969</v>
      </c>
      <c r="E840" s="2" t="s">
        <v>30</v>
      </c>
      <c r="F840" t="s">
        <v>56</v>
      </c>
      <c r="G840" t="s">
        <v>40</v>
      </c>
      <c r="H840" t="s">
        <v>24</v>
      </c>
      <c r="N840" s="2" t="s">
        <v>18</v>
      </c>
      <c r="O840" s="2" t="s">
        <v>19</v>
      </c>
      <c r="P840" s="2">
        <v>55000000</v>
      </c>
      <c r="Q840" s="2">
        <v>6.4</v>
      </c>
      <c r="R840" s="2" t="s">
        <v>1970</v>
      </c>
      <c r="S840" s="2"/>
      <c r="U840" s="2" t="s">
        <v>1971</v>
      </c>
      <c r="V840">
        <f ca="1" t="shared" si="25"/>
        <v>6.58181818181818</v>
      </c>
      <c r="AC840" s="2"/>
      <c r="AD840" t="str">
        <f>IFERROR(__xludf.DUMMYFUNCTION("""COMPUTED_VALUE"""),"London Has Fallen ")</f>
        <v>London Has Fallen </v>
      </c>
      <c r="AE840">
        <f t="shared" si="26"/>
        <v>62401165</v>
      </c>
    </row>
    <row r="841" customHeight="1" spans="1:31">
      <c r="A841" s="2" t="s">
        <v>1096</v>
      </c>
      <c r="B841" s="2">
        <v>133</v>
      </c>
      <c r="C841" s="2">
        <v>6167817</v>
      </c>
      <c r="D841" s="2" t="s">
        <v>1972</v>
      </c>
      <c r="E841" s="2" t="s">
        <v>30</v>
      </c>
      <c r="F841" t="s">
        <v>55</v>
      </c>
      <c r="G841" t="s">
        <v>17</v>
      </c>
      <c r="H841" t="s">
        <v>39</v>
      </c>
      <c r="N841" s="2" t="s">
        <v>1125</v>
      </c>
      <c r="O841" s="2" t="s">
        <v>707</v>
      </c>
      <c r="P841" s="2">
        <v>47000000</v>
      </c>
      <c r="Q841" s="2">
        <v>7.7</v>
      </c>
      <c r="R841" s="2" t="s">
        <v>1973</v>
      </c>
      <c r="S841" s="2"/>
      <c r="U841" s="2" t="s">
        <v>1974</v>
      </c>
      <c r="V841">
        <f ca="1" t="shared" si="25"/>
        <v>6.1</v>
      </c>
      <c r="AC841" s="2"/>
      <c r="AD841" t="str">
        <f>IFERROR(__xludf.DUMMYFUNCTION("""COMPUTED_VALUE"""),"Alien: Resurrection ")</f>
        <v>Alien: Resurrection </v>
      </c>
      <c r="AE841">
        <f t="shared" si="26"/>
        <v>47748494</v>
      </c>
    </row>
    <row r="842" customHeight="1" spans="1:31">
      <c r="A842" s="2" t="s">
        <v>163</v>
      </c>
      <c r="B842" s="2">
        <v>117</v>
      </c>
      <c r="C842" s="2">
        <v>81645152</v>
      </c>
      <c r="D842" s="2" t="s">
        <v>843</v>
      </c>
      <c r="E842" s="2" t="s">
        <v>12</v>
      </c>
      <c r="F842" t="s">
        <v>30</v>
      </c>
      <c r="G842" t="s">
        <v>24</v>
      </c>
      <c r="H842" t="s">
        <v>17</v>
      </c>
      <c r="N842" s="2" t="s">
        <v>18</v>
      </c>
      <c r="O842" s="2" t="s">
        <v>19</v>
      </c>
      <c r="P842" s="2">
        <v>54000000</v>
      </c>
      <c r="Q842" s="2">
        <v>6.7</v>
      </c>
      <c r="R842" s="2" t="s">
        <v>1975</v>
      </c>
      <c r="S842" s="2"/>
      <c r="U842" s="2" t="s">
        <v>1976</v>
      </c>
      <c r="V842">
        <f ca="1" t="shared" si="25"/>
        <v>3.6</v>
      </c>
      <c r="AC842" s="2"/>
      <c r="AD842" t="str">
        <f>IFERROR(__xludf.DUMMYFUNCTION("""COMPUTED_VALUE"""),"Shooter ")</f>
        <v>Shooter </v>
      </c>
      <c r="AE842">
        <f t="shared" si="26"/>
        <v>46975059</v>
      </c>
    </row>
    <row r="843" customHeight="1" spans="1:31">
      <c r="A843" s="2" t="s">
        <v>1179</v>
      </c>
      <c r="B843" s="2">
        <v>123</v>
      </c>
      <c r="C843" s="2">
        <v>69951824</v>
      </c>
      <c r="D843" s="2" t="s">
        <v>103</v>
      </c>
      <c r="E843" s="2" t="s">
        <v>30</v>
      </c>
      <c r="F843" t="s">
        <v>23</v>
      </c>
      <c r="G843" t="s">
        <v>30</v>
      </c>
      <c r="H843" t="s">
        <v>28</v>
      </c>
      <c r="N843" s="2" t="s">
        <v>18</v>
      </c>
      <c r="O843" s="2" t="s">
        <v>19</v>
      </c>
      <c r="P843" s="2">
        <v>55000000</v>
      </c>
      <c r="Q843" s="2">
        <v>7.7</v>
      </c>
      <c r="R843" s="2" t="s">
        <v>1977</v>
      </c>
      <c r="S843" s="2"/>
      <c r="U843" s="2" t="s">
        <v>1978</v>
      </c>
      <c r="V843">
        <f ca="1" t="shared" si="25"/>
        <v>6.63333333333333</v>
      </c>
      <c r="AC843" s="2"/>
      <c r="AD843" t="str">
        <f>IFERROR(__xludf.DUMMYFUNCTION("""COMPUTED_VALUE"""),"The Boxtrolls ")</f>
        <v>The Boxtrolls </v>
      </c>
      <c r="AE843">
        <f t="shared" si="26"/>
        <v>50807543</v>
      </c>
    </row>
    <row r="844" customHeight="1" spans="1:31">
      <c r="A844" s="2" t="s">
        <v>1132</v>
      </c>
      <c r="B844" s="2">
        <v>92</v>
      </c>
      <c r="C844" s="2">
        <v>9483821</v>
      </c>
      <c r="D844" s="2" t="s">
        <v>34</v>
      </c>
      <c r="E844" s="2" t="s">
        <v>12</v>
      </c>
      <c r="F844" t="s">
        <v>17</v>
      </c>
      <c r="G844" t="s">
        <v>14</v>
      </c>
      <c r="H844" t="s">
        <v>29</v>
      </c>
      <c r="N844" s="2" t="s">
        <v>18</v>
      </c>
      <c r="O844" s="2" t="s">
        <v>19</v>
      </c>
      <c r="P844" s="2">
        <v>55000000</v>
      </c>
      <c r="Q844" s="2">
        <v>5.7</v>
      </c>
      <c r="R844" s="2" t="s">
        <v>1979</v>
      </c>
      <c r="S844" s="2"/>
      <c r="U844" s="2" t="s">
        <v>1980</v>
      </c>
      <c r="V844">
        <f ca="1" t="shared" si="25"/>
        <v>6</v>
      </c>
      <c r="AC844" s="2"/>
      <c r="AD844" t="str">
        <f>IFERROR(__xludf.DUMMYFUNCTION("""COMPUTED_VALUE"""),"Practical Magic ")</f>
        <v>Practical Magic </v>
      </c>
      <c r="AE844">
        <f t="shared" si="26"/>
        <v>46611100</v>
      </c>
    </row>
    <row r="845" customHeight="1" spans="1:31">
      <c r="A845" s="2" t="s">
        <v>1218</v>
      </c>
      <c r="B845" s="2">
        <v>170</v>
      </c>
      <c r="C845" s="2">
        <v>66676062</v>
      </c>
      <c r="D845" s="2" t="s">
        <v>718</v>
      </c>
      <c r="E845" s="2" t="s">
        <v>56</v>
      </c>
      <c r="F845" t="s">
        <v>13</v>
      </c>
      <c r="G845" t="s">
        <v>28</v>
      </c>
      <c r="H845" t="s">
        <v>24</v>
      </c>
      <c r="N845" s="2" t="s">
        <v>18</v>
      </c>
      <c r="O845" s="2" t="s">
        <v>19</v>
      </c>
      <c r="P845" s="2">
        <v>54000000</v>
      </c>
      <c r="Q845" s="2">
        <v>7.6</v>
      </c>
      <c r="R845" s="2" t="s">
        <v>1981</v>
      </c>
      <c r="S845" s="2"/>
      <c r="U845" s="2" t="s">
        <v>1982</v>
      </c>
      <c r="V845">
        <f ca="1" t="shared" si="25"/>
        <v>6.7</v>
      </c>
      <c r="AC845" s="2"/>
      <c r="AD845" t="str">
        <f>IFERROR(__xludf.DUMMYFUNCTION("""COMPUTED_VALUE"""),"The Lego Movie ")</f>
        <v>The Lego Movie </v>
      </c>
      <c r="AE845">
        <f t="shared" si="26"/>
        <v>257756097</v>
      </c>
    </row>
    <row r="846" customHeight="1" spans="1:31">
      <c r="A846" s="2" t="s">
        <v>929</v>
      </c>
      <c r="B846" s="2">
        <v>123</v>
      </c>
      <c r="C846" s="2">
        <v>26838389</v>
      </c>
      <c r="D846" s="2" t="s">
        <v>521</v>
      </c>
      <c r="E846" s="2" t="s">
        <v>40</v>
      </c>
      <c r="F846" t="s">
        <v>29</v>
      </c>
      <c r="G846" t="s">
        <v>17</v>
      </c>
      <c r="H846" t="s">
        <v>28</v>
      </c>
      <c r="N846" s="2" t="s">
        <v>18</v>
      </c>
      <c r="O846" s="2" t="s">
        <v>19</v>
      </c>
      <c r="P846" s="2">
        <v>57000000</v>
      </c>
      <c r="Q846" s="2">
        <v>6.4</v>
      </c>
      <c r="R846" s="2" t="s">
        <v>1983</v>
      </c>
      <c r="S846" s="2"/>
      <c r="U846" s="2" t="s">
        <v>1984</v>
      </c>
      <c r="V846">
        <f ca="1" t="shared" si="25"/>
        <v>6.4</v>
      </c>
      <c r="AC846" s="2"/>
      <c r="AD846" t="str">
        <f>IFERROR(__xludf.DUMMYFUNCTION("""COMPUTED_VALUE"""),"Miss Congeniality 2: Armed and Fabulous ")</f>
        <v>Miss Congeniality 2: Armed and Fabulous </v>
      </c>
      <c r="AE846">
        <f t="shared" si="26"/>
        <v>48472098</v>
      </c>
    </row>
    <row r="847" customHeight="1" spans="1:31">
      <c r="A847" s="2" t="s">
        <v>105</v>
      </c>
      <c r="B847" s="2">
        <v>110</v>
      </c>
      <c r="C847" s="2">
        <v>75604320</v>
      </c>
      <c r="D847" s="2" t="s">
        <v>607</v>
      </c>
      <c r="E847" s="2" t="s">
        <v>40</v>
      </c>
      <c r="F847" t="s">
        <v>14</v>
      </c>
      <c r="G847" t="s">
        <v>30</v>
      </c>
      <c r="H847" t="s">
        <v>23</v>
      </c>
      <c r="N847" s="2" t="s">
        <v>18</v>
      </c>
      <c r="O847" s="2" t="s">
        <v>19</v>
      </c>
      <c r="P847" s="2">
        <v>54000000</v>
      </c>
      <c r="Q847" s="2">
        <v>5.6</v>
      </c>
      <c r="R847" s="2" t="s">
        <v>1985</v>
      </c>
      <c r="S847" s="2"/>
      <c r="U847" s="2" t="s">
        <v>1986</v>
      </c>
      <c r="V847">
        <f ca="1" t="shared" si="25"/>
        <v>6.1</v>
      </c>
      <c r="AC847" s="2"/>
      <c r="AD847" t="str">
        <f>IFERROR(__xludf.DUMMYFUNCTION("""COMPUTED_VALUE"""),"Reign of Fire ")</f>
        <v>Reign of Fire </v>
      </c>
      <c r="AE847">
        <f t="shared" si="26"/>
        <v>43060465</v>
      </c>
    </row>
    <row r="848" customHeight="1" spans="1:31">
      <c r="A848" s="2" t="s">
        <v>1220</v>
      </c>
      <c r="B848" s="2">
        <v>116</v>
      </c>
      <c r="C848" s="2">
        <v>108200000</v>
      </c>
      <c r="D848" s="2" t="s">
        <v>1987</v>
      </c>
      <c r="E848" s="2" t="s">
        <v>12</v>
      </c>
      <c r="F848" t="s">
        <v>40</v>
      </c>
      <c r="G848" t="s">
        <v>14</v>
      </c>
      <c r="H848" t="s">
        <v>24</v>
      </c>
      <c r="N848" s="2" t="s">
        <v>18</v>
      </c>
      <c r="O848" s="2" t="s">
        <v>19</v>
      </c>
      <c r="P848" s="2">
        <v>54000000</v>
      </c>
      <c r="Q848" s="2">
        <v>6.8</v>
      </c>
      <c r="R848" s="2" t="s">
        <v>1988</v>
      </c>
      <c r="S848" s="2"/>
      <c r="U848" s="2" t="s">
        <v>1989</v>
      </c>
      <c r="V848">
        <f ca="1" t="shared" si="25"/>
        <v>6.8</v>
      </c>
      <c r="AC848" s="2"/>
      <c r="AD848" t="str">
        <f>IFERROR(__xludf.DUMMYFUNCTION("""COMPUTED_VALUE"""),"Gangster Squad ")</f>
        <v>Gangster Squad </v>
      </c>
      <c r="AE848">
        <f t="shared" si="26"/>
        <v>45996605</v>
      </c>
    </row>
    <row r="849" customHeight="1" spans="1:31">
      <c r="A849" s="2" t="s">
        <v>769</v>
      </c>
      <c r="B849" s="2">
        <v>121</v>
      </c>
      <c r="C849" s="2">
        <v>5660084</v>
      </c>
      <c r="D849" s="2" t="s">
        <v>1733</v>
      </c>
      <c r="E849" s="2" t="s">
        <v>40</v>
      </c>
      <c r="F849" t="s">
        <v>56</v>
      </c>
      <c r="G849" t="s">
        <v>24</v>
      </c>
      <c r="H849" t="s">
        <v>24</v>
      </c>
      <c r="N849" s="2" t="s">
        <v>18</v>
      </c>
      <c r="O849" s="2" t="s">
        <v>19</v>
      </c>
      <c r="P849" s="2">
        <v>54000000</v>
      </c>
      <c r="Q849" s="2">
        <v>2.4</v>
      </c>
      <c r="R849" s="2" t="s">
        <v>1990</v>
      </c>
      <c r="S849" s="2"/>
      <c r="U849" s="2" t="s">
        <v>1991</v>
      </c>
      <c r="V849">
        <f ca="1" t="shared" si="25"/>
        <v>6.5</v>
      </c>
      <c r="AC849" s="2"/>
      <c r="AD849" t="str">
        <f>IFERROR(__xludf.DUMMYFUNCTION("""COMPUTED_VALUE"""),"Year One ")</f>
        <v>Year One </v>
      </c>
      <c r="AE849">
        <f t="shared" si="26"/>
        <v>43337179</v>
      </c>
    </row>
    <row r="850" customHeight="1" spans="1:31">
      <c r="A850" s="2" t="s">
        <v>1075</v>
      </c>
      <c r="B850" s="2">
        <v>128</v>
      </c>
      <c r="C850" s="2">
        <v>7221458</v>
      </c>
      <c r="D850" s="2" t="s">
        <v>1655</v>
      </c>
      <c r="E850" s="2" t="s">
        <v>30</v>
      </c>
      <c r="F850" t="s">
        <v>24</v>
      </c>
      <c r="G850" t="s">
        <v>56</v>
      </c>
      <c r="H850" t="s">
        <v>55</v>
      </c>
      <c r="N850" s="2" t="s">
        <v>18</v>
      </c>
      <c r="O850" s="2" t="s">
        <v>293</v>
      </c>
      <c r="P850" s="2">
        <v>55000000</v>
      </c>
      <c r="Q850" s="2">
        <v>6.2</v>
      </c>
      <c r="R850" s="2" t="s">
        <v>1992</v>
      </c>
      <c r="S850" s="2"/>
      <c r="U850" s="2" t="s">
        <v>1993</v>
      </c>
      <c r="V850">
        <f ca="1" t="shared" si="25"/>
        <v>5.7</v>
      </c>
      <c r="AC850" s="2"/>
      <c r="AD850" t="str">
        <f>IFERROR(__xludf.DUMMYFUNCTION("""COMPUTED_VALUE"""),"Invictus ")</f>
        <v>Invictus </v>
      </c>
      <c r="AE850">
        <f t="shared" si="26"/>
        <v>37479644</v>
      </c>
    </row>
    <row r="851" customHeight="1" spans="1:31">
      <c r="A851" s="2" t="s">
        <v>859</v>
      </c>
      <c r="B851" s="2">
        <v>99</v>
      </c>
      <c r="C851" s="2">
        <v>70327868</v>
      </c>
      <c r="D851" s="2" t="s">
        <v>150</v>
      </c>
      <c r="E851" s="2" t="s">
        <v>12</v>
      </c>
      <c r="F851" t="s">
        <v>40</v>
      </c>
      <c r="G851" t="s">
        <v>23</v>
      </c>
      <c r="H851" t="s">
        <v>15</v>
      </c>
      <c r="N851" s="2" t="s">
        <v>18</v>
      </c>
      <c r="O851" s="2" t="s">
        <v>293</v>
      </c>
      <c r="P851" s="2">
        <v>46000000</v>
      </c>
      <c r="Q851" s="2">
        <v>5.9</v>
      </c>
      <c r="R851" s="2" t="s">
        <v>1994</v>
      </c>
      <c r="S851" s="2"/>
      <c r="U851" s="2" t="s">
        <v>1995</v>
      </c>
      <c r="V851">
        <f ca="1" t="shared" si="25"/>
        <v>7.33333333333333</v>
      </c>
      <c r="AC851" s="2"/>
      <c r="AD851" t="str">
        <f>IFERROR(__xludf.DUMMYFUNCTION("""COMPUTED_VALUE"""),"Duplicity ")</f>
        <v>Duplicity </v>
      </c>
      <c r="AE851">
        <f t="shared" si="26"/>
        <v>40559805</v>
      </c>
    </row>
    <row r="852" customHeight="1" spans="1:31">
      <c r="A852" s="2" t="s">
        <v>898</v>
      </c>
      <c r="B852" s="2">
        <v>94</v>
      </c>
      <c r="C852" s="2">
        <v>58297830</v>
      </c>
      <c r="D852" s="2" t="s">
        <v>1996</v>
      </c>
      <c r="E852" s="2" t="s">
        <v>13</v>
      </c>
      <c r="F852" t="s">
        <v>40</v>
      </c>
      <c r="G852" t="s">
        <v>17</v>
      </c>
      <c r="H852" t="s">
        <v>83</v>
      </c>
      <c r="N852" s="2" t="s">
        <v>18</v>
      </c>
      <c r="O852" s="2" t="s">
        <v>19</v>
      </c>
      <c r="P852" s="2">
        <v>50000000</v>
      </c>
      <c r="Q852" s="2">
        <v>7.1</v>
      </c>
      <c r="R852" s="2" t="s">
        <v>1997</v>
      </c>
      <c r="S852" s="2"/>
      <c r="U852" s="2" t="s">
        <v>1998</v>
      </c>
      <c r="V852">
        <f ca="1" t="shared" si="25"/>
        <v>7.9</v>
      </c>
      <c r="AC852" s="2"/>
      <c r="AD852" t="str">
        <f>IFERROR(__xludf.DUMMYFUNCTION("""COMPUTED_VALUE"""),"My Favorite Martian ")</f>
        <v>My Favorite Martian </v>
      </c>
      <c r="AE852">
        <f t="shared" si="26"/>
        <v>36829963</v>
      </c>
    </row>
    <row r="853" customHeight="1" spans="1:31">
      <c r="A853" s="2" t="s">
        <v>158</v>
      </c>
      <c r="B853" s="2">
        <v>127</v>
      </c>
      <c r="C853" s="2">
        <v>57386369</v>
      </c>
      <c r="D853" s="2" t="s">
        <v>1109</v>
      </c>
      <c r="E853" s="2" t="s">
        <v>30</v>
      </c>
      <c r="F853" t="s">
        <v>30</v>
      </c>
      <c r="G853" t="s">
        <v>28</v>
      </c>
      <c r="H853" t="s">
        <v>24</v>
      </c>
      <c r="N853" s="2" t="s">
        <v>18</v>
      </c>
      <c r="O853" s="2" t="s">
        <v>19</v>
      </c>
      <c r="P853" s="2">
        <v>52500000</v>
      </c>
      <c r="Q853" s="2">
        <v>7.6</v>
      </c>
      <c r="R853" s="2" t="s">
        <v>1999</v>
      </c>
      <c r="S853" s="2"/>
      <c r="U853" s="2" t="s">
        <v>2000</v>
      </c>
      <c r="V853">
        <f ca="1" t="shared" si="25"/>
        <v>7.3</v>
      </c>
      <c r="AC853" s="2"/>
      <c r="AD853" t="str">
        <f>IFERROR(__xludf.DUMMYFUNCTION("""COMPUTED_VALUE"""),"The Sentinel ")</f>
        <v>The Sentinel </v>
      </c>
      <c r="AE853">
        <f t="shared" si="26"/>
        <v>36279123</v>
      </c>
    </row>
    <row r="854" customHeight="1" spans="1:31">
      <c r="A854" s="2" t="s">
        <v>1119</v>
      </c>
      <c r="B854" s="2">
        <v>89</v>
      </c>
      <c r="C854" s="2">
        <v>45207112</v>
      </c>
      <c r="D854" s="2" t="s">
        <v>846</v>
      </c>
      <c r="E854" s="2" t="s">
        <v>56</v>
      </c>
      <c r="F854" t="s">
        <v>35</v>
      </c>
      <c r="G854" t="s">
        <v>28</v>
      </c>
      <c r="H854" t="s">
        <v>24</v>
      </c>
      <c r="N854" s="2" t="s">
        <v>18</v>
      </c>
      <c r="O854" s="2" t="s">
        <v>19</v>
      </c>
      <c r="P854" s="2">
        <v>53000000</v>
      </c>
      <c r="Q854" s="2">
        <v>5.5</v>
      </c>
      <c r="R854" s="2" t="s">
        <v>2001</v>
      </c>
      <c r="S854" s="2"/>
      <c r="U854" s="2" t="s">
        <v>2002</v>
      </c>
      <c r="V854">
        <f ca="1" t="shared" si="25"/>
        <v>6.83333333333333</v>
      </c>
      <c r="AC854" s="2"/>
      <c r="AD854" t="str">
        <f>IFERROR(__xludf.DUMMYFUNCTION("""COMPUTED_VALUE"""),"Planet 51 ")</f>
        <v>Planet 51 </v>
      </c>
      <c r="AE854">
        <f t="shared" si="26"/>
        <v>42193969</v>
      </c>
    </row>
    <row r="855" customHeight="1" spans="1:31">
      <c r="A855" s="2" t="s">
        <v>1223</v>
      </c>
      <c r="B855" s="2">
        <v>123</v>
      </c>
      <c r="C855" s="2">
        <v>62563543</v>
      </c>
      <c r="D855" s="2" t="s">
        <v>625</v>
      </c>
      <c r="E855" s="2" t="s">
        <v>59</v>
      </c>
      <c r="F855" t="s">
        <v>15</v>
      </c>
      <c r="G855" t="s">
        <v>30</v>
      </c>
      <c r="H855" t="s">
        <v>17</v>
      </c>
      <c r="N855" s="2" t="s">
        <v>18</v>
      </c>
      <c r="O855" s="2" t="s">
        <v>19</v>
      </c>
      <c r="P855" s="2">
        <v>53000000</v>
      </c>
      <c r="Q855" s="2">
        <v>7</v>
      </c>
      <c r="R855" s="2" t="s">
        <v>2003</v>
      </c>
      <c r="S855" s="2"/>
      <c r="U855" s="2" t="s">
        <v>2004</v>
      </c>
      <c r="V855">
        <f ca="1" t="shared" si="25"/>
        <v>7.8</v>
      </c>
      <c r="AC855" s="2"/>
      <c r="AD855" t="str">
        <f>IFERROR(__xludf.DUMMYFUNCTION("""COMPUTED_VALUE"""),"Star Trek: Nemesis ")</f>
        <v>Star Trek: Nemesis </v>
      </c>
      <c r="AE855">
        <f t="shared" si="26"/>
        <v>43119763</v>
      </c>
    </row>
    <row r="856" customHeight="1" spans="1:31">
      <c r="A856" s="2" t="s">
        <v>1000</v>
      </c>
      <c r="B856" s="2">
        <v>135</v>
      </c>
      <c r="C856" s="2">
        <v>33574332</v>
      </c>
      <c r="D856" s="2" t="s">
        <v>731</v>
      </c>
      <c r="E856" s="2" t="s">
        <v>30</v>
      </c>
      <c r="F856" t="s">
        <v>13</v>
      </c>
      <c r="G856" t="s">
        <v>28</v>
      </c>
      <c r="H856" t="s">
        <v>17</v>
      </c>
      <c r="N856" s="2" t="s">
        <v>18</v>
      </c>
      <c r="O856" s="2" t="s">
        <v>19</v>
      </c>
      <c r="P856" s="2">
        <v>90000000</v>
      </c>
      <c r="Q856" s="2">
        <v>7.1</v>
      </c>
      <c r="R856" s="2" t="s">
        <v>2005</v>
      </c>
      <c r="S856" s="2"/>
      <c r="U856" s="2" t="s">
        <v>2006</v>
      </c>
      <c r="V856">
        <f ca="1" t="shared" si="25"/>
        <v>6.96666666666667</v>
      </c>
      <c r="AC856" s="2"/>
      <c r="AD856" t="str">
        <f>IFERROR(__xludf.DUMMYFUNCTION("""COMPUTED_VALUE"""),"Intolerable Cruelty ")</f>
        <v>Intolerable Cruelty </v>
      </c>
      <c r="AE856">
        <f t="shared" si="26"/>
        <v>35096090</v>
      </c>
    </row>
    <row r="857" customHeight="1" spans="1:31">
      <c r="A857" s="2" t="s">
        <v>878</v>
      </c>
      <c r="B857" s="2">
        <v>118</v>
      </c>
      <c r="C857" s="2">
        <v>73343413</v>
      </c>
      <c r="D857" s="2" t="s">
        <v>805</v>
      </c>
      <c r="E857" s="2" t="s">
        <v>56</v>
      </c>
      <c r="F857" t="s">
        <v>30</v>
      </c>
      <c r="G857" t="s">
        <v>24</v>
      </c>
      <c r="H857" t="s">
        <v>24</v>
      </c>
      <c r="N857" s="2" t="s">
        <v>18</v>
      </c>
      <c r="O857" s="2" t="s">
        <v>19</v>
      </c>
      <c r="P857" s="2">
        <v>50000000</v>
      </c>
      <c r="Q857" s="2">
        <v>7.4</v>
      </c>
      <c r="R857" s="2" t="s">
        <v>2007</v>
      </c>
      <c r="S857" s="2"/>
      <c r="U857" s="2" t="s">
        <v>2008</v>
      </c>
      <c r="V857">
        <f ca="1" t="shared" si="25"/>
        <v>5.83333333333333</v>
      </c>
      <c r="AC857" s="2"/>
      <c r="AD857" t="str">
        <f>IFERROR(__xludf.DUMMYFUNCTION("""COMPUTED_VALUE"""),"Edge of Darkness ")</f>
        <v>Edge of Darkness </v>
      </c>
      <c r="AE857">
        <f t="shared" si="26"/>
        <v>43290860</v>
      </c>
    </row>
    <row r="858" customHeight="1" spans="1:31">
      <c r="A858" s="2" t="s">
        <v>1225</v>
      </c>
      <c r="B858" s="2">
        <v>189</v>
      </c>
      <c r="C858" s="2">
        <v>25031037</v>
      </c>
      <c r="D858" s="2" t="s">
        <v>2009</v>
      </c>
      <c r="E858" s="2" t="s">
        <v>12</v>
      </c>
      <c r="F858" t="s">
        <v>14</v>
      </c>
      <c r="G858" t="s">
        <v>15</v>
      </c>
      <c r="H858" t="s">
        <v>24</v>
      </c>
      <c r="N858" s="2" t="s">
        <v>18</v>
      </c>
      <c r="O858" s="2" t="s">
        <v>19</v>
      </c>
      <c r="P858" s="2">
        <v>53000000</v>
      </c>
      <c r="Q858" s="2">
        <v>7.6</v>
      </c>
      <c r="R858" s="2" t="s">
        <v>2010</v>
      </c>
      <c r="S858" s="2"/>
      <c r="U858" s="2" t="s">
        <v>2011</v>
      </c>
      <c r="V858">
        <f ca="1" t="shared" si="25"/>
        <v>6.35</v>
      </c>
      <c r="AC858" s="2"/>
      <c r="AD858" t="str">
        <f>IFERROR(__xludf.DUMMYFUNCTION("""COMPUTED_VALUE"""),"The Relic ")</f>
        <v>The Relic </v>
      </c>
      <c r="AE858">
        <f t="shared" si="26"/>
        <v>33927366</v>
      </c>
    </row>
    <row r="859" customHeight="1" spans="1:31">
      <c r="A859" s="2" t="s">
        <v>826</v>
      </c>
      <c r="B859" s="2">
        <v>172</v>
      </c>
      <c r="C859" s="2">
        <v>22843047</v>
      </c>
      <c r="D859" s="2" t="s">
        <v>2012</v>
      </c>
      <c r="E859" s="2" t="s">
        <v>30</v>
      </c>
      <c r="F859" t="s">
        <v>30</v>
      </c>
      <c r="G859" t="s">
        <v>23</v>
      </c>
      <c r="H859" t="s">
        <v>16</v>
      </c>
      <c r="N859" s="2" t="s">
        <v>18</v>
      </c>
      <c r="O859" s="2" t="s">
        <v>19</v>
      </c>
      <c r="P859" s="2">
        <v>55000000</v>
      </c>
      <c r="Q859" s="2">
        <v>5.9</v>
      </c>
      <c r="R859" s="2" t="s">
        <v>2013</v>
      </c>
      <c r="S859" s="2"/>
      <c r="U859" s="2" t="s">
        <v>2014</v>
      </c>
      <c r="V859">
        <f ca="1" t="shared" si="25"/>
        <v>6.5</v>
      </c>
      <c r="AC859" s="2"/>
      <c r="AD859" t="str">
        <f>IFERROR(__xludf.DUMMYFUNCTION("""COMPUTED_VALUE"""),"Analyze That ")</f>
        <v>Analyze That </v>
      </c>
      <c r="AE859">
        <f t="shared" si="26"/>
        <v>32122153</v>
      </c>
    </row>
    <row r="860" customHeight="1" spans="1:31">
      <c r="A860" s="2" t="s">
        <v>1227</v>
      </c>
      <c r="B860" s="2">
        <v>124</v>
      </c>
      <c r="C860" s="2">
        <v>5755286</v>
      </c>
      <c r="D860" s="2" t="s">
        <v>2015</v>
      </c>
      <c r="E860" s="2" t="s">
        <v>30</v>
      </c>
      <c r="F860" t="s">
        <v>40</v>
      </c>
      <c r="G860" t="s">
        <v>72</v>
      </c>
      <c r="H860" t="s">
        <v>23</v>
      </c>
      <c r="N860" s="2" t="s">
        <v>18</v>
      </c>
      <c r="O860" s="2" t="s">
        <v>19</v>
      </c>
      <c r="P860" s="2">
        <v>55000000</v>
      </c>
      <c r="Q860" s="2">
        <v>5.9</v>
      </c>
      <c r="R860" s="2" t="s">
        <v>2016</v>
      </c>
      <c r="S860" s="2"/>
      <c r="U860" s="2" t="s">
        <v>2017</v>
      </c>
      <c r="V860">
        <f ca="1" t="shared" si="25"/>
        <v>5.6</v>
      </c>
      <c r="AC860" s="2"/>
      <c r="AD860" t="str">
        <f>IFERROR(__xludf.DUMMYFUNCTION("""COMPUTED_VALUE"""),"Righteous Kill ")</f>
        <v>Righteous Kill </v>
      </c>
      <c r="AE860">
        <f t="shared" si="26"/>
        <v>40076337</v>
      </c>
    </row>
    <row r="861" customHeight="1" spans="1:31">
      <c r="A861" s="2" t="s">
        <v>166</v>
      </c>
      <c r="B861" s="2">
        <v>141</v>
      </c>
      <c r="C861" s="2">
        <v>164435221</v>
      </c>
      <c r="D861" s="2" t="s">
        <v>625</v>
      </c>
      <c r="E861" s="2" t="s">
        <v>59</v>
      </c>
      <c r="F861" t="s">
        <v>17</v>
      </c>
      <c r="G861" t="s">
        <v>83</v>
      </c>
      <c r="H861" t="s">
        <v>55</v>
      </c>
      <c r="N861" s="2" t="s">
        <v>18</v>
      </c>
      <c r="O861" s="2" t="s">
        <v>19</v>
      </c>
      <c r="P861" s="2">
        <v>52000000</v>
      </c>
      <c r="Q861" s="2">
        <v>8</v>
      </c>
      <c r="R861" s="2" t="s">
        <v>2018</v>
      </c>
      <c r="S861" s="2"/>
      <c r="U861" s="2" t="s">
        <v>2019</v>
      </c>
      <c r="V861">
        <f ca="1" t="shared" si="25"/>
        <v>5.8</v>
      </c>
      <c r="AC861" s="2"/>
      <c r="AD861" t="str">
        <f>IFERROR(__xludf.DUMMYFUNCTION("""COMPUTED_VALUE"""),"Mercury Rising ")</f>
        <v>Mercury Rising </v>
      </c>
      <c r="AE861">
        <f t="shared" si="26"/>
        <v>32940396</v>
      </c>
    </row>
    <row r="862" customHeight="1" spans="1:31">
      <c r="A862" s="2" t="s">
        <v>739</v>
      </c>
      <c r="B862" s="2">
        <v>157</v>
      </c>
      <c r="C862" s="2">
        <v>95720716</v>
      </c>
      <c r="D862" s="2" t="s">
        <v>1097</v>
      </c>
      <c r="E862" s="2" t="s">
        <v>30</v>
      </c>
      <c r="F862" t="s">
        <v>15</v>
      </c>
      <c r="G862" t="s">
        <v>17</v>
      </c>
      <c r="H862" t="s">
        <v>15</v>
      </c>
      <c r="N862" s="2" t="s">
        <v>18</v>
      </c>
      <c r="O862" s="2" t="s">
        <v>19</v>
      </c>
      <c r="P862" s="2">
        <v>40000000</v>
      </c>
      <c r="Q862" s="2">
        <v>7.4</v>
      </c>
      <c r="R862" s="2" t="s">
        <v>2020</v>
      </c>
      <c r="S862" s="2"/>
      <c r="U862" s="2" t="s">
        <v>2021</v>
      </c>
      <c r="V862">
        <f ca="1" t="shared" si="25"/>
        <v>5.5</v>
      </c>
      <c r="AC862" s="2"/>
      <c r="AD862" t="str">
        <f>IFERROR(__xludf.DUMMYFUNCTION("""COMPUTED_VALUE"""),"The Soloist ")</f>
        <v>The Soloist </v>
      </c>
      <c r="AE862">
        <f t="shared" si="26"/>
        <v>31670814</v>
      </c>
    </row>
    <row r="863" customHeight="1" spans="1:31">
      <c r="A863" s="2" t="s">
        <v>437</v>
      </c>
      <c r="B863" s="2">
        <v>106</v>
      </c>
      <c r="C863" s="2">
        <v>118683135</v>
      </c>
      <c r="D863" s="2" t="s">
        <v>521</v>
      </c>
      <c r="E863" s="2" t="s">
        <v>40</v>
      </c>
      <c r="F863" t="s">
        <v>30</v>
      </c>
      <c r="G863" t="s">
        <v>40</v>
      </c>
      <c r="H863" t="s">
        <v>14</v>
      </c>
      <c r="N863" s="2" t="s">
        <v>18</v>
      </c>
      <c r="O863" s="2" t="s">
        <v>19</v>
      </c>
      <c r="P863" s="2">
        <v>52000000</v>
      </c>
      <c r="Q863" s="2">
        <v>5.8</v>
      </c>
      <c r="R863" s="2" t="s">
        <v>2022</v>
      </c>
      <c r="S863" s="2"/>
      <c r="U863" s="2" t="s">
        <v>2023</v>
      </c>
      <c r="V863">
        <f ca="1" t="shared" si="25"/>
        <v>7.2</v>
      </c>
      <c r="AC863" s="2"/>
      <c r="AD863" t="str">
        <f>IFERROR(__xludf.DUMMYFUNCTION("""COMPUTED_VALUE"""),"The Legend of Bagger Vance ")</f>
        <v>The Legend of Bagger Vance </v>
      </c>
      <c r="AE863">
        <f t="shared" si="26"/>
        <v>30695101</v>
      </c>
    </row>
    <row r="864" customHeight="1" spans="1:31">
      <c r="A864" s="2" t="s">
        <v>1230</v>
      </c>
      <c r="B864" s="2">
        <v>108</v>
      </c>
      <c r="C864" s="2">
        <v>143704210</v>
      </c>
      <c r="D864" s="2" t="s">
        <v>2024</v>
      </c>
      <c r="E864" s="2" t="s">
        <v>40</v>
      </c>
      <c r="F864" t="s">
        <v>17</v>
      </c>
      <c r="G864" t="s">
        <v>24</v>
      </c>
      <c r="H864" t="s">
        <v>17</v>
      </c>
      <c r="N864" s="2" t="s">
        <v>18</v>
      </c>
      <c r="O864" s="2" t="s">
        <v>19</v>
      </c>
      <c r="P864" s="2">
        <v>52000000</v>
      </c>
      <c r="Q864" s="2">
        <v>6.3</v>
      </c>
      <c r="R864" s="2" t="s">
        <v>2025</v>
      </c>
      <c r="S864" s="2"/>
      <c r="U864" s="2" t="s">
        <v>2026</v>
      </c>
      <c r="V864">
        <f ca="1" t="shared" si="25"/>
        <v>5.26666666666667</v>
      </c>
      <c r="AC864" s="2"/>
      <c r="AD864" t="str">
        <f>IFERROR(__xludf.DUMMYFUNCTION("""COMPUTED_VALUE"""),"Almost Famous ")</f>
        <v>Almost Famous </v>
      </c>
      <c r="AE864">
        <f t="shared" si="26"/>
        <v>32522200</v>
      </c>
    </row>
    <row r="865" customHeight="1" spans="1:31">
      <c r="A865" s="2" t="s">
        <v>923</v>
      </c>
      <c r="B865" s="2">
        <v>125</v>
      </c>
      <c r="C865" s="2">
        <v>110476776</v>
      </c>
      <c r="D865" s="2" t="s">
        <v>607</v>
      </c>
      <c r="E865" s="2" t="s">
        <v>40</v>
      </c>
      <c r="F865" t="s">
        <v>40</v>
      </c>
      <c r="G865" t="s">
        <v>30</v>
      </c>
      <c r="H865" t="s">
        <v>30</v>
      </c>
      <c r="N865" s="2" t="s">
        <v>18</v>
      </c>
      <c r="O865" s="2" t="s">
        <v>19</v>
      </c>
      <c r="P865" s="2">
        <v>52000000</v>
      </c>
      <c r="Q865" s="2">
        <v>5.7</v>
      </c>
      <c r="R865" s="2" t="s">
        <v>2027</v>
      </c>
      <c r="S865" s="2"/>
      <c r="U865" s="2" t="s">
        <v>2028</v>
      </c>
      <c r="V865">
        <f ca="1" t="shared" si="25"/>
        <v>5.8</v>
      </c>
      <c r="AC865" s="2"/>
      <c r="AD865" t="str">
        <f>IFERROR(__xludf.DUMMYFUNCTION("""COMPUTED_VALUE"""),"xXx: State of the Union ")</f>
        <v>xXx: State of the Union </v>
      </c>
      <c r="AE865">
        <f t="shared" si="26"/>
        <v>26082813</v>
      </c>
    </row>
    <row r="866" customHeight="1" spans="1:31">
      <c r="A866" s="2" t="s">
        <v>1233</v>
      </c>
      <c r="B866" s="2">
        <v>107</v>
      </c>
      <c r="C866" s="2">
        <v>80270227</v>
      </c>
      <c r="D866" s="2" t="s">
        <v>589</v>
      </c>
      <c r="E866" s="2" t="s">
        <v>12</v>
      </c>
      <c r="F866" t="s">
        <v>14</v>
      </c>
      <c r="G866" t="s">
        <v>17</v>
      </c>
      <c r="H866" t="s">
        <v>24</v>
      </c>
      <c r="N866" s="2" t="s">
        <v>18</v>
      </c>
      <c r="O866" s="2" t="s">
        <v>19</v>
      </c>
      <c r="P866" s="2">
        <v>50000000</v>
      </c>
      <c r="Q866" s="2">
        <v>5.1</v>
      </c>
      <c r="R866" s="2" t="s">
        <v>2029</v>
      </c>
      <c r="S866" s="2"/>
      <c r="U866" s="2" t="s">
        <v>2030</v>
      </c>
      <c r="V866">
        <f ca="1" t="shared" si="25"/>
        <v>4.6</v>
      </c>
      <c r="AC866" s="2"/>
      <c r="AD866" t="str">
        <f>IFERROR(__xludf.DUMMYFUNCTION("""COMPUTED_VALUE"""),"Priest ")</f>
        <v>Priest </v>
      </c>
      <c r="AE866">
        <f t="shared" si="26"/>
        <v>29136539</v>
      </c>
    </row>
    <row r="867" customHeight="1" spans="1:31">
      <c r="A867" s="2" t="s">
        <v>1236</v>
      </c>
      <c r="B867" s="2">
        <v>215</v>
      </c>
      <c r="C867" s="2">
        <v>36385763</v>
      </c>
      <c r="D867" s="2" t="s">
        <v>1354</v>
      </c>
      <c r="E867" s="2" t="s">
        <v>30</v>
      </c>
      <c r="F867" t="s">
        <v>17</v>
      </c>
      <c r="G867" t="s">
        <v>17</v>
      </c>
      <c r="H867" t="s">
        <v>23</v>
      </c>
      <c r="N867" s="2" t="s">
        <v>18</v>
      </c>
      <c r="O867" s="2" t="s">
        <v>19</v>
      </c>
      <c r="P867" s="2">
        <v>52000000</v>
      </c>
      <c r="Q867" s="2">
        <v>7.6</v>
      </c>
      <c r="R867" s="2" t="s">
        <v>2031</v>
      </c>
      <c r="S867" s="2"/>
      <c r="U867" s="2" t="s">
        <v>2032</v>
      </c>
      <c r="V867">
        <f ca="1" t="shared" si="25"/>
        <v>6.35</v>
      </c>
      <c r="AC867" s="2"/>
      <c r="AD867" t="str">
        <f>IFERROR(__xludf.DUMMYFUNCTION("""COMPUTED_VALUE"""),"Sinbad: Legend of the Seven Seas ")</f>
        <v>Sinbad: Legend of the Seven Seas </v>
      </c>
      <c r="AE867">
        <f t="shared" si="26"/>
        <v>26288235</v>
      </c>
    </row>
    <row r="868" customHeight="1" spans="1:31">
      <c r="A868" s="2" t="s">
        <v>1239</v>
      </c>
      <c r="B868" s="2">
        <v>118</v>
      </c>
      <c r="C868" s="2">
        <v>37035845</v>
      </c>
      <c r="D868" s="2" t="s">
        <v>1086</v>
      </c>
      <c r="E868" s="2" t="s">
        <v>40</v>
      </c>
      <c r="F868" t="s">
        <v>40</v>
      </c>
      <c r="G868" t="s">
        <v>15</v>
      </c>
      <c r="H868" t="s">
        <v>14</v>
      </c>
      <c r="N868" s="2" t="s">
        <v>18</v>
      </c>
      <c r="O868" s="2" t="s">
        <v>19</v>
      </c>
      <c r="P868" s="2">
        <v>52000000</v>
      </c>
      <c r="Q868" s="2">
        <v>6.4</v>
      </c>
      <c r="R868" s="2" t="s">
        <v>2033</v>
      </c>
      <c r="S868" s="2"/>
      <c r="U868" s="2" t="s">
        <v>2034</v>
      </c>
      <c r="V868">
        <f ca="1" t="shared" si="25"/>
        <v>6.6</v>
      </c>
      <c r="AC868" s="2"/>
      <c r="AD868" t="str">
        <f>IFERROR(__xludf.DUMMYFUNCTION("""COMPUTED_VALUE"""),"Event Horizon ")</f>
        <v>Event Horizon </v>
      </c>
      <c r="AE868">
        <f t="shared" si="26"/>
        <v>26616460</v>
      </c>
    </row>
    <row r="869" customHeight="1" spans="1:31">
      <c r="A869" s="2" t="s">
        <v>1242</v>
      </c>
      <c r="B869" s="2">
        <v>118</v>
      </c>
      <c r="C869" s="2">
        <v>34580635</v>
      </c>
      <c r="D869" s="2" t="s">
        <v>1694</v>
      </c>
      <c r="E869" s="2" t="s">
        <v>59</v>
      </c>
      <c r="F869" t="s">
        <v>30</v>
      </c>
      <c r="G869" t="s">
        <v>14</v>
      </c>
      <c r="H869" t="s">
        <v>55</v>
      </c>
      <c r="N869" s="2" t="s">
        <v>18</v>
      </c>
      <c r="O869" s="2" t="s">
        <v>31</v>
      </c>
      <c r="P869" s="2">
        <v>52000000</v>
      </c>
      <c r="Q869" s="2">
        <v>7.4</v>
      </c>
      <c r="R869" s="2" t="s">
        <v>2035</v>
      </c>
      <c r="S869" s="2"/>
      <c r="U869" s="2" t="s">
        <v>2036</v>
      </c>
      <c r="V869">
        <f ca="1" t="shared" si="25"/>
        <v>7.5</v>
      </c>
      <c r="AC869" s="2"/>
      <c r="AD869" t="str">
        <f>IFERROR(__xludf.DUMMYFUNCTION("""COMPUTED_VALUE"""),"Dragonfly ")</f>
        <v>Dragonfly </v>
      </c>
      <c r="AE869">
        <f t="shared" si="26"/>
        <v>30063701</v>
      </c>
    </row>
    <row r="870" customHeight="1" spans="1:31">
      <c r="A870" s="2" t="s">
        <v>196</v>
      </c>
      <c r="B870" s="2">
        <v>178</v>
      </c>
      <c r="C870" s="2">
        <v>42438300</v>
      </c>
      <c r="D870" s="2" t="s">
        <v>625</v>
      </c>
      <c r="E870" s="2" t="s">
        <v>59</v>
      </c>
      <c r="F870" t="s">
        <v>23</v>
      </c>
      <c r="G870" t="s">
        <v>15</v>
      </c>
      <c r="H870" t="s">
        <v>24</v>
      </c>
      <c r="N870" s="2" t="s">
        <v>18</v>
      </c>
      <c r="O870" s="2" t="s">
        <v>19</v>
      </c>
      <c r="P870" s="2">
        <v>52000000</v>
      </c>
      <c r="Q870" s="2">
        <v>8.2</v>
      </c>
      <c r="R870" s="2" t="s">
        <v>2037</v>
      </c>
      <c r="S870" s="2"/>
      <c r="U870" s="2" t="s">
        <v>2038</v>
      </c>
      <c r="V870">
        <f ca="1" t="shared" si="25"/>
        <v>5.8</v>
      </c>
      <c r="AC870" s="2"/>
      <c r="AD870" t="str">
        <f>IFERROR(__xludf.DUMMYFUNCTION("""COMPUTED_VALUE"""),"The Black Dahlia ")</f>
        <v>The Black Dahlia </v>
      </c>
      <c r="AE870">
        <f t="shared" si="26"/>
        <v>22518204</v>
      </c>
    </row>
    <row r="871" customHeight="1" spans="1:31">
      <c r="A871" s="2" t="s">
        <v>1244</v>
      </c>
      <c r="B871" s="2">
        <v>92</v>
      </c>
      <c r="C871" s="2">
        <v>23324666</v>
      </c>
      <c r="D871" s="2" t="s">
        <v>34</v>
      </c>
      <c r="E871" s="2" t="s">
        <v>12</v>
      </c>
      <c r="F871" t="s">
        <v>40</v>
      </c>
      <c r="G871" t="s">
        <v>30</v>
      </c>
      <c r="H871" t="s">
        <v>24</v>
      </c>
      <c r="N871" s="2" t="s">
        <v>18</v>
      </c>
      <c r="O871" s="2" t="s">
        <v>707</v>
      </c>
      <c r="P871" s="2">
        <v>52000000</v>
      </c>
      <c r="Q871" s="2">
        <v>6.5</v>
      </c>
      <c r="R871" s="2" t="s">
        <v>2039</v>
      </c>
      <c r="S871" s="2"/>
      <c r="U871" s="2" t="s">
        <v>2040</v>
      </c>
      <c r="V871">
        <f ca="1" t="shared" si="25"/>
        <v>3.5</v>
      </c>
      <c r="AC871" s="2"/>
      <c r="AD871" t="str">
        <f>IFERROR(__xludf.DUMMYFUNCTION("""COMPUTED_VALUE"""),"Flyboys ")</f>
        <v>Flyboys </v>
      </c>
      <c r="AE871">
        <f t="shared" si="26"/>
        <v>13082148</v>
      </c>
    </row>
    <row r="872" customHeight="1" spans="1:31">
      <c r="A872" s="2" t="s">
        <v>1247</v>
      </c>
      <c r="B872" s="2">
        <v>104</v>
      </c>
      <c r="C872" s="2">
        <v>23020488</v>
      </c>
      <c r="D872" s="2" t="s">
        <v>469</v>
      </c>
      <c r="E872" s="2" t="s">
        <v>12</v>
      </c>
      <c r="F872" t="s">
        <v>30</v>
      </c>
      <c r="G872" t="s">
        <v>56</v>
      </c>
      <c r="H872" t="s">
        <v>14</v>
      </c>
      <c r="N872" s="2" t="s">
        <v>18</v>
      </c>
      <c r="O872" s="2" t="s">
        <v>19</v>
      </c>
      <c r="P872" s="2">
        <v>52000000</v>
      </c>
      <c r="Q872" s="2">
        <v>5.5</v>
      </c>
      <c r="R872" s="2" t="s">
        <v>2041</v>
      </c>
      <c r="S872" s="2"/>
      <c r="U872" s="2" t="s">
        <v>2042</v>
      </c>
      <c r="V872">
        <f ca="1" t="shared" si="25"/>
        <v>9.3</v>
      </c>
      <c r="AC872" s="2"/>
      <c r="AD872" t="str">
        <f>IFERROR(__xludf.DUMMYFUNCTION("""COMPUTED_VALUE"""),"The Last Castle ")</f>
        <v>The Last Castle </v>
      </c>
      <c r="AE872">
        <f t="shared" si="26"/>
        <v>18207947</v>
      </c>
    </row>
    <row r="873" customHeight="1" spans="1:31">
      <c r="A873" s="2" t="s">
        <v>956</v>
      </c>
      <c r="B873" s="2">
        <v>116</v>
      </c>
      <c r="C873" s="2">
        <v>90567722</v>
      </c>
      <c r="D873" s="2" t="s">
        <v>40</v>
      </c>
      <c r="E873" s="2" t="s">
        <v>40</v>
      </c>
      <c r="F873" t="s">
        <v>56</v>
      </c>
      <c r="G873" t="s">
        <v>14</v>
      </c>
      <c r="H873" t="s">
        <v>14</v>
      </c>
      <c r="N873" s="2" t="s">
        <v>18</v>
      </c>
      <c r="O873" s="2" t="s">
        <v>19</v>
      </c>
      <c r="P873" s="2">
        <v>51000000</v>
      </c>
      <c r="Q873" s="2">
        <v>6.5</v>
      </c>
      <c r="R873" s="2" t="s">
        <v>2043</v>
      </c>
      <c r="S873" s="2"/>
      <c r="U873" s="2" t="s">
        <v>2044</v>
      </c>
      <c r="V873">
        <f ca="1" t="shared" si="25"/>
        <v>6.3</v>
      </c>
      <c r="AC873" s="2"/>
      <c r="AD873" t="str">
        <f>IFERROR(__xludf.DUMMYFUNCTION("""COMPUTED_VALUE"""),"Supernova ")</f>
        <v>Supernova </v>
      </c>
      <c r="AE873">
        <f t="shared" si="26"/>
        <v>14218777</v>
      </c>
    </row>
    <row r="874" customHeight="1" spans="1:31">
      <c r="A874" s="2" t="s">
        <v>1249</v>
      </c>
      <c r="B874" s="2">
        <v>90</v>
      </c>
      <c r="C874" s="2">
        <v>72601713</v>
      </c>
      <c r="D874" s="2" t="s">
        <v>1159</v>
      </c>
      <c r="E874" s="2" t="s">
        <v>35</v>
      </c>
      <c r="F874" t="s">
        <v>13</v>
      </c>
      <c r="G874" t="s">
        <v>24</v>
      </c>
      <c r="H874" t="s">
        <v>28</v>
      </c>
      <c r="N874" s="2" t="s">
        <v>18</v>
      </c>
      <c r="O874" s="2" t="s">
        <v>293</v>
      </c>
      <c r="P874" s="2">
        <v>51000000</v>
      </c>
      <c r="Q874" s="2">
        <v>5.6</v>
      </c>
      <c r="R874" s="2" t="s">
        <v>2045</v>
      </c>
      <c r="S874" s="2"/>
      <c r="U874" s="2" t="s">
        <v>2046</v>
      </c>
      <c r="V874">
        <f ca="1" t="shared" si="25"/>
        <v>7.2</v>
      </c>
      <c r="AC874" s="2"/>
      <c r="AD874" t="str">
        <f>IFERROR(__xludf.DUMMYFUNCTION("""COMPUTED_VALUE"""),"Winter's Tale ")</f>
        <v>Winter's Tale </v>
      </c>
      <c r="AE874">
        <f t="shared" si="26"/>
        <v>22333</v>
      </c>
    </row>
    <row r="875" customHeight="1" spans="1:31">
      <c r="A875" s="2" t="s">
        <v>98</v>
      </c>
      <c r="B875" s="2">
        <v>130</v>
      </c>
      <c r="C875" s="2">
        <v>296623634</v>
      </c>
      <c r="D875" s="2" t="s">
        <v>417</v>
      </c>
      <c r="E875" s="2" t="s">
        <v>13</v>
      </c>
      <c r="F875" t="s">
        <v>28</v>
      </c>
      <c r="G875" t="s">
        <v>24</v>
      </c>
      <c r="H875" t="s">
        <v>83</v>
      </c>
      <c r="N875" s="2" t="s">
        <v>18</v>
      </c>
      <c r="O875" s="2" t="s">
        <v>19</v>
      </c>
      <c r="P875" s="2">
        <v>50000000</v>
      </c>
      <c r="Q875" s="2">
        <v>4.6</v>
      </c>
      <c r="R875" s="2" t="s">
        <v>2047</v>
      </c>
      <c r="S875" s="2"/>
      <c r="U875" s="2" t="s">
        <v>2048</v>
      </c>
      <c r="V875">
        <f ca="1" t="shared" si="25"/>
        <v>6.9</v>
      </c>
      <c r="AC875" s="2"/>
      <c r="AD875" t="str">
        <f>IFERROR(__xludf.DUMMYFUNCTION("""COMPUTED_VALUE"""),"The Mortal Instruments: City of Bones ")</f>
        <v>The Mortal Instruments: City of Bones </v>
      </c>
      <c r="AE875">
        <f t="shared" si="26"/>
        <v>31165291</v>
      </c>
    </row>
    <row r="876" customHeight="1" spans="1:31">
      <c r="A876" s="2" t="s">
        <v>78</v>
      </c>
      <c r="B876" s="2">
        <v>90</v>
      </c>
      <c r="C876" s="2">
        <v>267652016</v>
      </c>
      <c r="D876" s="2" t="s">
        <v>124</v>
      </c>
      <c r="E876" s="2" t="s">
        <v>13</v>
      </c>
      <c r="F876" t="s">
        <v>17</v>
      </c>
      <c r="G876" t="s">
        <v>40</v>
      </c>
      <c r="H876" t="s">
        <v>17</v>
      </c>
      <c r="N876" s="2" t="s">
        <v>18</v>
      </c>
      <c r="O876" s="2" t="s">
        <v>19</v>
      </c>
      <c r="P876" s="2">
        <v>60000000</v>
      </c>
      <c r="Q876" s="2">
        <v>7.9</v>
      </c>
      <c r="R876" s="2" t="s">
        <v>2049</v>
      </c>
      <c r="S876" s="2"/>
      <c r="U876" s="2" t="s">
        <v>2050</v>
      </c>
      <c r="V876">
        <f ca="1" t="shared" si="25"/>
        <v>6.3</v>
      </c>
      <c r="AC876" s="2"/>
      <c r="AD876" t="str">
        <f>IFERROR(__xludf.DUMMYFUNCTION("""COMPUTED_VALUE"""),"Meet Dave ")</f>
        <v>Meet Dave </v>
      </c>
      <c r="AE876">
        <f t="shared" si="26"/>
        <v>11801966</v>
      </c>
    </row>
    <row r="877" customHeight="1" spans="1:31">
      <c r="A877" s="2" t="s">
        <v>1252</v>
      </c>
      <c r="B877" s="2">
        <v>106</v>
      </c>
      <c r="C877" s="2">
        <v>62453315</v>
      </c>
      <c r="D877" s="2" t="s">
        <v>2051</v>
      </c>
      <c r="E877" s="2" t="s">
        <v>17</v>
      </c>
      <c r="F877" t="s">
        <v>30</v>
      </c>
      <c r="G877" t="s">
        <v>40</v>
      </c>
      <c r="H877" t="s">
        <v>39</v>
      </c>
      <c r="N877" s="2" t="s">
        <v>18</v>
      </c>
      <c r="O877" s="2" t="s">
        <v>19</v>
      </c>
      <c r="P877" s="2">
        <v>50200000</v>
      </c>
      <c r="Q877" s="2">
        <v>7.1</v>
      </c>
      <c r="R877" s="2" t="s">
        <v>2052</v>
      </c>
      <c r="S877" s="2"/>
      <c r="U877" s="2" t="s">
        <v>2053</v>
      </c>
      <c r="V877">
        <f ca="1" t="shared" si="25"/>
        <v>6.35</v>
      </c>
      <c r="AC877" s="2"/>
      <c r="AD877" t="str">
        <f>IFERROR(__xludf.DUMMYFUNCTION("""COMPUTED_VALUE"""),"Dark Water ")</f>
        <v>Dark Water </v>
      </c>
      <c r="AE877">
        <f t="shared" si="26"/>
        <v>25472864</v>
      </c>
    </row>
    <row r="878" customHeight="1" spans="1:31">
      <c r="A878" s="2" t="s">
        <v>218</v>
      </c>
      <c r="B878" s="2">
        <v>155</v>
      </c>
      <c r="C878" s="2">
        <v>165500000</v>
      </c>
      <c r="D878" s="2" t="s">
        <v>101</v>
      </c>
      <c r="E878" s="2" t="s">
        <v>12</v>
      </c>
      <c r="F878" t="s">
        <v>40</v>
      </c>
      <c r="G878" t="s">
        <v>15</v>
      </c>
      <c r="H878" t="s">
        <v>24</v>
      </c>
      <c r="N878" s="2" t="s">
        <v>18</v>
      </c>
      <c r="O878" s="2" t="s">
        <v>19</v>
      </c>
      <c r="P878" s="2">
        <v>48000000</v>
      </c>
      <c r="Q878" s="2">
        <v>6.9</v>
      </c>
      <c r="R878" s="2" t="s">
        <v>2054</v>
      </c>
      <c r="S878" s="2"/>
      <c r="U878" s="2" t="s">
        <v>2055</v>
      </c>
      <c r="V878">
        <f ca="1" t="shared" si="25"/>
        <v>6.3</v>
      </c>
      <c r="AC878" s="2"/>
      <c r="AD878" t="str">
        <f>IFERROR(__xludf.DUMMYFUNCTION("""COMPUTED_VALUE"""),"Edtv ")</f>
        <v>Edtv </v>
      </c>
      <c r="AE878">
        <f t="shared" si="26"/>
        <v>22362378</v>
      </c>
    </row>
    <row r="879" customHeight="1" spans="1:31">
      <c r="A879" s="2" t="s">
        <v>929</v>
      </c>
      <c r="B879" s="2">
        <v>139</v>
      </c>
      <c r="C879" s="2">
        <v>153620822</v>
      </c>
      <c r="D879" s="2" t="s">
        <v>1826</v>
      </c>
      <c r="E879" s="2" t="s">
        <v>40</v>
      </c>
      <c r="F879" t="s">
        <v>23</v>
      </c>
      <c r="G879" t="s">
        <v>16</v>
      </c>
      <c r="H879" t="s">
        <v>17</v>
      </c>
      <c r="N879" s="2" t="s">
        <v>18</v>
      </c>
      <c r="O879" s="2" t="s">
        <v>19</v>
      </c>
      <c r="P879" s="2">
        <v>50000000</v>
      </c>
      <c r="Q879" s="2">
        <v>7.3</v>
      </c>
      <c r="R879" s="2" t="s">
        <v>2056</v>
      </c>
      <c r="S879" s="2"/>
      <c r="U879" s="2" t="s">
        <v>2057</v>
      </c>
      <c r="V879">
        <f ca="1" t="shared" si="25"/>
        <v>7.3</v>
      </c>
      <c r="AC879" s="2"/>
      <c r="AD879" t="str">
        <f>IFERROR(__xludf.DUMMYFUNCTION("""COMPUTED_VALUE"""),"Inkheart ")</f>
        <v>Inkheart </v>
      </c>
      <c r="AE879">
        <f t="shared" si="26"/>
        <v>17281726</v>
      </c>
    </row>
    <row r="880" customHeight="1" spans="1:31">
      <c r="A880" s="2" t="s">
        <v>974</v>
      </c>
      <c r="B880" s="2">
        <v>112</v>
      </c>
      <c r="C880" s="2">
        <v>218628680</v>
      </c>
      <c r="D880" s="2" t="s">
        <v>1086</v>
      </c>
      <c r="E880" s="2" t="s">
        <v>40</v>
      </c>
      <c r="F880" t="s">
        <v>30</v>
      </c>
      <c r="G880" t="s">
        <v>30</v>
      </c>
      <c r="H880" t="s">
        <v>24</v>
      </c>
      <c r="N880" s="2" t="s">
        <v>18</v>
      </c>
      <c r="O880" s="2" t="s">
        <v>19</v>
      </c>
      <c r="P880" s="2">
        <v>50000000</v>
      </c>
      <c r="Q880" s="2">
        <v>7</v>
      </c>
      <c r="R880" s="2" t="s">
        <v>2058</v>
      </c>
      <c r="S880" s="2"/>
      <c r="U880" s="2" t="s">
        <v>2059</v>
      </c>
      <c r="V880">
        <f ca="1" t="shared" si="25"/>
        <v>4.6</v>
      </c>
      <c r="AC880" s="2"/>
      <c r="AD880" t="str">
        <f>IFERROR(__xludf.DUMMYFUNCTION("""COMPUTED_VALUE"""),"The Spirit ")</f>
        <v>The Spirit </v>
      </c>
      <c r="AE880">
        <f t="shared" si="26"/>
        <v>19781776</v>
      </c>
    </row>
    <row r="881" customHeight="1" spans="1:31">
      <c r="A881" s="2" t="s">
        <v>520</v>
      </c>
      <c r="B881" s="2">
        <v>139</v>
      </c>
      <c r="C881" s="2">
        <v>147637474</v>
      </c>
      <c r="D881" s="2" t="s">
        <v>521</v>
      </c>
      <c r="E881" s="2" t="s">
        <v>40</v>
      </c>
      <c r="F881" t="s">
        <v>30</v>
      </c>
      <c r="G881" t="s">
        <v>15</v>
      </c>
      <c r="H881" t="s">
        <v>55</v>
      </c>
      <c r="N881" s="2" t="s">
        <v>18</v>
      </c>
      <c r="O881" s="2" t="s">
        <v>19</v>
      </c>
      <c r="P881" s="2">
        <v>50000000</v>
      </c>
      <c r="Q881" s="2">
        <v>7.7</v>
      </c>
      <c r="R881" s="2" t="s">
        <v>2060</v>
      </c>
      <c r="S881" s="2"/>
      <c r="U881" s="2" t="s">
        <v>2061</v>
      </c>
      <c r="V881">
        <f ca="1" t="shared" si="25"/>
        <v>5.65</v>
      </c>
      <c r="AC881" s="2"/>
      <c r="AD881" t="str">
        <f>IFERROR(__xludf.DUMMYFUNCTION("""COMPUTED_VALUE"""),"Mortdecai ")</f>
        <v>Mortdecai </v>
      </c>
      <c r="AE881">
        <f t="shared" si="26"/>
        <v>7605561</v>
      </c>
    </row>
    <row r="882" customHeight="1" spans="1:31">
      <c r="A882" s="2" t="s">
        <v>213</v>
      </c>
      <c r="B882" s="2">
        <v>115</v>
      </c>
      <c r="C882" s="2">
        <v>135014968</v>
      </c>
      <c r="D882" s="2" t="s">
        <v>2062</v>
      </c>
      <c r="E882" s="2" t="s">
        <v>59</v>
      </c>
      <c r="F882" t="s">
        <v>28</v>
      </c>
      <c r="G882" t="s">
        <v>56</v>
      </c>
      <c r="H882" t="s">
        <v>24</v>
      </c>
      <c r="N882" s="2" t="s">
        <v>18</v>
      </c>
      <c r="O882" s="2" t="s">
        <v>19</v>
      </c>
      <c r="P882" s="2">
        <v>50000000</v>
      </c>
      <c r="Q882" s="2">
        <v>6.7</v>
      </c>
      <c r="R882" s="2" t="s">
        <v>2063</v>
      </c>
      <c r="S882" s="2"/>
      <c r="U882" s="2" t="s">
        <v>2064</v>
      </c>
      <c r="V882">
        <f ca="1" t="shared" si="25"/>
        <v>5.3</v>
      </c>
      <c r="AC882" s="2"/>
      <c r="AD882" t="str">
        <f>IFERROR(__xludf.DUMMYFUNCTION("""COMPUTED_VALUE"""),"In the Name of the King: A Dungeon Siege Tale ")</f>
        <v>In the Name of the King: A Dungeon Siege Tale </v>
      </c>
      <c r="AE882">
        <f t="shared" si="26"/>
        <v>4534961</v>
      </c>
    </row>
    <row r="883" customHeight="1" spans="1:31">
      <c r="A883" s="2" t="s">
        <v>621</v>
      </c>
      <c r="B883" s="2">
        <v>143</v>
      </c>
      <c r="C883" s="2">
        <v>2175312</v>
      </c>
      <c r="D883" s="2" t="s">
        <v>40</v>
      </c>
      <c r="E883" s="2" t="s">
        <v>40</v>
      </c>
      <c r="F883" t="s">
        <v>13</v>
      </c>
      <c r="G883" t="s">
        <v>15</v>
      </c>
      <c r="H883" t="s">
        <v>29</v>
      </c>
      <c r="N883" s="2" t="s">
        <v>18</v>
      </c>
      <c r="O883" s="2" t="s">
        <v>19</v>
      </c>
      <c r="P883" s="2">
        <v>50000000</v>
      </c>
      <c r="Q883" s="2">
        <v>6.3</v>
      </c>
      <c r="R883" s="2" t="s">
        <v>2065</v>
      </c>
      <c r="S883" s="2"/>
      <c r="U883" s="2" t="s">
        <v>2066</v>
      </c>
      <c r="V883">
        <f ca="1" t="shared" si="25"/>
        <v>5.6</v>
      </c>
      <c r="AC883" s="2"/>
      <c r="AD883" t="str">
        <f>IFERROR(__xludf.DUMMYFUNCTION("""COMPUTED_VALUE"""),"Beyond Borders ")</f>
        <v>Beyond Borders </v>
      </c>
      <c r="AE883">
        <f t="shared" si="26"/>
        <v>4426170</v>
      </c>
    </row>
    <row r="884" customHeight="1" spans="1:31">
      <c r="A884" s="2" t="s">
        <v>834</v>
      </c>
      <c r="B884" s="2">
        <v>96</v>
      </c>
      <c r="C884" s="2">
        <v>126203320</v>
      </c>
      <c r="D884" s="2" t="s">
        <v>607</v>
      </c>
      <c r="E884" s="2" t="s">
        <v>40</v>
      </c>
      <c r="F884" t="s">
        <v>30</v>
      </c>
      <c r="G884" t="s">
        <v>23</v>
      </c>
      <c r="H884" t="s">
        <v>15</v>
      </c>
      <c r="N884" s="2" t="s">
        <v>18</v>
      </c>
      <c r="O884" s="2" t="s">
        <v>19</v>
      </c>
      <c r="P884" s="2">
        <v>50000000</v>
      </c>
      <c r="Q884" s="2">
        <v>5.8</v>
      </c>
      <c r="R884" s="2" t="s">
        <v>2067</v>
      </c>
      <c r="S884" s="2"/>
      <c r="U884" s="2" t="s">
        <v>2068</v>
      </c>
      <c r="V884">
        <f ca="1" t="shared" si="25"/>
        <v>5.93333333333333</v>
      </c>
      <c r="AC884" s="2"/>
      <c r="AD884" t="str">
        <f>IFERROR(__xludf.DUMMYFUNCTION("""COMPUTED_VALUE"""),"The Great Raid ")</f>
        <v>The Great Raid </v>
      </c>
      <c r="AE884">
        <f t="shared" si="26"/>
        <v>10166370</v>
      </c>
    </row>
    <row r="885" customHeight="1" spans="1:31">
      <c r="A885" s="2" t="s">
        <v>155</v>
      </c>
      <c r="B885" s="2">
        <v>112</v>
      </c>
      <c r="C885" s="2">
        <v>126975169</v>
      </c>
      <c r="D885" s="2" t="s">
        <v>2069</v>
      </c>
      <c r="E885" s="2" t="s">
        <v>28</v>
      </c>
      <c r="F885" t="s">
        <v>13</v>
      </c>
      <c r="G885" t="s">
        <v>28</v>
      </c>
      <c r="H885" t="s">
        <v>24</v>
      </c>
      <c r="N885" s="2" t="s">
        <v>18</v>
      </c>
      <c r="O885" s="2" t="s">
        <v>19</v>
      </c>
      <c r="P885" s="2">
        <v>50000000</v>
      </c>
      <c r="Q885" s="2">
        <v>7.1</v>
      </c>
      <c r="R885" s="2" t="s">
        <v>2070</v>
      </c>
      <c r="S885" s="2"/>
      <c r="U885" s="2" t="s">
        <v>2071</v>
      </c>
      <c r="V885">
        <f ca="1" t="shared" si="25"/>
        <v>4.7</v>
      </c>
      <c r="AC885" s="2"/>
      <c r="AD885" t="str">
        <f>IFERROR(__xludf.DUMMYFUNCTION("""COMPUTED_VALUE"""),"Deadpool ")</f>
        <v>Deadpool </v>
      </c>
      <c r="AE885">
        <f t="shared" si="26"/>
        <v>363024155</v>
      </c>
    </row>
    <row r="886" customHeight="1" spans="1:31">
      <c r="A886" s="2" t="s">
        <v>556</v>
      </c>
      <c r="B886" s="2">
        <v>131</v>
      </c>
      <c r="C886" s="2">
        <v>125548685</v>
      </c>
      <c r="D886" s="2" t="s">
        <v>562</v>
      </c>
      <c r="E886" s="2" t="s">
        <v>59</v>
      </c>
      <c r="F886" t="s">
        <v>35</v>
      </c>
      <c r="G886" t="s">
        <v>40</v>
      </c>
      <c r="H886" t="s">
        <v>17</v>
      </c>
      <c r="N886" s="2" t="s">
        <v>18</v>
      </c>
      <c r="O886" s="2" t="s">
        <v>19</v>
      </c>
      <c r="P886" s="2">
        <v>52000000</v>
      </c>
      <c r="Q886" s="2">
        <v>7.3</v>
      </c>
      <c r="R886" s="2" t="s">
        <v>2072</v>
      </c>
      <c r="S886" s="2"/>
      <c r="U886" s="2" t="s">
        <v>2073</v>
      </c>
      <c r="V886">
        <f ca="1" t="shared" si="25"/>
        <v>6.05</v>
      </c>
      <c r="AC886" s="2"/>
      <c r="AD886" t="str">
        <f>IFERROR(__xludf.DUMMYFUNCTION("""COMPUTED_VALUE"""),"Holy Man ")</f>
        <v>Holy Man </v>
      </c>
      <c r="AE886">
        <f t="shared" si="26"/>
        <v>12065871</v>
      </c>
    </row>
    <row r="887" customHeight="1" spans="1:31">
      <c r="A887" s="2" t="s">
        <v>1111</v>
      </c>
      <c r="B887" s="2">
        <v>116</v>
      </c>
      <c r="C887" s="2">
        <v>105807520</v>
      </c>
      <c r="D887" s="2" t="s">
        <v>607</v>
      </c>
      <c r="E887" s="2" t="s">
        <v>40</v>
      </c>
      <c r="F887" t="s">
        <v>40</v>
      </c>
      <c r="G887" t="s">
        <v>71</v>
      </c>
      <c r="H887" t="s">
        <v>24</v>
      </c>
      <c r="N887" s="2" t="s">
        <v>18</v>
      </c>
      <c r="O887" s="2" t="s">
        <v>19</v>
      </c>
      <c r="P887" s="2">
        <v>50000000</v>
      </c>
      <c r="Q887" s="2">
        <v>6.4</v>
      </c>
      <c r="R887" s="2" t="s">
        <v>2074</v>
      </c>
      <c r="S887" s="2"/>
      <c r="U887" s="2" t="s">
        <v>2075</v>
      </c>
      <c r="V887">
        <f ca="1" t="shared" ref="V887:V950" si="27">AVERAGEIF(A771:A4556,U887,Q772:Q4556)</f>
        <v>5.1</v>
      </c>
      <c r="AC887" s="2"/>
      <c r="AD887" t="str">
        <f>IFERROR(__xludf.DUMMYFUNCTION("""COMPUTED_VALUE"""),"American Sniper ")</f>
        <v>American Sniper </v>
      </c>
      <c r="AE887">
        <f t="shared" ref="AE887:AE950" si="28">C771-B771</f>
        <v>350123420</v>
      </c>
    </row>
    <row r="888" customHeight="1" spans="1:31">
      <c r="A888" s="2" t="s">
        <v>711</v>
      </c>
      <c r="B888" s="2">
        <v>112</v>
      </c>
      <c r="C888" s="2">
        <v>191616238</v>
      </c>
      <c r="D888" s="2" t="s">
        <v>635</v>
      </c>
      <c r="E888" s="2" t="s">
        <v>12</v>
      </c>
      <c r="F888" t="s">
        <v>30</v>
      </c>
      <c r="G888" t="s">
        <v>55</v>
      </c>
      <c r="H888" t="s">
        <v>17</v>
      </c>
      <c r="N888" s="2" t="s">
        <v>18</v>
      </c>
      <c r="O888" s="2" t="s">
        <v>19</v>
      </c>
      <c r="P888" s="2">
        <v>50000000</v>
      </c>
      <c r="Q888" s="2">
        <v>7.1</v>
      </c>
      <c r="R888" s="2" t="s">
        <v>2076</v>
      </c>
      <c r="S888" s="2"/>
      <c r="U888" s="2" t="s">
        <v>2077</v>
      </c>
      <c r="V888">
        <f ca="1" t="shared" si="27"/>
        <v>6.7</v>
      </c>
      <c r="AC888" s="2"/>
      <c r="AD888" t="str">
        <f>IFERROR(__xludf.DUMMYFUNCTION("""COMPUTED_VALUE"""),"Goosebumps ")</f>
        <v>Goosebumps </v>
      </c>
      <c r="AE888">
        <f t="shared" si="28"/>
        <v>80021637</v>
      </c>
    </row>
    <row r="889" customHeight="1" spans="1:31">
      <c r="A889" s="2" t="s">
        <v>1255</v>
      </c>
      <c r="B889" s="2">
        <v>123</v>
      </c>
      <c r="C889" s="2">
        <v>105264608</v>
      </c>
      <c r="D889" s="2" t="s">
        <v>2078</v>
      </c>
      <c r="E889" s="2" t="s">
        <v>30</v>
      </c>
      <c r="F889" t="s">
        <v>14</v>
      </c>
      <c r="G889" t="s">
        <v>72</v>
      </c>
      <c r="H889" t="s">
        <v>56</v>
      </c>
      <c r="N889" s="2" t="s">
        <v>18</v>
      </c>
      <c r="O889" s="2" t="s">
        <v>19</v>
      </c>
      <c r="P889" s="2">
        <v>60000000</v>
      </c>
      <c r="Q889" s="2">
        <v>7.6</v>
      </c>
      <c r="R889" s="2" t="s">
        <v>2079</v>
      </c>
      <c r="S889" s="2"/>
      <c r="U889" s="2" t="s">
        <v>2080</v>
      </c>
      <c r="V889">
        <f ca="1" t="shared" si="27"/>
        <v>6.4</v>
      </c>
      <c r="AC889" s="2"/>
      <c r="AD889" t="str">
        <f>IFERROR(__xludf.DUMMYFUNCTION("""COMPUTED_VALUE"""),"Just Like Heaven ")</f>
        <v>Just Like Heaven </v>
      </c>
      <c r="AE889">
        <f t="shared" si="28"/>
        <v>48291529</v>
      </c>
    </row>
    <row r="890" customHeight="1" spans="1:31">
      <c r="A890" s="2" t="s">
        <v>437</v>
      </c>
      <c r="B890" s="2">
        <v>104</v>
      </c>
      <c r="C890" s="2">
        <v>97680195</v>
      </c>
      <c r="D890" s="2" t="s">
        <v>607</v>
      </c>
      <c r="E890" s="2" t="s">
        <v>40</v>
      </c>
      <c r="F890" t="s">
        <v>24</v>
      </c>
      <c r="G890" t="s">
        <v>30</v>
      </c>
      <c r="H890" t="s">
        <v>24</v>
      </c>
      <c r="N890" s="2" t="s">
        <v>18</v>
      </c>
      <c r="O890" s="2" t="s">
        <v>19</v>
      </c>
      <c r="P890" s="2">
        <v>70000000</v>
      </c>
      <c r="Q890" s="2">
        <v>6.8</v>
      </c>
      <c r="R890" s="2" t="s">
        <v>2081</v>
      </c>
      <c r="S890" s="2"/>
      <c r="U890" s="2" t="s">
        <v>2082</v>
      </c>
      <c r="V890">
        <f ca="1" t="shared" si="27"/>
        <v>5.9</v>
      </c>
      <c r="AC890" s="2"/>
      <c r="AD890" t="str">
        <f>IFERROR(__xludf.DUMMYFUNCTION("""COMPUTED_VALUE"""),"The Flintstones in Viva Rock Vegas ")</f>
        <v>The Flintstones in Viva Rock Vegas </v>
      </c>
      <c r="AE890">
        <f t="shared" si="28"/>
        <v>35231275</v>
      </c>
    </row>
    <row r="891" customHeight="1" spans="1:31">
      <c r="A891" s="2" t="s">
        <v>1257</v>
      </c>
      <c r="B891" s="2">
        <v>107</v>
      </c>
      <c r="C891" s="2">
        <v>126088877</v>
      </c>
      <c r="D891" s="2" t="s">
        <v>635</v>
      </c>
      <c r="E891" s="2" t="s">
        <v>12</v>
      </c>
      <c r="F891" t="s">
        <v>13</v>
      </c>
      <c r="G891" t="s">
        <v>24</v>
      </c>
      <c r="H891" t="s">
        <v>16</v>
      </c>
      <c r="N891" s="2" t="s">
        <v>18</v>
      </c>
      <c r="O891" s="2" t="s">
        <v>19</v>
      </c>
      <c r="P891" s="2">
        <v>50000000</v>
      </c>
      <c r="Q891" s="2">
        <v>6.6</v>
      </c>
      <c r="R891" s="2" t="s">
        <v>2083</v>
      </c>
      <c r="S891" s="2"/>
      <c r="U891" s="2" t="s">
        <v>2084</v>
      </c>
      <c r="V891">
        <f ca="1" t="shared" si="27"/>
        <v>6.2</v>
      </c>
      <c r="AC891" s="2"/>
      <c r="AD891" t="str">
        <f>IFERROR(__xludf.DUMMYFUNCTION("""COMPUTED_VALUE"""),"Rambo III ")</f>
        <v>Rambo III </v>
      </c>
      <c r="AE891">
        <f t="shared" si="28"/>
        <v>53715524</v>
      </c>
    </row>
    <row r="892" customHeight="1" spans="1:31">
      <c r="A892" s="2" t="s">
        <v>466</v>
      </c>
      <c r="B892" s="2">
        <v>124</v>
      </c>
      <c r="C892" s="2">
        <v>91030827</v>
      </c>
      <c r="D892" s="2" t="s">
        <v>975</v>
      </c>
      <c r="E892" s="2" t="s">
        <v>40</v>
      </c>
      <c r="F892" t="s">
        <v>24</v>
      </c>
      <c r="G892" t="s">
        <v>24</v>
      </c>
      <c r="H892" t="s">
        <v>17</v>
      </c>
      <c r="N892" s="2" t="s">
        <v>18</v>
      </c>
      <c r="O892" s="2" t="s">
        <v>19</v>
      </c>
      <c r="P892" s="2">
        <v>50000000</v>
      </c>
      <c r="Q892" s="2">
        <v>6.7</v>
      </c>
      <c r="R892" s="2" t="s">
        <v>2085</v>
      </c>
      <c r="S892" s="2"/>
      <c r="U892" s="2" t="s">
        <v>2086</v>
      </c>
      <c r="V892">
        <f ca="1" t="shared" si="27"/>
        <v>7</v>
      </c>
      <c r="AC892" s="2"/>
      <c r="AD892" t="str">
        <f>IFERROR(__xludf.DUMMYFUNCTION("""COMPUTED_VALUE"""),"Leatherheads ")</f>
        <v>Leatherheads </v>
      </c>
      <c r="AE892">
        <f t="shared" si="28"/>
        <v>31199101</v>
      </c>
    </row>
    <row r="893" customHeight="1" spans="1:31">
      <c r="A893" s="2" t="s">
        <v>1162</v>
      </c>
      <c r="B893" s="2">
        <v>96</v>
      </c>
      <c r="C893" s="2">
        <v>150315155</v>
      </c>
      <c r="D893" s="2" t="s">
        <v>1201</v>
      </c>
      <c r="E893" s="2" t="s">
        <v>40</v>
      </c>
      <c r="F893" t="s">
        <v>30</v>
      </c>
      <c r="G893" t="s">
        <v>40</v>
      </c>
      <c r="H893" t="s">
        <v>17</v>
      </c>
      <c r="N893" s="2" t="s">
        <v>18</v>
      </c>
      <c r="O893" s="2" t="s">
        <v>19</v>
      </c>
      <c r="P893" s="2">
        <v>50000000</v>
      </c>
      <c r="Q893" s="2">
        <v>6.1</v>
      </c>
      <c r="R893" s="2" t="s">
        <v>2087</v>
      </c>
      <c r="S893" s="2"/>
      <c r="U893" s="2" t="s">
        <v>2088</v>
      </c>
      <c r="V893">
        <f ca="1" t="shared" si="27"/>
        <v>7.25</v>
      </c>
      <c r="AC893" s="2"/>
      <c r="AD893" t="str">
        <f>IFERROR(__xludf.DUMMYFUNCTION("""COMPUTED_VALUE"""),"Did You Hear About the Morgans? ")</f>
        <v>Did You Hear About the Morgans? </v>
      </c>
      <c r="AE893">
        <f t="shared" si="28"/>
        <v>29579984</v>
      </c>
    </row>
    <row r="894" customHeight="1" spans="1:31">
      <c r="A894" s="2" t="s">
        <v>82</v>
      </c>
      <c r="B894" s="2">
        <v>125</v>
      </c>
      <c r="C894" s="2">
        <v>127997349</v>
      </c>
      <c r="D894" s="2" t="s">
        <v>2089</v>
      </c>
      <c r="E894" s="2" t="s">
        <v>13</v>
      </c>
      <c r="F894" t="s">
        <v>35</v>
      </c>
      <c r="G894" t="s">
        <v>55</v>
      </c>
      <c r="H894" t="s">
        <v>14</v>
      </c>
      <c r="N894" s="2" t="s">
        <v>18</v>
      </c>
      <c r="O894" s="2" t="s">
        <v>19</v>
      </c>
      <c r="P894" s="2">
        <v>50000000</v>
      </c>
      <c r="Q894" s="2">
        <v>6</v>
      </c>
      <c r="R894" s="2" t="s">
        <v>2090</v>
      </c>
      <c r="S894" s="2"/>
      <c r="U894" s="2" t="s">
        <v>2091</v>
      </c>
      <c r="V894">
        <f ca="1" t="shared" si="27"/>
        <v>6.16666666666667</v>
      </c>
      <c r="AC894" s="2"/>
      <c r="AD894" t="str">
        <f>IFERROR(__xludf.DUMMYFUNCTION("""COMPUTED_VALUE"""),"The Internship ")</f>
        <v>The Internship </v>
      </c>
      <c r="AE894">
        <f t="shared" si="28"/>
        <v>44665838</v>
      </c>
    </row>
    <row r="895" customHeight="1" spans="1:31">
      <c r="A895" s="2" t="s">
        <v>1259</v>
      </c>
      <c r="B895" s="2">
        <v>129</v>
      </c>
      <c r="C895" s="2">
        <v>88504640</v>
      </c>
      <c r="D895" s="2" t="s">
        <v>814</v>
      </c>
      <c r="E895" s="2" t="s">
        <v>56</v>
      </c>
      <c r="F895" t="s">
        <v>24</v>
      </c>
      <c r="G895" t="s">
        <v>56</v>
      </c>
      <c r="H895" t="s">
        <v>24</v>
      </c>
      <c r="N895" s="2" t="s">
        <v>18</v>
      </c>
      <c r="O895" s="2" t="s">
        <v>19</v>
      </c>
      <c r="P895" s="2">
        <v>45000000</v>
      </c>
      <c r="Q895" s="2">
        <v>7.6</v>
      </c>
      <c r="R895" s="2" t="s">
        <v>2092</v>
      </c>
      <c r="S895" s="2"/>
      <c r="U895" s="2" t="s">
        <v>2093</v>
      </c>
      <c r="V895">
        <f ca="1" t="shared" si="27"/>
        <v>4.9</v>
      </c>
      <c r="AC895" s="2"/>
      <c r="AD895" t="str">
        <f>IFERROR(__xludf.DUMMYFUNCTION("""COMPUTED_VALUE"""),"Resident Evil: Afterlife ")</f>
        <v>Resident Evil: Afterlife </v>
      </c>
      <c r="AE895">
        <f t="shared" si="28"/>
        <v>60128469</v>
      </c>
    </row>
    <row r="896" customHeight="1" spans="1:31">
      <c r="A896" s="2" t="s">
        <v>1261</v>
      </c>
      <c r="B896" s="2">
        <v>90</v>
      </c>
      <c r="C896" s="2">
        <v>81517441</v>
      </c>
      <c r="D896" s="2" t="s">
        <v>186</v>
      </c>
      <c r="E896" s="2" t="s">
        <v>12</v>
      </c>
      <c r="F896" t="s">
        <v>56</v>
      </c>
      <c r="G896" t="s">
        <v>17</v>
      </c>
      <c r="H896" t="s">
        <v>39</v>
      </c>
      <c r="N896" s="2" t="s">
        <v>18</v>
      </c>
      <c r="O896" s="2" t="s">
        <v>19</v>
      </c>
      <c r="P896" s="2">
        <v>50000000</v>
      </c>
      <c r="Q896" s="2">
        <v>7.1</v>
      </c>
      <c r="R896" s="2" t="s">
        <v>2094</v>
      </c>
      <c r="S896" s="2"/>
      <c r="U896" s="2" t="s">
        <v>2095</v>
      </c>
      <c r="V896">
        <f ca="1" t="shared" si="27"/>
        <v>5.7</v>
      </c>
      <c r="AC896" s="2"/>
      <c r="AD896" t="str">
        <f>IFERROR(__xludf.DUMMYFUNCTION("""COMPUTED_VALUE"""),"Red Tails ")</f>
        <v>Red Tails </v>
      </c>
      <c r="AE896">
        <f t="shared" si="28"/>
        <v>49875464</v>
      </c>
    </row>
    <row r="897" customHeight="1" spans="1:31">
      <c r="A897" s="2" t="s">
        <v>1264</v>
      </c>
      <c r="B897" s="2">
        <v>109</v>
      </c>
      <c r="C897" s="2">
        <v>81022333</v>
      </c>
      <c r="D897" s="2" t="s">
        <v>526</v>
      </c>
      <c r="E897" s="2" t="s">
        <v>12</v>
      </c>
      <c r="F897" t="s">
        <v>30</v>
      </c>
      <c r="G897" t="s">
        <v>24</v>
      </c>
      <c r="H897" t="s">
        <v>14</v>
      </c>
      <c r="N897" s="2" t="s">
        <v>18</v>
      </c>
      <c r="O897" s="2" t="s">
        <v>19</v>
      </c>
      <c r="P897" s="2">
        <v>50000000</v>
      </c>
      <c r="Q897" s="2">
        <v>5</v>
      </c>
      <c r="R897" s="2" t="s">
        <v>2096</v>
      </c>
      <c r="S897" s="2"/>
      <c r="U897" s="2" t="s">
        <v>2097</v>
      </c>
      <c r="V897">
        <f ca="1" t="shared" si="27"/>
        <v>6.6</v>
      </c>
      <c r="AC897" s="2"/>
      <c r="AD897" t="str">
        <f>IFERROR(__xludf.DUMMYFUNCTION("""COMPUTED_VALUE"""),"The Devil's Advocate ")</f>
        <v>The Devil's Advocate </v>
      </c>
      <c r="AE897">
        <f t="shared" si="28"/>
        <v>60983892</v>
      </c>
    </row>
    <row r="898" customHeight="1" spans="1:31">
      <c r="A898" s="2" t="s">
        <v>394</v>
      </c>
      <c r="B898" s="2">
        <v>121</v>
      </c>
      <c r="C898" s="2">
        <v>79948113</v>
      </c>
      <c r="D898" s="2" t="s">
        <v>840</v>
      </c>
      <c r="E898" s="2" t="s">
        <v>30</v>
      </c>
      <c r="F898" t="s">
        <v>28</v>
      </c>
      <c r="G898" t="s">
        <v>24</v>
      </c>
      <c r="H898" t="s">
        <v>15</v>
      </c>
      <c r="N898" s="2" t="s">
        <v>18</v>
      </c>
      <c r="O898" s="2" t="s">
        <v>19</v>
      </c>
      <c r="P898" s="2">
        <v>50000000</v>
      </c>
      <c r="Q898" s="2">
        <v>6.2</v>
      </c>
      <c r="R898" s="2" t="s">
        <v>2098</v>
      </c>
      <c r="S898" s="2"/>
      <c r="U898" s="2" t="s">
        <v>2099</v>
      </c>
      <c r="V898">
        <f ca="1" t="shared" si="27"/>
        <v>6.95</v>
      </c>
      <c r="AC898" s="2"/>
      <c r="AD898" t="str">
        <f>IFERROR(__xludf.DUMMYFUNCTION("""COMPUTED_VALUE"""),"That's My Boy ")</f>
        <v>That's My Boy </v>
      </c>
      <c r="AE898">
        <f t="shared" si="28"/>
        <v>36930973</v>
      </c>
    </row>
    <row r="899" customHeight="1" spans="1:31">
      <c r="A899" s="2" t="s">
        <v>1181</v>
      </c>
      <c r="B899" s="2">
        <v>95</v>
      </c>
      <c r="C899" s="2">
        <v>88658172</v>
      </c>
      <c r="D899" s="2" t="s">
        <v>607</v>
      </c>
      <c r="E899" s="2" t="s">
        <v>40</v>
      </c>
      <c r="F899" t="s">
        <v>72</v>
      </c>
      <c r="G899" t="s">
        <v>14</v>
      </c>
      <c r="H899" t="s">
        <v>24</v>
      </c>
      <c r="N899" s="2" t="s">
        <v>18</v>
      </c>
      <c r="O899" s="2" t="s">
        <v>19</v>
      </c>
      <c r="P899" s="2">
        <v>50000000</v>
      </c>
      <c r="Q899" s="2">
        <v>5.6</v>
      </c>
      <c r="R899" s="2" t="s">
        <v>2100</v>
      </c>
      <c r="S899" s="2"/>
      <c r="U899" s="2" t="s">
        <v>2101</v>
      </c>
      <c r="V899">
        <f ca="1" t="shared" si="27"/>
        <v>6.8</v>
      </c>
      <c r="AC899" s="2"/>
      <c r="AD899" t="str">
        <f>IFERROR(__xludf.DUMMYFUNCTION("""COMPUTED_VALUE"""),"DragonHeart ")</f>
        <v>DragonHeart </v>
      </c>
      <c r="AE899">
        <f t="shared" si="28"/>
        <v>51317247</v>
      </c>
    </row>
    <row r="900" customHeight="1" spans="1:31">
      <c r="A900" s="2" t="s">
        <v>1008</v>
      </c>
      <c r="B900" s="2">
        <v>118</v>
      </c>
      <c r="C900" s="2">
        <v>84244877</v>
      </c>
      <c r="D900" s="2" t="s">
        <v>521</v>
      </c>
      <c r="E900" s="2" t="s">
        <v>40</v>
      </c>
      <c r="F900" t="s">
        <v>39</v>
      </c>
      <c r="G900" t="s">
        <v>71</v>
      </c>
      <c r="H900" t="s">
        <v>17</v>
      </c>
      <c r="N900" s="2" t="s">
        <v>18</v>
      </c>
      <c r="O900" s="2" t="s">
        <v>19</v>
      </c>
      <c r="P900" s="2">
        <v>50000000</v>
      </c>
      <c r="Q900" s="2">
        <v>7.4</v>
      </c>
      <c r="R900" s="2" t="s">
        <v>2102</v>
      </c>
      <c r="S900" s="2"/>
      <c r="U900" s="2" t="s">
        <v>2103</v>
      </c>
      <c r="V900">
        <f ca="1" t="shared" si="27"/>
        <v>6.7</v>
      </c>
      <c r="AC900" s="2"/>
      <c r="AD900" t="str">
        <f>IFERROR(__xludf.DUMMYFUNCTION("""COMPUTED_VALUE"""),"After the Sunset ")</f>
        <v>After the Sunset </v>
      </c>
      <c r="AE900">
        <f t="shared" si="28"/>
        <v>28328035</v>
      </c>
    </row>
    <row r="901" customHeight="1" spans="1:31">
      <c r="A901" s="2" t="s">
        <v>1266</v>
      </c>
      <c r="B901" s="2">
        <v>80</v>
      </c>
      <c r="C901" s="2">
        <v>75367693</v>
      </c>
      <c r="D901" s="2" t="s">
        <v>303</v>
      </c>
      <c r="E901" s="2" t="s">
        <v>35</v>
      </c>
      <c r="F901" t="s">
        <v>56</v>
      </c>
      <c r="G901" t="s">
        <v>14</v>
      </c>
      <c r="H901" t="s">
        <v>24</v>
      </c>
      <c r="N901" s="2" t="s">
        <v>18</v>
      </c>
      <c r="O901" s="2" t="s">
        <v>19</v>
      </c>
      <c r="P901" s="2">
        <v>35000000</v>
      </c>
      <c r="Q901" s="2">
        <v>5</v>
      </c>
      <c r="R901" s="2" t="s">
        <v>2104</v>
      </c>
      <c r="S901" s="2"/>
      <c r="U901" s="2" t="s">
        <v>2105</v>
      </c>
      <c r="V901">
        <f ca="1" t="shared" si="27"/>
        <v>7.1</v>
      </c>
      <c r="AC901" s="2"/>
      <c r="AD901" t="str">
        <f>IFERROR(__xludf.DUMMYFUNCTION("""COMPUTED_VALUE"""),"Ghost Rider: Spirit of Vengeance ")</f>
        <v>Ghost Rider: Spirit of Vengeance </v>
      </c>
      <c r="AE901">
        <f t="shared" si="28"/>
        <v>51773906</v>
      </c>
    </row>
    <row r="902" customHeight="1" spans="1:31">
      <c r="A902" s="2" t="s">
        <v>1268</v>
      </c>
      <c r="B902" s="2">
        <v>99</v>
      </c>
      <c r="C902" s="2">
        <v>73701902</v>
      </c>
      <c r="D902" s="2" t="s">
        <v>1201</v>
      </c>
      <c r="E902" s="2" t="s">
        <v>40</v>
      </c>
      <c r="F902" t="s">
        <v>24</v>
      </c>
      <c r="G902" t="s">
        <v>15</v>
      </c>
      <c r="H902" t="s">
        <v>24</v>
      </c>
      <c r="N902" s="2" t="s">
        <v>18</v>
      </c>
      <c r="O902" s="2" t="s">
        <v>19</v>
      </c>
      <c r="P902" s="2">
        <v>60000000</v>
      </c>
      <c r="Q902" s="2">
        <v>5.2</v>
      </c>
      <c r="R902" s="2" t="s">
        <v>2106</v>
      </c>
      <c r="S902" s="2"/>
      <c r="U902" s="2" t="s">
        <v>2107</v>
      </c>
      <c r="V902">
        <f ca="1" t="shared" si="27"/>
        <v>7.7</v>
      </c>
      <c r="AC902" s="2"/>
      <c r="AD902" t="str">
        <f>IFERROR(__xludf.DUMMYFUNCTION("""COMPUTED_VALUE"""),"Captain Corelli's Mandolin ")</f>
        <v>Captain Corelli's Mandolin </v>
      </c>
      <c r="AE902">
        <f t="shared" si="28"/>
        <v>25528364</v>
      </c>
    </row>
    <row r="903" customHeight="1" spans="1:31">
      <c r="A903" s="2" t="s">
        <v>1271</v>
      </c>
      <c r="B903" s="2">
        <v>133</v>
      </c>
      <c r="C903" s="2">
        <v>75605492</v>
      </c>
      <c r="D903" s="2" t="s">
        <v>592</v>
      </c>
      <c r="E903" s="2" t="s">
        <v>59</v>
      </c>
      <c r="F903" t="s">
        <v>40</v>
      </c>
      <c r="G903" t="s">
        <v>30</v>
      </c>
      <c r="H903" t="s">
        <v>24</v>
      </c>
      <c r="N903" s="2" t="s">
        <v>18</v>
      </c>
      <c r="O903" s="2" t="s">
        <v>19</v>
      </c>
      <c r="P903" s="2">
        <v>50000000</v>
      </c>
      <c r="Q903" s="2">
        <v>7.6</v>
      </c>
      <c r="R903" s="2" t="s">
        <v>2108</v>
      </c>
      <c r="S903" s="2"/>
      <c r="U903" s="2" t="s">
        <v>2109</v>
      </c>
      <c r="V903">
        <f ca="1" t="shared" si="27"/>
        <v>7.1</v>
      </c>
      <c r="AC903" s="2"/>
      <c r="AD903" t="str">
        <f>IFERROR(__xludf.DUMMYFUNCTION("""COMPUTED_VALUE"""),"The Pacifier ")</f>
        <v>The Pacifier </v>
      </c>
      <c r="AE903">
        <f t="shared" si="28"/>
        <v>113006785</v>
      </c>
    </row>
    <row r="904" customHeight="1" spans="1:31">
      <c r="A904" s="2" t="s">
        <v>275</v>
      </c>
      <c r="B904" s="2">
        <v>127</v>
      </c>
      <c r="C904" s="2">
        <v>67823573</v>
      </c>
      <c r="D904" s="2" t="s">
        <v>355</v>
      </c>
      <c r="E904" s="2" t="s">
        <v>12</v>
      </c>
      <c r="F904" t="s">
        <v>14</v>
      </c>
      <c r="G904" t="s">
        <v>24</v>
      </c>
      <c r="H904" t="s">
        <v>24</v>
      </c>
      <c r="N904" s="2" t="s">
        <v>18</v>
      </c>
      <c r="O904" s="2" t="s">
        <v>19</v>
      </c>
      <c r="P904" s="2">
        <v>50000000</v>
      </c>
      <c r="Q904" s="2">
        <v>6.6</v>
      </c>
      <c r="R904" s="2" t="s">
        <v>2110</v>
      </c>
      <c r="S904" s="2"/>
      <c r="U904" s="2" t="s">
        <v>2111</v>
      </c>
      <c r="V904">
        <f ca="1" t="shared" si="27"/>
        <v>7.2</v>
      </c>
      <c r="AC904" s="2"/>
      <c r="AD904" t="str">
        <f>IFERROR(__xludf.DUMMYFUNCTION("""COMPUTED_VALUE"""),"Walking Tall ")</f>
        <v>Walking Tall </v>
      </c>
      <c r="AE904">
        <f t="shared" si="28"/>
        <v>45859953</v>
      </c>
    </row>
    <row r="905" customHeight="1" spans="1:31">
      <c r="A905" s="2" t="s">
        <v>1274</v>
      </c>
      <c r="B905" s="2">
        <v>106</v>
      </c>
      <c r="C905" s="2">
        <v>91439400</v>
      </c>
      <c r="D905" s="2" t="s">
        <v>433</v>
      </c>
      <c r="E905" s="2" t="s">
        <v>12</v>
      </c>
      <c r="F905" t="s">
        <v>30</v>
      </c>
      <c r="G905" t="s">
        <v>17</v>
      </c>
      <c r="H905" t="s">
        <v>17</v>
      </c>
      <c r="N905" s="2" t="s">
        <v>18</v>
      </c>
      <c r="O905" s="2" t="s">
        <v>31</v>
      </c>
      <c r="P905" s="2">
        <v>50000000</v>
      </c>
      <c r="Q905" s="2">
        <v>7</v>
      </c>
      <c r="R905" s="2" t="s">
        <v>2112</v>
      </c>
      <c r="S905" s="2"/>
      <c r="U905" s="2" t="s">
        <v>2113</v>
      </c>
      <c r="V905">
        <f ca="1" t="shared" si="27"/>
        <v>6.6</v>
      </c>
      <c r="AC905" s="2"/>
      <c r="AD905" t="str">
        <f>IFERROR(__xludf.DUMMYFUNCTION("""COMPUTED_VALUE"""),"Forrest Gump ")</f>
        <v>Forrest Gump </v>
      </c>
      <c r="AE905">
        <f t="shared" si="28"/>
        <v>329691054</v>
      </c>
    </row>
    <row r="906" customHeight="1" spans="1:31">
      <c r="A906" s="2" t="s">
        <v>1276</v>
      </c>
      <c r="B906" s="2">
        <v>98</v>
      </c>
      <c r="C906" s="2">
        <v>67128202</v>
      </c>
      <c r="D906" s="2" t="s">
        <v>2114</v>
      </c>
      <c r="E906" s="2" t="s">
        <v>12</v>
      </c>
      <c r="F906" t="s">
        <v>24</v>
      </c>
      <c r="G906" t="s">
        <v>24</v>
      </c>
      <c r="H906" t="s">
        <v>39</v>
      </c>
      <c r="N906" s="2" t="s">
        <v>18</v>
      </c>
      <c r="O906" s="2" t="s">
        <v>19</v>
      </c>
      <c r="P906" s="2">
        <v>65000000</v>
      </c>
      <c r="Q906" s="2">
        <v>5.7</v>
      </c>
      <c r="R906" s="2" t="s">
        <v>2115</v>
      </c>
      <c r="S906" s="2"/>
      <c r="U906" s="2" t="s">
        <v>2116</v>
      </c>
      <c r="V906">
        <f ca="1" t="shared" si="27"/>
        <v>6.1</v>
      </c>
      <c r="AC906" s="2"/>
      <c r="AD906" t="str">
        <f>IFERROR(__xludf.DUMMYFUNCTION("""COMPUTED_VALUE"""),"Alvin and the Chipmunks ")</f>
        <v>Alvin and the Chipmunks </v>
      </c>
      <c r="AE906">
        <f t="shared" si="28"/>
        <v>217326244</v>
      </c>
    </row>
    <row r="907" customHeight="1" spans="1:31">
      <c r="A907" s="2" t="s">
        <v>1278</v>
      </c>
      <c r="B907" s="2">
        <v>132</v>
      </c>
      <c r="C907" s="2">
        <v>70496802</v>
      </c>
      <c r="D907" s="2" t="s">
        <v>355</v>
      </c>
      <c r="E907" s="2" t="s">
        <v>12</v>
      </c>
      <c r="F907" t="s">
        <v>72</v>
      </c>
      <c r="G907" t="s">
        <v>56</v>
      </c>
      <c r="H907" t="s">
        <v>28</v>
      </c>
      <c r="N907" s="2" t="s">
        <v>18</v>
      </c>
      <c r="O907" s="2" t="s">
        <v>19</v>
      </c>
      <c r="P907" s="2">
        <v>54000000</v>
      </c>
      <c r="Q907" s="2">
        <v>8.2</v>
      </c>
      <c r="R907" s="2" t="s">
        <v>2117</v>
      </c>
      <c r="S907" s="2"/>
      <c r="U907" s="2" t="s">
        <v>2118</v>
      </c>
      <c r="V907">
        <f ca="1" t="shared" si="27"/>
        <v>5.3</v>
      </c>
      <c r="AC907" s="2"/>
      <c r="AD907" t="str">
        <f>IFERROR(__xludf.DUMMYFUNCTION("""COMPUTED_VALUE"""),"Meet the Parents ")</f>
        <v>Meet the Parents </v>
      </c>
      <c r="AE907">
        <f t="shared" si="28"/>
        <v>166224932</v>
      </c>
    </row>
    <row r="908" customHeight="1" spans="1:31">
      <c r="A908" s="2" t="s">
        <v>1239</v>
      </c>
      <c r="B908" s="2">
        <v>114</v>
      </c>
      <c r="C908" s="2">
        <v>60470220</v>
      </c>
      <c r="D908" s="2" t="s">
        <v>589</v>
      </c>
      <c r="E908" s="2" t="s">
        <v>12</v>
      </c>
      <c r="F908" t="s">
        <v>30</v>
      </c>
      <c r="G908" t="s">
        <v>17</v>
      </c>
      <c r="H908" t="s">
        <v>17</v>
      </c>
      <c r="N908" s="2" t="s">
        <v>18</v>
      </c>
      <c r="O908" s="2" t="s">
        <v>19</v>
      </c>
      <c r="P908" s="2">
        <v>50000000</v>
      </c>
      <c r="Q908" s="2">
        <v>6.2</v>
      </c>
      <c r="R908" s="2" t="s">
        <v>2119</v>
      </c>
      <c r="S908" s="2"/>
      <c r="U908" s="2" t="s">
        <v>2120</v>
      </c>
      <c r="V908">
        <f ca="1" t="shared" si="27"/>
        <v>6.35</v>
      </c>
      <c r="AC908" s="2"/>
      <c r="AD908" t="str">
        <f>IFERROR(__xludf.DUMMYFUNCTION("""COMPUTED_VALUE"""),"Pocahontas ")</f>
        <v>Pocahontas </v>
      </c>
      <c r="AE908">
        <f t="shared" si="28"/>
        <v>141599916</v>
      </c>
    </row>
    <row r="909" customHeight="1" spans="1:31">
      <c r="A909" s="2" t="s">
        <v>1281</v>
      </c>
      <c r="B909" s="2">
        <v>78</v>
      </c>
      <c r="C909" s="2">
        <v>58336565</v>
      </c>
      <c r="D909" s="2" t="s">
        <v>189</v>
      </c>
      <c r="E909" s="2" t="s">
        <v>13</v>
      </c>
      <c r="F909" t="s">
        <v>30</v>
      </c>
      <c r="G909" t="s">
        <v>40</v>
      </c>
      <c r="H909" t="s">
        <v>23</v>
      </c>
      <c r="N909" s="2" t="s">
        <v>18</v>
      </c>
      <c r="O909" s="2" t="s">
        <v>19</v>
      </c>
      <c r="P909" s="2">
        <v>50000000</v>
      </c>
      <c r="Q909" s="2">
        <v>6.6</v>
      </c>
      <c r="R909" s="2" t="s">
        <v>2121</v>
      </c>
      <c r="S909" s="2"/>
      <c r="U909" s="2" t="s">
        <v>2122</v>
      </c>
      <c r="V909">
        <f ca="1" t="shared" si="27"/>
        <v>6.55</v>
      </c>
      <c r="AC909" s="2"/>
      <c r="AD909" t="str">
        <f>IFERROR(__xludf.DUMMYFUNCTION("""COMPUTED_VALUE"""),"Superman ")</f>
        <v>Superman </v>
      </c>
      <c r="AE909">
        <f t="shared" si="28"/>
        <v>134217830</v>
      </c>
    </row>
    <row r="910" customHeight="1" spans="1:31">
      <c r="A910" s="2" t="s">
        <v>1283</v>
      </c>
      <c r="B910" s="2">
        <v>101</v>
      </c>
      <c r="C910" s="2">
        <v>66002004</v>
      </c>
      <c r="D910" s="2" t="s">
        <v>2123</v>
      </c>
      <c r="E910" s="2" t="s">
        <v>13</v>
      </c>
      <c r="F910" t="s">
        <v>13</v>
      </c>
      <c r="G910" t="s">
        <v>17</v>
      </c>
      <c r="H910" t="s">
        <v>24</v>
      </c>
      <c r="N910" s="2" t="s">
        <v>18</v>
      </c>
      <c r="O910" s="2" t="s">
        <v>19</v>
      </c>
      <c r="P910" s="2">
        <v>50000000</v>
      </c>
      <c r="Q910" s="2">
        <v>4.7</v>
      </c>
      <c r="R910" s="2" t="s">
        <v>2124</v>
      </c>
      <c r="S910" s="2"/>
      <c r="U910" s="2" t="s">
        <v>2125</v>
      </c>
      <c r="V910">
        <f ca="1" t="shared" si="27"/>
        <v>6.3</v>
      </c>
      <c r="AC910" s="2"/>
      <c r="AD910" t="str">
        <f>IFERROR(__xludf.DUMMYFUNCTION("""COMPUTED_VALUE"""),"The Nutty Professor ")</f>
        <v>The Nutty Professor </v>
      </c>
      <c r="AE910">
        <f t="shared" si="28"/>
        <v>128769250</v>
      </c>
    </row>
    <row r="911" customHeight="1" spans="1:31">
      <c r="A911" s="2" t="s">
        <v>1286</v>
      </c>
      <c r="B911" s="2">
        <v>113</v>
      </c>
      <c r="C911" s="2">
        <v>54997476</v>
      </c>
      <c r="D911" s="2" t="s">
        <v>814</v>
      </c>
      <c r="E911" s="2" t="s">
        <v>56</v>
      </c>
      <c r="F911" t="s">
        <v>13</v>
      </c>
      <c r="G911" t="s">
        <v>56</v>
      </c>
      <c r="H911" t="s">
        <v>29</v>
      </c>
      <c r="N911" s="2" t="s">
        <v>18</v>
      </c>
      <c r="O911" s="2" t="s">
        <v>19</v>
      </c>
      <c r="P911" s="2">
        <v>50000000</v>
      </c>
      <c r="Q911" s="2">
        <v>6.3</v>
      </c>
      <c r="R911" s="2" t="s">
        <v>2126</v>
      </c>
      <c r="S911" s="2"/>
      <c r="U911" s="2" t="s">
        <v>2127</v>
      </c>
      <c r="V911">
        <f ca="1" t="shared" si="27"/>
        <v>5.6</v>
      </c>
      <c r="AC911" s="2"/>
      <c r="AD911" t="str">
        <f>IFERROR(__xludf.DUMMYFUNCTION("""COMPUTED_VALUE"""),"Hitch ")</f>
        <v>Hitch </v>
      </c>
      <c r="AE911">
        <f t="shared" si="28"/>
        <v>177575024</v>
      </c>
    </row>
    <row r="912" customHeight="1" spans="1:31">
      <c r="A912" s="2" t="s">
        <v>1288</v>
      </c>
      <c r="B912" s="2">
        <v>98</v>
      </c>
      <c r="C912" s="2">
        <v>55682070</v>
      </c>
      <c r="D912" s="2" t="s">
        <v>1383</v>
      </c>
      <c r="E912" s="2" t="s">
        <v>12</v>
      </c>
      <c r="F912" t="s">
        <v>30</v>
      </c>
      <c r="G912" t="s">
        <v>55</v>
      </c>
      <c r="H912" t="s">
        <v>24</v>
      </c>
      <c r="N912" s="2" t="s">
        <v>18</v>
      </c>
      <c r="O912" s="2" t="s">
        <v>293</v>
      </c>
      <c r="P912" s="2">
        <v>50000000</v>
      </c>
      <c r="Q912" s="2">
        <v>6.1</v>
      </c>
      <c r="R912" s="2" t="s">
        <v>2128</v>
      </c>
      <c r="S912" s="2"/>
      <c r="U912" s="2" t="s">
        <v>2129</v>
      </c>
      <c r="V912">
        <f ca="1" t="shared" si="27"/>
        <v>7.2</v>
      </c>
      <c r="AC912" s="2"/>
      <c r="AD912" t="str">
        <f>IFERROR(__xludf.DUMMYFUNCTION("""COMPUTED_VALUE"""),"George of the Jungle ")</f>
        <v>George of the Jungle </v>
      </c>
      <c r="AE912">
        <f t="shared" si="28"/>
        <v>105263165</v>
      </c>
    </row>
    <row r="913" customHeight="1" spans="1:31">
      <c r="A913" s="2" t="s">
        <v>1291</v>
      </c>
      <c r="B913" s="2">
        <v>124</v>
      </c>
      <c r="C913" s="2">
        <v>52752475</v>
      </c>
      <c r="D913" s="2" t="s">
        <v>1655</v>
      </c>
      <c r="E913" s="2" t="s">
        <v>30</v>
      </c>
      <c r="F913" t="s">
        <v>30</v>
      </c>
      <c r="G913" t="s">
        <v>39</v>
      </c>
      <c r="H913" t="s">
        <v>39</v>
      </c>
      <c r="N913" s="2" t="s">
        <v>18</v>
      </c>
      <c r="O913" s="2" t="s">
        <v>19</v>
      </c>
      <c r="P913" s="2">
        <v>50000000</v>
      </c>
      <c r="Q913" s="2">
        <v>6.7</v>
      </c>
      <c r="R913" s="2" t="s">
        <v>2130</v>
      </c>
      <c r="S913" s="2"/>
      <c r="U913" s="2" t="s">
        <v>2131</v>
      </c>
      <c r="V913">
        <f ca="1" t="shared" si="27"/>
        <v>5.1</v>
      </c>
      <c r="AC913" s="2"/>
      <c r="AD913" t="str">
        <f>IFERROR(__xludf.DUMMYFUNCTION("""COMPUTED_VALUE"""),"American Wedding ")</f>
        <v>American Wedding </v>
      </c>
      <c r="AE913">
        <f t="shared" si="28"/>
        <v>104354131</v>
      </c>
    </row>
    <row r="914" customHeight="1" spans="1:31">
      <c r="A914" s="2" t="s">
        <v>798</v>
      </c>
      <c r="B914" s="2">
        <v>109</v>
      </c>
      <c r="C914" s="2">
        <v>55092830</v>
      </c>
      <c r="D914" s="2" t="s">
        <v>108</v>
      </c>
      <c r="E914" s="2" t="s">
        <v>12</v>
      </c>
      <c r="F914" t="s">
        <v>56</v>
      </c>
      <c r="G914" t="s">
        <v>28</v>
      </c>
      <c r="H914" t="s">
        <v>30</v>
      </c>
      <c r="N914" s="2" t="s">
        <v>18</v>
      </c>
      <c r="O914" s="2" t="s">
        <v>19</v>
      </c>
      <c r="P914" s="2">
        <v>60000000</v>
      </c>
      <c r="Q914" s="2">
        <v>6.1</v>
      </c>
      <c r="R914" s="2" t="s">
        <v>2132</v>
      </c>
      <c r="S914" s="2"/>
      <c r="U914" s="2" t="s">
        <v>2133</v>
      </c>
      <c r="V914">
        <f ca="1" t="shared" si="27"/>
        <v>6.5</v>
      </c>
      <c r="AC914" s="2"/>
      <c r="AD914" t="str">
        <f>IFERROR(__xludf.DUMMYFUNCTION("""COMPUTED_VALUE"""),"Captain Phillips ")</f>
        <v>Captain Phillips </v>
      </c>
      <c r="AE914">
        <f t="shared" si="28"/>
        <v>107100721</v>
      </c>
    </row>
    <row r="915" customHeight="1" spans="1:31">
      <c r="A915" s="2" t="s">
        <v>1293</v>
      </c>
      <c r="B915" s="2">
        <v>128</v>
      </c>
      <c r="C915" s="2">
        <v>50815288</v>
      </c>
      <c r="D915" s="2" t="s">
        <v>1655</v>
      </c>
      <c r="E915" s="2" t="s">
        <v>30</v>
      </c>
      <c r="F915" t="s">
        <v>17</v>
      </c>
      <c r="G915" t="s">
        <v>17</v>
      </c>
      <c r="H915" t="s">
        <v>17</v>
      </c>
      <c r="N915" s="2" t="s">
        <v>18</v>
      </c>
      <c r="O915" s="2" t="s">
        <v>19</v>
      </c>
      <c r="P915" s="2">
        <v>50000000</v>
      </c>
      <c r="Q915" s="2">
        <v>7</v>
      </c>
      <c r="R915" s="2" t="s">
        <v>2134</v>
      </c>
      <c r="S915" s="2"/>
      <c r="U915" s="2" t="s">
        <v>2135</v>
      </c>
      <c r="V915">
        <f ca="1" t="shared" si="27"/>
        <v>7.35</v>
      </c>
      <c r="AC915" s="2"/>
      <c r="AD915" t="str">
        <f>IFERROR(__xludf.DUMMYFUNCTION("""COMPUTED_VALUE"""),"Date Night ")</f>
        <v>Date Night </v>
      </c>
      <c r="AE915">
        <f t="shared" si="28"/>
        <v>98711303</v>
      </c>
    </row>
    <row r="916" customHeight="1" spans="1:31">
      <c r="A916" s="2" t="s">
        <v>126</v>
      </c>
      <c r="B916" s="2">
        <v>144</v>
      </c>
      <c r="C916" s="2">
        <v>52822418</v>
      </c>
      <c r="D916" s="2" t="s">
        <v>706</v>
      </c>
      <c r="E916" s="2" t="s">
        <v>12</v>
      </c>
      <c r="F916" t="s">
        <v>56</v>
      </c>
      <c r="G916" t="s">
        <v>28</v>
      </c>
      <c r="H916" t="s">
        <v>29</v>
      </c>
      <c r="N916" s="2" t="s">
        <v>18</v>
      </c>
      <c r="O916" s="2" t="s">
        <v>19</v>
      </c>
      <c r="P916" s="2">
        <v>50000000</v>
      </c>
      <c r="Q916" s="2">
        <v>7.4</v>
      </c>
      <c r="R916" s="2" t="s">
        <v>2136</v>
      </c>
      <c r="S916" s="2"/>
      <c r="U916" s="2" t="s">
        <v>2137</v>
      </c>
      <c r="V916">
        <f ca="1" t="shared" si="27"/>
        <v>6.1</v>
      </c>
      <c r="AC916" s="2"/>
      <c r="AD916" t="str">
        <f>IFERROR(__xludf.DUMMYFUNCTION("""COMPUTED_VALUE"""),"Casper ")</f>
        <v>Casper </v>
      </c>
      <c r="AE916">
        <f t="shared" si="28"/>
        <v>100328094</v>
      </c>
    </row>
    <row r="917" customHeight="1" spans="1:31">
      <c r="A917" s="2" t="s">
        <v>1296</v>
      </c>
      <c r="B917" s="2">
        <v>95</v>
      </c>
      <c r="C917" s="2">
        <v>50150619</v>
      </c>
      <c r="D917" s="2" t="s">
        <v>1307</v>
      </c>
      <c r="E917" s="2" t="s">
        <v>13</v>
      </c>
      <c r="F917" t="s">
        <v>23</v>
      </c>
      <c r="G917" t="s">
        <v>24</v>
      </c>
      <c r="H917" t="s">
        <v>24</v>
      </c>
      <c r="N917" s="2" t="s">
        <v>18</v>
      </c>
      <c r="O917" s="2" t="s">
        <v>19</v>
      </c>
      <c r="P917" s="2">
        <v>50000000</v>
      </c>
      <c r="Q917" s="2">
        <v>7.3</v>
      </c>
      <c r="R917" s="2" t="s">
        <v>2138</v>
      </c>
      <c r="S917" s="2"/>
      <c r="U917" s="2" t="s">
        <v>2139</v>
      </c>
      <c r="V917">
        <f ca="1" t="shared" si="27"/>
        <v>5.8</v>
      </c>
      <c r="AC917" s="2"/>
      <c r="AD917" t="str">
        <f>IFERROR(__xludf.DUMMYFUNCTION("""COMPUTED_VALUE"""),"The Equalizer ")</f>
        <v>The Equalizer </v>
      </c>
      <c r="AE917">
        <f t="shared" si="28"/>
        <v>101530606</v>
      </c>
    </row>
    <row r="918" customHeight="1" spans="1:31">
      <c r="A918" s="2" t="s">
        <v>1299</v>
      </c>
      <c r="B918" s="2">
        <v>105</v>
      </c>
      <c r="C918" s="2">
        <v>48745150</v>
      </c>
      <c r="D918" s="2" t="s">
        <v>557</v>
      </c>
      <c r="E918" s="2" t="s">
        <v>56</v>
      </c>
      <c r="F918" t="s">
        <v>14</v>
      </c>
      <c r="G918" t="s">
        <v>28</v>
      </c>
      <c r="H918" t="s">
        <v>83</v>
      </c>
      <c r="N918" s="2" t="s">
        <v>18</v>
      </c>
      <c r="O918" s="2" t="s">
        <v>19</v>
      </c>
      <c r="P918" s="2">
        <v>50000000</v>
      </c>
      <c r="Q918" s="2">
        <v>5.8</v>
      </c>
      <c r="R918" s="2" t="s">
        <v>2140</v>
      </c>
      <c r="S918" s="2"/>
      <c r="U918" s="2" t="s">
        <v>2141</v>
      </c>
      <c r="V918">
        <f ca="1" t="shared" si="27"/>
        <v>6.7</v>
      </c>
      <c r="AC918" s="2"/>
      <c r="AD918" t="str">
        <f>IFERROR(__xludf.DUMMYFUNCTION("""COMPUTED_VALUE"""),"Maid in Manhattan ")</f>
        <v>Maid in Manhattan </v>
      </c>
      <c r="AE918">
        <f t="shared" si="28"/>
        <v>93815012</v>
      </c>
    </row>
    <row r="919" customHeight="1" spans="1:31">
      <c r="A919" s="2" t="s">
        <v>1000</v>
      </c>
      <c r="B919" s="2">
        <v>121</v>
      </c>
      <c r="C919" s="2">
        <v>50007168</v>
      </c>
      <c r="D919" s="2" t="s">
        <v>186</v>
      </c>
      <c r="E919" s="2" t="s">
        <v>12</v>
      </c>
      <c r="F919" t="s">
        <v>28</v>
      </c>
      <c r="G919" t="s">
        <v>30</v>
      </c>
      <c r="H919" t="s">
        <v>24</v>
      </c>
      <c r="N919" s="2" t="s">
        <v>18</v>
      </c>
      <c r="O919" s="2" t="s">
        <v>19</v>
      </c>
      <c r="P919" s="2">
        <v>50000000</v>
      </c>
      <c r="Q919" s="2">
        <v>6.7</v>
      </c>
      <c r="R919" s="2" t="s">
        <v>2142</v>
      </c>
      <c r="S919" s="2"/>
      <c r="U919" s="2" t="s">
        <v>2143</v>
      </c>
      <c r="V919">
        <f ca="1" t="shared" si="27"/>
        <v>5.1</v>
      </c>
      <c r="AC919" s="2"/>
      <c r="AD919" t="str">
        <f>IFERROR(__xludf.DUMMYFUNCTION("""COMPUTED_VALUE"""),"Crimson Tide ")</f>
        <v>Crimson Tide </v>
      </c>
      <c r="AE919">
        <f t="shared" si="28"/>
        <v>91399877</v>
      </c>
    </row>
    <row r="920" customHeight="1" spans="1:31">
      <c r="A920" s="2" t="s">
        <v>94</v>
      </c>
      <c r="B920" s="2">
        <v>125</v>
      </c>
      <c r="C920" s="2">
        <v>48154732</v>
      </c>
      <c r="D920" s="2" t="s">
        <v>536</v>
      </c>
      <c r="E920" s="2" t="s">
        <v>12</v>
      </c>
      <c r="F920" t="s">
        <v>56</v>
      </c>
      <c r="G920" t="s">
        <v>23</v>
      </c>
      <c r="H920" t="s">
        <v>55</v>
      </c>
      <c r="N920" s="2" t="s">
        <v>18</v>
      </c>
      <c r="O920" s="2" t="s">
        <v>19</v>
      </c>
      <c r="P920" s="2">
        <v>50000000</v>
      </c>
      <c r="Q920" s="2">
        <v>5.8</v>
      </c>
      <c r="R920" s="2" t="s">
        <v>2144</v>
      </c>
      <c r="S920" s="2"/>
      <c r="U920" s="2" t="s">
        <v>2145</v>
      </c>
      <c r="V920">
        <f ca="1" t="shared" si="27"/>
        <v>7.2</v>
      </c>
      <c r="AC920" s="2"/>
      <c r="AD920" t="str">
        <f>IFERROR(__xludf.DUMMYFUNCTION("""COMPUTED_VALUE"""),"The Pursuit of Happyness ")</f>
        <v>The Pursuit of Happyness </v>
      </c>
      <c r="AE920">
        <f t="shared" si="28"/>
        <v>162585919</v>
      </c>
    </row>
    <row r="921" customHeight="1" spans="1:31">
      <c r="A921" s="2" t="s">
        <v>265</v>
      </c>
      <c r="B921" s="2">
        <v>129</v>
      </c>
      <c r="C921" s="2">
        <v>48265581</v>
      </c>
      <c r="D921" s="2" t="s">
        <v>712</v>
      </c>
      <c r="E921" s="2" t="s">
        <v>30</v>
      </c>
      <c r="F921" t="s">
        <v>30</v>
      </c>
      <c r="G921" t="s">
        <v>24</v>
      </c>
      <c r="H921" t="s">
        <v>17</v>
      </c>
      <c r="N921" s="2" t="s">
        <v>18</v>
      </c>
      <c r="O921" s="2" t="s">
        <v>19</v>
      </c>
      <c r="P921" s="2">
        <v>50000000</v>
      </c>
      <c r="Q921" s="2">
        <v>7.8</v>
      </c>
      <c r="R921" s="2" t="s">
        <v>2146</v>
      </c>
      <c r="S921" s="2"/>
      <c r="U921" s="2" t="s">
        <v>2147</v>
      </c>
      <c r="V921">
        <f ca="1" t="shared" si="27"/>
        <v>6.95</v>
      </c>
      <c r="AC921" s="2"/>
      <c r="AD921" t="str">
        <f>IFERROR(__xludf.DUMMYFUNCTION("""COMPUTED_VALUE"""),"Flightplan ")</f>
        <v>Flightplan </v>
      </c>
      <c r="AE921">
        <f t="shared" si="28"/>
        <v>89706890</v>
      </c>
    </row>
    <row r="922" customHeight="1" spans="1:31">
      <c r="A922" s="2" t="s">
        <v>1302</v>
      </c>
      <c r="B922" s="2">
        <v>132</v>
      </c>
      <c r="C922" s="2">
        <v>46982632</v>
      </c>
      <c r="D922" s="2" t="s">
        <v>2148</v>
      </c>
      <c r="E922" s="2" t="s">
        <v>13</v>
      </c>
      <c r="F922" t="s">
        <v>30</v>
      </c>
      <c r="G922" t="s">
        <v>55</v>
      </c>
      <c r="H922" t="s">
        <v>17</v>
      </c>
      <c r="N922" s="2" t="s">
        <v>18</v>
      </c>
      <c r="O922" s="2" t="s">
        <v>121</v>
      </c>
      <c r="P922" s="2">
        <v>50000000</v>
      </c>
      <c r="Q922" s="2">
        <v>6.6</v>
      </c>
      <c r="R922" s="2" t="s">
        <v>2149</v>
      </c>
      <c r="S922" s="2"/>
      <c r="U922" s="2" t="s">
        <v>2150</v>
      </c>
      <c r="V922">
        <f ca="1" t="shared" si="27"/>
        <v>6.8</v>
      </c>
      <c r="AC922" s="2"/>
      <c r="AD922" t="str">
        <f>IFERROR(__xludf.DUMMYFUNCTION("""COMPUTED_VALUE"""),"Disclosure ")</f>
        <v>Disclosure </v>
      </c>
      <c r="AE922">
        <f t="shared" si="28"/>
        <v>82999872</v>
      </c>
    </row>
    <row r="923" customHeight="1" spans="1:31">
      <c r="A923" s="2" t="s">
        <v>1304</v>
      </c>
      <c r="B923" s="2">
        <v>118</v>
      </c>
      <c r="C923" s="2">
        <v>44737059</v>
      </c>
      <c r="D923" s="2" t="s">
        <v>1581</v>
      </c>
      <c r="E923" s="2" t="s">
        <v>40</v>
      </c>
      <c r="F923" t="s">
        <v>13</v>
      </c>
      <c r="G923" t="s">
        <v>56</v>
      </c>
      <c r="H923" t="s">
        <v>17</v>
      </c>
      <c r="N923" s="2" t="s">
        <v>18</v>
      </c>
      <c r="O923" s="2" t="s">
        <v>19</v>
      </c>
      <c r="P923" s="2">
        <v>50000000</v>
      </c>
      <c r="Q923" s="2">
        <v>6.5</v>
      </c>
      <c r="R923" s="2" t="s">
        <v>2151</v>
      </c>
      <c r="S923" s="2"/>
      <c r="U923" s="2" t="s">
        <v>2152</v>
      </c>
      <c r="V923">
        <f ca="1" t="shared" si="27"/>
        <v>6.23333333333333</v>
      </c>
      <c r="AC923" s="2"/>
      <c r="AD923" t="str">
        <f>IFERROR(__xludf.DUMMYFUNCTION("""COMPUTED_VALUE"""),"City of Angels ")</f>
        <v>City of Angels </v>
      </c>
      <c r="AE923">
        <f t="shared" si="28"/>
        <v>78745809</v>
      </c>
    </row>
    <row r="924" customHeight="1" spans="1:31">
      <c r="A924" s="2" t="s">
        <v>1306</v>
      </c>
      <c r="B924" s="2">
        <v>113</v>
      </c>
      <c r="C924" s="2">
        <v>56724080</v>
      </c>
      <c r="D924" s="2" t="s">
        <v>40</v>
      </c>
      <c r="E924" s="2" t="s">
        <v>40</v>
      </c>
      <c r="F924" t="s">
        <v>56</v>
      </c>
      <c r="G924" t="s">
        <v>71</v>
      </c>
      <c r="H924" t="s">
        <v>28</v>
      </c>
      <c r="N924" s="2" t="s">
        <v>18</v>
      </c>
      <c r="O924" s="2" t="s">
        <v>19</v>
      </c>
      <c r="P924" s="2">
        <v>50000000</v>
      </c>
      <c r="Q924" s="2">
        <v>6.7</v>
      </c>
      <c r="R924" s="2" t="s">
        <v>2153</v>
      </c>
      <c r="S924" s="2"/>
      <c r="U924" s="2" t="s">
        <v>2154</v>
      </c>
      <c r="V924">
        <f ca="1" t="shared" si="27"/>
        <v>7</v>
      </c>
      <c r="AC924" s="2"/>
      <c r="AD924" t="str">
        <f>IFERROR(__xludf.DUMMYFUNCTION("""COMPUTED_VALUE"""),"Kill Bill: Vol. 1 ")</f>
        <v>Kill Bill: Vol. 1 </v>
      </c>
      <c r="AE924">
        <f t="shared" si="28"/>
        <v>70098027</v>
      </c>
    </row>
    <row r="925" customHeight="1" spans="1:31">
      <c r="A925" s="2" t="s">
        <v>878</v>
      </c>
      <c r="B925" s="2">
        <v>140</v>
      </c>
      <c r="C925" s="2">
        <v>44484065</v>
      </c>
      <c r="D925" s="2" t="s">
        <v>915</v>
      </c>
      <c r="E925" s="2" t="s">
        <v>12</v>
      </c>
      <c r="F925" t="s">
        <v>56</v>
      </c>
      <c r="G925" t="s">
        <v>56</v>
      </c>
      <c r="H925" t="s">
        <v>24</v>
      </c>
      <c r="N925" s="2" t="s">
        <v>18</v>
      </c>
      <c r="O925" s="2" t="s">
        <v>293</v>
      </c>
      <c r="P925" s="2">
        <v>50000000</v>
      </c>
      <c r="Q925" s="2">
        <v>7.3</v>
      </c>
      <c r="R925" s="2" t="s">
        <v>2155</v>
      </c>
      <c r="S925" s="2"/>
      <c r="U925" s="2" t="s">
        <v>2156</v>
      </c>
      <c r="V925">
        <f ca="1" t="shared" si="27"/>
        <v>5.4</v>
      </c>
      <c r="AC925" s="2"/>
      <c r="AD925" t="str">
        <f>IFERROR(__xludf.DUMMYFUNCTION("""COMPUTED_VALUE"""),"Bowfinger ")</f>
        <v>Bowfinger </v>
      </c>
      <c r="AE925">
        <f t="shared" si="28"/>
        <v>66365205</v>
      </c>
    </row>
    <row r="926" customHeight="1" spans="1:31">
      <c r="A926" s="2" t="s">
        <v>1309</v>
      </c>
      <c r="B926" s="2">
        <v>89</v>
      </c>
      <c r="C926" s="2">
        <v>47553512</v>
      </c>
      <c r="D926" s="2" t="s">
        <v>34</v>
      </c>
      <c r="E926" s="2" t="s">
        <v>12</v>
      </c>
      <c r="F926" t="s">
        <v>56</v>
      </c>
      <c r="G926" t="s">
        <v>17</v>
      </c>
      <c r="H926" t="s">
        <v>14</v>
      </c>
      <c r="N926" s="2" t="s">
        <v>18</v>
      </c>
      <c r="O926" s="2" t="s">
        <v>19</v>
      </c>
      <c r="P926" s="2">
        <v>50000000</v>
      </c>
      <c r="Q926" s="2">
        <v>5.8</v>
      </c>
      <c r="R926" s="2" t="s">
        <v>2157</v>
      </c>
      <c r="S926" s="2"/>
      <c r="U926" s="2" t="s">
        <v>2158</v>
      </c>
      <c r="V926">
        <f ca="1" t="shared" si="27"/>
        <v>7</v>
      </c>
      <c r="AC926" s="2"/>
      <c r="AD926" t="str">
        <f>IFERROR(__xludf.DUMMYFUNCTION("""COMPUTED_VALUE"""),"Kill Bill: Vol. 2 ")</f>
        <v>Kill Bill: Vol. 2 </v>
      </c>
      <c r="AE926">
        <f t="shared" si="28"/>
        <v>66207783</v>
      </c>
    </row>
    <row r="927" customHeight="1" spans="1:31">
      <c r="A927" s="2" t="s">
        <v>1311</v>
      </c>
      <c r="B927" s="2">
        <v>104</v>
      </c>
      <c r="C927" s="2">
        <v>42610000</v>
      </c>
      <c r="D927" s="2" t="s">
        <v>174</v>
      </c>
      <c r="E927" s="2" t="s">
        <v>12</v>
      </c>
      <c r="F927" t="s">
        <v>13</v>
      </c>
      <c r="G927" t="s">
        <v>14</v>
      </c>
      <c r="H927" t="s">
        <v>17</v>
      </c>
      <c r="N927" s="2" t="s">
        <v>18</v>
      </c>
      <c r="O927" s="2" t="s">
        <v>19</v>
      </c>
      <c r="P927" s="2">
        <v>55000000</v>
      </c>
      <c r="Q927" s="2">
        <v>5.5</v>
      </c>
      <c r="R927" s="2" t="s">
        <v>2159</v>
      </c>
      <c r="S927" s="2"/>
      <c r="U927" s="2" t="s">
        <v>2160</v>
      </c>
      <c r="V927">
        <f ca="1" t="shared" si="27"/>
        <v>6.4</v>
      </c>
      <c r="AC927" s="2"/>
      <c r="AD927" t="str">
        <f>IFERROR(__xludf.DUMMYFUNCTION("""COMPUTED_VALUE"""),"Tango &amp; Cash ")</f>
        <v>Tango &amp; Cash </v>
      </c>
      <c r="AE927">
        <f t="shared" si="28"/>
        <v>63408517</v>
      </c>
    </row>
    <row r="928" customHeight="1" spans="1:31">
      <c r="A928" s="2" t="s">
        <v>845</v>
      </c>
      <c r="B928" s="2">
        <v>106</v>
      </c>
      <c r="C928" s="2">
        <v>41482207</v>
      </c>
      <c r="D928" s="2" t="s">
        <v>340</v>
      </c>
      <c r="E928" s="2" t="s">
        <v>40</v>
      </c>
      <c r="F928" t="s">
        <v>13</v>
      </c>
      <c r="G928" t="s">
        <v>24</v>
      </c>
      <c r="H928" t="s">
        <v>17</v>
      </c>
      <c r="N928" s="2" t="s">
        <v>18</v>
      </c>
      <c r="O928" s="2" t="s">
        <v>19</v>
      </c>
      <c r="P928" s="2">
        <v>50000000</v>
      </c>
      <c r="Q928" s="2">
        <v>6.3</v>
      </c>
      <c r="R928" s="2" t="s">
        <v>2161</v>
      </c>
      <c r="S928" s="2"/>
      <c r="U928" s="2" t="s">
        <v>2162</v>
      </c>
      <c r="V928">
        <f ca="1" t="shared" si="27"/>
        <v>6.4</v>
      </c>
      <c r="AC928" s="2"/>
      <c r="AD928" t="str">
        <f>IFERROR(__xludf.DUMMYFUNCTION("""COMPUTED_VALUE"""),"Death Becomes Her ")</f>
        <v>Death Becomes Her </v>
      </c>
      <c r="AE928">
        <f t="shared" si="28"/>
        <v>58422546</v>
      </c>
    </row>
    <row r="929" customHeight="1" spans="1:31">
      <c r="A929" s="2" t="s">
        <v>1239</v>
      </c>
      <c r="B929" s="2">
        <v>141</v>
      </c>
      <c r="C929" s="2">
        <v>47105085</v>
      </c>
      <c r="D929" s="2" t="s">
        <v>718</v>
      </c>
      <c r="E929" s="2" t="s">
        <v>56</v>
      </c>
      <c r="F929" t="s">
        <v>40</v>
      </c>
      <c r="G929" t="s">
        <v>24</v>
      </c>
      <c r="H929" t="s">
        <v>24</v>
      </c>
      <c r="N929" s="2" t="s">
        <v>18</v>
      </c>
      <c r="O929" s="2" t="s">
        <v>19</v>
      </c>
      <c r="P929" s="2">
        <v>50000000</v>
      </c>
      <c r="Q929" s="2">
        <v>7.4</v>
      </c>
      <c r="R929" s="2" t="s">
        <v>2163</v>
      </c>
      <c r="S929" s="2"/>
      <c r="U929" s="2" t="s">
        <v>2164</v>
      </c>
      <c r="V929">
        <f ca="1" t="shared" si="27"/>
        <v>6.85</v>
      </c>
      <c r="AC929" s="2"/>
      <c r="AD929" t="str">
        <f>IFERROR(__xludf.DUMMYFUNCTION("""COMPUTED_VALUE"""),"Shanghai Noon ")</f>
        <v>Shanghai Noon </v>
      </c>
      <c r="AE929">
        <f t="shared" si="28"/>
        <v>56932195</v>
      </c>
    </row>
    <row r="930" customHeight="1" spans="1:31">
      <c r="A930" s="2" t="s">
        <v>790</v>
      </c>
      <c r="B930" s="2">
        <v>124</v>
      </c>
      <c r="C930" s="2">
        <v>41256277</v>
      </c>
      <c r="D930" s="2" t="s">
        <v>34</v>
      </c>
      <c r="E930" s="2" t="s">
        <v>12</v>
      </c>
      <c r="F930" t="s">
        <v>59</v>
      </c>
      <c r="G930" t="s">
        <v>23</v>
      </c>
      <c r="H930" t="s">
        <v>29</v>
      </c>
      <c r="N930" s="2" t="s">
        <v>18</v>
      </c>
      <c r="O930" s="2" t="s">
        <v>19</v>
      </c>
      <c r="P930" s="2">
        <v>50000000</v>
      </c>
      <c r="Q930" s="2">
        <v>5.9</v>
      </c>
      <c r="R930" s="2" t="s">
        <v>2165</v>
      </c>
      <c r="S930" s="2"/>
      <c r="U930" s="2" t="s">
        <v>2166</v>
      </c>
      <c r="V930">
        <f ca="1" t="shared" si="27"/>
        <v>7.35</v>
      </c>
      <c r="AC930" s="2"/>
      <c r="AD930" t="str">
        <f>IFERROR(__xludf.DUMMYFUNCTION("""COMPUTED_VALUE"""),"Executive Decision ")</f>
        <v>Executive Decision </v>
      </c>
      <c r="AE930">
        <f t="shared" si="28"/>
        <v>68749867</v>
      </c>
    </row>
    <row r="931" customHeight="1" spans="1:31">
      <c r="A931" s="2" t="s">
        <v>1313</v>
      </c>
      <c r="B931" s="2">
        <v>98</v>
      </c>
      <c r="C931" s="2">
        <v>50740078</v>
      </c>
      <c r="D931" s="2" t="s">
        <v>843</v>
      </c>
      <c r="E931" s="2" t="s">
        <v>12</v>
      </c>
      <c r="F931" t="s">
        <v>30</v>
      </c>
      <c r="G931" t="s">
        <v>17</v>
      </c>
      <c r="H931" t="s">
        <v>24</v>
      </c>
      <c r="N931" s="2" t="s">
        <v>18</v>
      </c>
      <c r="O931" s="2" t="s">
        <v>293</v>
      </c>
      <c r="P931" s="2">
        <v>45000000</v>
      </c>
      <c r="Q931" s="2">
        <v>6.2</v>
      </c>
      <c r="R931" s="2" t="s">
        <v>2167</v>
      </c>
      <c r="S931" s="2"/>
      <c r="U931" s="2" t="s">
        <v>2168</v>
      </c>
      <c r="V931">
        <f ca="1" t="shared" si="27"/>
        <v>4.1</v>
      </c>
      <c r="AC931" s="2"/>
      <c r="AD931" t="str">
        <f>IFERROR(__xludf.DUMMYFUNCTION("""COMPUTED_VALUE"""),"Mr. Popper's Penguins ")</f>
        <v>Mr. Popper's Penguins </v>
      </c>
      <c r="AE931">
        <f t="shared" si="28"/>
        <v>68217947</v>
      </c>
    </row>
    <row r="932" customHeight="1" spans="1:31">
      <c r="A932" s="2" t="s">
        <v>1315</v>
      </c>
      <c r="B932" s="2">
        <v>108</v>
      </c>
      <c r="C932" s="2">
        <v>40203020</v>
      </c>
      <c r="D932" s="2" t="s">
        <v>521</v>
      </c>
      <c r="E932" s="2" t="s">
        <v>40</v>
      </c>
      <c r="F932" t="s">
        <v>40</v>
      </c>
      <c r="G932" t="s">
        <v>24</v>
      </c>
      <c r="H932" t="s">
        <v>23</v>
      </c>
      <c r="N932" s="2" t="s">
        <v>18</v>
      </c>
      <c r="O932" s="2" t="s">
        <v>31</v>
      </c>
      <c r="P932" s="2">
        <v>40000000</v>
      </c>
      <c r="Q932" s="2">
        <v>5.9</v>
      </c>
      <c r="R932" s="2" t="s">
        <v>2169</v>
      </c>
      <c r="S932" s="2"/>
      <c r="U932" s="2" t="s">
        <v>2170</v>
      </c>
      <c r="V932">
        <f ca="1" t="shared" si="27"/>
        <v>5.8</v>
      </c>
      <c r="AC932" s="2"/>
      <c r="AD932" t="str">
        <f>IFERROR(__xludf.DUMMYFUNCTION("""COMPUTED_VALUE"""),"The Forbidden Kingdom ")</f>
        <v>The Forbidden Kingdom </v>
      </c>
      <c r="AE932">
        <f t="shared" si="28"/>
        <v>25040189</v>
      </c>
    </row>
    <row r="933" customHeight="1" spans="1:31">
      <c r="A933" s="2" t="s">
        <v>1317</v>
      </c>
      <c r="B933" s="2">
        <v>114</v>
      </c>
      <c r="C933" s="2">
        <v>40905277</v>
      </c>
      <c r="D933" s="2" t="s">
        <v>2171</v>
      </c>
      <c r="E933" s="2" t="s">
        <v>56</v>
      </c>
      <c r="F933" t="s">
        <v>56</v>
      </c>
      <c r="G933" t="s">
        <v>15</v>
      </c>
      <c r="H933" t="s">
        <v>15</v>
      </c>
      <c r="N933" s="2" t="s">
        <v>18</v>
      </c>
      <c r="O933" s="2" t="s">
        <v>19</v>
      </c>
      <c r="P933" s="2">
        <v>50000000</v>
      </c>
      <c r="Q933" s="2">
        <v>6.5</v>
      </c>
      <c r="R933" s="2" t="s">
        <v>2172</v>
      </c>
      <c r="S933" s="2"/>
      <c r="U933" s="2" t="s">
        <v>2173</v>
      </c>
      <c r="V933">
        <f ca="1" t="shared" si="27"/>
        <v>3.8</v>
      </c>
      <c r="AC933" s="2"/>
      <c r="AD933" t="str">
        <f>IFERROR(__xludf.DUMMYFUNCTION("""COMPUTED_VALUE"""),"Free Birds ")</f>
        <v>Free Birds </v>
      </c>
      <c r="AE933">
        <f t="shared" si="28"/>
        <v>55747633</v>
      </c>
    </row>
    <row r="934" customHeight="1" spans="1:31">
      <c r="A934" s="2" t="s">
        <v>1319</v>
      </c>
      <c r="B934" s="2">
        <v>101</v>
      </c>
      <c r="C934" s="2">
        <v>38590500</v>
      </c>
      <c r="D934" s="2" t="s">
        <v>27</v>
      </c>
      <c r="E934" s="2" t="s">
        <v>12</v>
      </c>
      <c r="F934" t="s">
        <v>28</v>
      </c>
      <c r="G934" t="s">
        <v>24</v>
      </c>
      <c r="H934" t="s">
        <v>17</v>
      </c>
      <c r="N934" s="2" t="s">
        <v>18</v>
      </c>
      <c r="O934" s="2" t="s">
        <v>19</v>
      </c>
      <c r="P934" s="2">
        <v>50000000</v>
      </c>
      <c r="Q934" s="2">
        <v>4.4</v>
      </c>
      <c r="R934" s="2" t="s">
        <v>2174</v>
      </c>
      <c r="S934" s="2"/>
      <c r="U934" s="2" t="s">
        <v>2175</v>
      </c>
      <c r="V934">
        <f ca="1" t="shared" si="27"/>
        <v>6.1</v>
      </c>
      <c r="AC934" s="2"/>
      <c r="AD934" t="str">
        <f>IFERROR(__xludf.DUMMYFUNCTION("""COMPUTED_VALUE"""),"Alien 3 ")</f>
        <v>Alien 3 </v>
      </c>
      <c r="AE934">
        <f t="shared" si="28"/>
        <v>55473455</v>
      </c>
    </row>
    <row r="935" customHeight="1" spans="1:31">
      <c r="A935" s="2" t="s">
        <v>1225</v>
      </c>
      <c r="B935" s="2">
        <v>93</v>
      </c>
      <c r="C935" s="2">
        <v>39177541</v>
      </c>
      <c r="D935" s="2" t="s">
        <v>79</v>
      </c>
      <c r="E935" s="2" t="s">
        <v>12</v>
      </c>
      <c r="F935" t="s">
        <v>13</v>
      </c>
      <c r="G935" t="s">
        <v>40</v>
      </c>
      <c r="H935" t="s">
        <v>16</v>
      </c>
      <c r="N935" s="2" t="s">
        <v>18</v>
      </c>
      <c r="O935" s="2" t="s">
        <v>19</v>
      </c>
      <c r="P935" s="2">
        <v>50000000</v>
      </c>
      <c r="Q935" s="2">
        <v>3.5</v>
      </c>
      <c r="R935" s="2" t="s">
        <v>2176</v>
      </c>
      <c r="S935" s="2"/>
      <c r="U935" s="2" t="s">
        <v>2177</v>
      </c>
      <c r="V935">
        <f ca="1" t="shared" si="27"/>
        <v>5.8</v>
      </c>
      <c r="AC935" s="2"/>
      <c r="AD935" t="str">
        <f>IFERROR(__xludf.DUMMYFUNCTION("""COMPUTED_VALUE"""),"Evita ")</f>
        <v>Evita </v>
      </c>
      <c r="AE935">
        <f t="shared" si="28"/>
        <v>49994669</v>
      </c>
    </row>
    <row r="936" customHeight="1" spans="1:31">
      <c r="A936" s="2" t="s">
        <v>1322</v>
      </c>
      <c r="B936" s="2">
        <v>119</v>
      </c>
      <c r="C936" s="2">
        <v>39778599</v>
      </c>
      <c r="D936" s="2" t="s">
        <v>666</v>
      </c>
      <c r="E936" s="2" t="s">
        <v>13</v>
      </c>
      <c r="F936" t="s">
        <v>59</v>
      </c>
      <c r="G936" t="s">
        <v>24</v>
      </c>
      <c r="H936" t="s">
        <v>24</v>
      </c>
      <c r="N936" s="2" t="s">
        <v>18</v>
      </c>
      <c r="O936" s="2" t="s">
        <v>19</v>
      </c>
      <c r="P936" s="2">
        <v>50000000</v>
      </c>
      <c r="Q936" s="2">
        <v>6.6</v>
      </c>
      <c r="R936" s="2" t="s">
        <v>2178</v>
      </c>
      <c r="S936" s="2"/>
      <c r="U936" s="2" t="s">
        <v>2179</v>
      </c>
      <c r="V936">
        <f ca="1" t="shared" si="27"/>
        <v>5.4</v>
      </c>
      <c r="AC936" s="2"/>
      <c r="AD936" t="str">
        <f>IFERROR(__xludf.DUMMYFUNCTION("""COMPUTED_VALUE"""),"Ronin ")</f>
        <v>Ronin </v>
      </c>
      <c r="AE936">
        <f t="shared" si="28"/>
        <v>41609471</v>
      </c>
    </row>
    <row r="937" customHeight="1" spans="1:31">
      <c r="A937" s="2" t="s">
        <v>923</v>
      </c>
      <c r="B937" s="2">
        <v>119</v>
      </c>
      <c r="C937" s="2">
        <v>37486138</v>
      </c>
      <c r="D937" s="2" t="s">
        <v>521</v>
      </c>
      <c r="E937" s="2" t="s">
        <v>40</v>
      </c>
      <c r="F937" t="s">
        <v>40</v>
      </c>
      <c r="G937" t="s">
        <v>30</v>
      </c>
      <c r="H937" t="s">
        <v>24</v>
      </c>
      <c r="N937" s="2" t="s">
        <v>18</v>
      </c>
      <c r="O937" s="2" t="s">
        <v>19</v>
      </c>
      <c r="P937" s="2">
        <v>50000000</v>
      </c>
      <c r="Q937" s="2">
        <v>6</v>
      </c>
      <c r="R937" s="2" t="s">
        <v>2180</v>
      </c>
      <c r="S937" s="2"/>
      <c r="U937" s="2" t="s">
        <v>2181</v>
      </c>
      <c r="V937">
        <f ca="1" t="shared" si="27"/>
        <v>7.35</v>
      </c>
      <c r="AC937" s="2"/>
      <c r="AD937" t="str">
        <f>IFERROR(__xludf.DUMMYFUNCTION("""COMPUTED_VALUE"""),"The Ghost and the Darkness ")</f>
        <v>The Ghost and the Darkness </v>
      </c>
      <c r="AE937">
        <f t="shared" si="28"/>
        <v>38553723</v>
      </c>
    </row>
    <row r="938" customHeight="1" spans="1:31">
      <c r="A938" s="2" t="s">
        <v>1278</v>
      </c>
      <c r="B938" s="2">
        <v>99</v>
      </c>
      <c r="C938" s="2">
        <v>38105077</v>
      </c>
      <c r="D938" s="2" t="s">
        <v>150</v>
      </c>
      <c r="E938" s="2" t="s">
        <v>12</v>
      </c>
      <c r="F938" t="s">
        <v>28</v>
      </c>
      <c r="G938" t="s">
        <v>39</v>
      </c>
      <c r="H938" t="s">
        <v>28</v>
      </c>
      <c r="N938" s="2" t="s">
        <v>18</v>
      </c>
      <c r="O938" s="2" t="s">
        <v>19</v>
      </c>
      <c r="P938" s="2">
        <v>40000000</v>
      </c>
      <c r="Q938" s="2">
        <v>6.4</v>
      </c>
      <c r="R938" s="2" t="s">
        <v>2182</v>
      </c>
      <c r="S938" s="2"/>
      <c r="U938" s="2" t="s">
        <v>2183</v>
      </c>
      <c r="V938">
        <f ca="1" t="shared" si="27"/>
        <v>6.8</v>
      </c>
      <c r="AC938" s="2"/>
      <c r="AD938" t="str">
        <f>IFERROR(__xludf.DUMMYFUNCTION("""COMPUTED_VALUE"""),"Paddington ")</f>
        <v>Paddington </v>
      </c>
      <c r="AE938">
        <f t="shared" si="28"/>
        <v>76137410</v>
      </c>
    </row>
    <row r="939" customHeight="1" spans="1:31">
      <c r="A939" s="2" t="s">
        <v>50</v>
      </c>
      <c r="B939" s="2">
        <v>137</v>
      </c>
      <c r="C939" s="2">
        <v>35168395</v>
      </c>
      <c r="D939" s="2" t="s">
        <v>2015</v>
      </c>
      <c r="E939" s="2" t="s">
        <v>30</v>
      </c>
      <c r="F939" t="s">
        <v>30</v>
      </c>
      <c r="G939" t="s">
        <v>24</v>
      </c>
      <c r="H939" t="s">
        <v>24</v>
      </c>
      <c r="N939" s="2" t="s">
        <v>18</v>
      </c>
      <c r="O939" s="2" t="s">
        <v>19</v>
      </c>
      <c r="P939" s="2">
        <v>50000000</v>
      </c>
      <c r="Q939" s="2">
        <v>6.5</v>
      </c>
      <c r="R939" s="2" t="s">
        <v>2184</v>
      </c>
      <c r="S939" s="2"/>
      <c r="U939" s="2" t="s">
        <v>2185</v>
      </c>
      <c r="V939">
        <f ca="1" t="shared" si="27"/>
        <v>6.36666666666667</v>
      </c>
      <c r="AC939" s="2"/>
      <c r="AD939" t="str">
        <f>IFERROR(__xludf.DUMMYFUNCTION("""COMPUTED_VALUE"""),"The Watch ")</f>
        <v>The Watch </v>
      </c>
      <c r="AE939">
        <f t="shared" si="28"/>
        <v>34350451</v>
      </c>
    </row>
    <row r="940" customHeight="1" spans="1:31">
      <c r="A940" s="2" t="s">
        <v>1324</v>
      </c>
      <c r="B940" s="2">
        <v>117</v>
      </c>
      <c r="C940" s="2">
        <v>32800000</v>
      </c>
      <c r="D940" s="2" t="s">
        <v>2186</v>
      </c>
      <c r="E940" s="2" t="s">
        <v>40</v>
      </c>
      <c r="F940" t="s">
        <v>40</v>
      </c>
      <c r="G940" t="s">
        <v>17</v>
      </c>
      <c r="H940" t="s">
        <v>24</v>
      </c>
      <c r="N940" s="2" t="s">
        <v>18</v>
      </c>
      <c r="O940" s="2" t="s">
        <v>19</v>
      </c>
      <c r="P940" s="2">
        <v>40000000</v>
      </c>
      <c r="Q940" s="2">
        <v>4.3</v>
      </c>
      <c r="R940" s="2" t="s">
        <v>2187</v>
      </c>
      <c r="S940" s="2"/>
      <c r="U940" s="2" t="s">
        <v>2188</v>
      </c>
      <c r="V940">
        <f ca="1" t="shared" si="27"/>
        <v>6.3</v>
      </c>
      <c r="AC940" s="2"/>
      <c r="AD940" t="str">
        <f>IFERROR(__xludf.DUMMYFUNCTION("""COMPUTED_VALUE"""),"The Hunted ")</f>
        <v>The Hunted </v>
      </c>
      <c r="AE940">
        <f t="shared" si="28"/>
        <v>34238517</v>
      </c>
    </row>
    <row r="941" customHeight="1" spans="1:31">
      <c r="A941" s="2" t="s">
        <v>1181</v>
      </c>
      <c r="B941" s="2">
        <v>87</v>
      </c>
      <c r="C941" s="2">
        <v>33643461</v>
      </c>
      <c r="D941" s="2" t="s">
        <v>1201</v>
      </c>
      <c r="E941" s="2" t="s">
        <v>40</v>
      </c>
      <c r="F941" t="s">
        <v>17</v>
      </c>
      <c r="G941" t="s">
        <v>15</v>
      </c>
      <c r="H941" t="s">
        <v>24</v>
      </c>
      <c r="N941" s="2" t="s">
        <v>18</v>
      </c>
      <c r="O941" s="2" t="s">
        <v>19</v>
      </c>
      <c r="P941" s="2">
        <v>50000000</v>
      </c>
      <c r="Q941" s="2">
        <v>4.2</v>
      </c>
      <c r="R941" s="2" t="s">
        <v>2189</v>
      </c>
      <c r="S941" s="2"/>
      <c r="U941" s="2" t="s">
        <v>2190</v>
      </c>
      <c r="V941">
        <f ca="1" t="shared" si="27"/>
        <v>7.1</v>
      </c>
      <c r="AC941" s="2"/>
      <c r="AD941" t="str">
        <f>IFERROR(__xludf.DUMMYFUNCTION("""COMPUTED_VALUE"""),"Instinct ")</f>
        <v>Instinct </v>
      </c>
      <c r="AE941">
        <f t="shared" si="28"/>
        <v>34098437</v>
      </c>
    </row>
    <row r="942" customHeight="1" spans="1:31">
      <c r="A942" s="2" t="s">
        <v>1000</v>
      </c>
      <c r="B942" s="2">
        <v>129</v>
      </c>
      <c r="C942" s="2">
        <v>32741596</v>
      </c>
      <c r="D942" s="2" t="s">
        <v>2191</v>
      </c>
      <c r="E942" s="2" t="s">
        <v>30</v>
      </c>
      <c r="F942" t="s">
        <v>30</v>
      </c>
      <c r="G942" t="s">
        <v>17</v>
      </c>
      <c r="H942" t="s">
        <v>24</v>
      </c>
      <c r="N942" s="2" t="s">
        <v>18</v>
      </c>
      <c r="O942" s="2" t="s">
        <v>19</v>
      </c>
      <c r="P942" s="2">
        <v>50000000</v>
      </c>
      <c r="Q942" s="2">
        <v>6.5</v>
      </c>
      <c r="R942" s="2" t="s">
        <v>2192</v>
      </c>
      <c r="S942" s="2"/>
      <c r="U942" s="2" t="s">
        <v>2193</v>
      </c>
      <c r="V942">
        <f ca="1" t="shared" si="27"/>
        <v>6.7</v>
      </c>
      <c r="AC942" s="2"/>
      <c r="AD942" t="str">
        <f>IFERROR(__xludf.DUMMYFUNCTION("""COMPUTED_VALUE"""),"Stuck on You ")</f>
        <v>Stuck on You </v>
      </c>
      <c r="AE942">
        <f t="shared" si="28"/>
        <v>33828200</v>
      </c>
    </row>
    <row r="943" customHeight="1" spans="1:31">
      <c r="A943" s="2" t="s">
        <v>1326</v>
      </c>
      <c r="B943" s="2">
        <v>115</v>
      </c>
      <c r="C943" s="2">
        <v>31874869</v>
      </c>
      <c r="D943" s="2" t="s">
        <v>846</v>
      </c>
      <c r="E943" s="2" t="s">
        <v>56</v>
      </c>
      <c r="F943" t="s">
        <v>59</v>
      </c>
      <c r="G943" t="s">
        <v>17</v>
      </c>
      <c r="H943" t="s">
        <v>29</v>
      </c>
      <c r="N943" s="2" t="s">
        <v>18</v>
      </c>
      <c r="O943" s="2" t="s">
        <v>19</v>
      </c>
      <c r="P943" s="2">
        <v>50000000</v>
      </c>
      <c r="Q943" s="2">
        <v>6.1</v>
      </c>
      <c r="R943" s="2" t="s">
        <v>2194</v>
      </c>
      <c r="S943" s="2"/>
      <c r="U943" s="2" t="s">
        <v>2195</v>
      </c>
      <c r="V943">
        <f ca="1" t="shared" si="27"/>
        <v>5.8</v>
      </c>
      <c r="AC943" s="2"/>
      <c r="AD943" t="str">
        <f>IFERROR(__xludf.DUMMYFUNCTION("""COMPUTED_VALUE"""),"Semi-Pro ")</f>
        <v>Semi-Pro </v>
      </c>
      <c r="AE943">
        <f t="shared" si="28"/>
        <v>33472751</v>
      </c>
    </row>
    <row r="944" customHeight="1" spans="1:31">
      <c r="A944" s="2" t="s">
        <v>399</v>
      </c>
      <c r="B944" s="2">
        <v>132</v>
      </c>
      <c r="C944" s="2">
        <v>30306268</v>
      </c>
      <c r="D944" s="2" t="s">
        <v>150</v>
      </c>
      <c r="E944" s="2" t="s">
        <v>12</v>
      </c>
      <c r="F944" t="s">
        <v>30</v>
      </c>
      <c r="G944" t="s">
        <v>39</v>
      </c>
      <c r="H944" t="s">
        <v>83</v>
      </c>
      <c r="N944" s="2" t="s">
        <v>18</v>
      </c>
      <c r="O944" s="2" t="s">
        <v>707</v>
      </c>
      <c r="P944" s="2">
        <v>50000000</v>
      </c>
      <c r="Q944" s="2">
        <v>6.3</v>
      </c>
      <c r="R944" s="2" t="s">
        <v>2196</v>
      </c>
      <c r="S944" s="2"/>
      <c r="U944" s="2" t="s">
        <v>2197</v>
      </c>
      <c r="V944">
        <f ca="1" t="shared" si="27"/>
        <v>6.7</v>
      </c>
      <c r="AC944" s="2"/>
      <c r="AD944" t="str">
        <f>IFERROR(__xludf.DUMMYFUNCTION("""COMPUTED_VALUE"""),"The Pirates! Band of Misfits ")</f>
        <v>The Pirates! Band of Misfits </v>
      </c>
      <c r="AE944">
        <f t="shared" si="28"/>
        <v>31051038</v>
      </c>
    </row>
    <row r="945" customHeight="1" spans="1:31">
      <c r="A945" s="2" t="s">
        <v>1329</v>
      </c>
      <c r="B945" s="2">
        <v>131</v>
      </c>
      <c r="C945" s="2">
        <v>27667947</v>
      </c>
      <c r="D945" s="2" t="s">
        <v>805</v>
      </c>
      <c r="E945" s="2" t="s">
        <v>56</v>
      </c>
      <c r="F945" t="s">
        <v>15</v>
      </c>
      <c r="G945" t="s">
        <v>24</v>
      </c>
      <c r="H945" t="s">
        <v>39</v>
      </c>
      <c r="N945" s="2" t="s">
        <v>18</v>
      </c>
      <c r="O945" s="2" t="s">
        <v>31</v>
      </c>
      <c r="P945" s="2">
        <v>50000000</v>
      </c>
      <c r="Q945" s="2">
        <v>6.2</v>
      </c>
      <c r="R945" s="2" t="s">
        <v>2198</v>
      </c>
      <c r="S945" s="2"/>
      <c r="U945" s="2" t="s">
        <v>2199</v>
      </c>
      <c r="V945">
        <f ca="1" t="shared" si="27"/>
        <v>6.8</v>
      </c>
      <c r="AC945" s="2"/>
      <c r="AD945" t="str">
        <f>IFERROR(__xludf.DUMMYFUNCTION("""COMPUTED_VALUE"""),"Changeling ")</f>
        <v>Changeling </v>
      </c>
      <c r="AE945">
        <f t="shared" si="28"/>
        <v>35707186</v>
      </c>
    </row>
    <row r="946" customHeight="1" spans="1:31">
      <c r="A946" s="2" t="s">
        <v>1030</v>
      </c>
      <c r="B946" s="2">
        <v>95</v>
      </c>
      <c r="C946" s="2">
        <v>27067160</v>
      </c>
      <c r="D946" s="2" t="s">
        <v>521</v>
      </c>
      <c r="E946" s="2" t="s">
        <v>40</v>
      </c>
      <c r="F946" t="s">
        <v>14</v>
      </c>
      <c r="G946" t="s">
        <v>23</v>
      </c>
      <c r="H946" t="s">
        <v>24</v>
      </c>
      <c r="N946" s="2" t="s">
        <v>18</v>
      </c>
      <c r="O946" s="2" t="s">
        <v>19</v>
      </c>
      <c r="P946" s="2">
        <v>50000000</v>
      </c>
      <c r="Q946" s="2">
        <v>5.9</v>
      </c>
      <c r="R946" s="2" t="s">
        <v>2200</v>
      </c>
      <c r="S946" s="2"/>
      <c r="U946" s="2" t="s">
        <v>2201</v>
      </c>
      <c r="V946">
        <f ca="1" t="shared" si="27"/>
        <v>6.4</v>
      </c>
      <c r="AC946" s="2"/>
      <c r="AD946" t="str">
        <f>IFERROR(__xludf.DUMMYFUNCTION("""COMPUTED_VALUE"""),"Chain Reaction ")</f>
        <v>Chain Reaction </v>
      </c>
      <c r="AE946">
        <f t="shared" si="28"/>
        <v>20550605</v>
      </c>
    </row>
    <row r="947" customHeight="1" spans="1:31">
      <c r="A947" s="2" t="s">
        <v>1332</v>
      </c>
      <c r="B947" s="2">
        <v>125</v>
      </c>
      <c r="C947" s="2">
        <v>26616999</v>
      </c>
      <c r="D947" s="2" t="s">
        <v>604</v>
      </c>
      <c r="E947" s="2" t="s">
        <v>12</v>
      </c>
      <c r="F947" t="s">
        <v>56</v>
      </c>
      <c r="G947" t="s">
        <v>30</v>
      </c>
      <c r="H947" t="s">
        <v>30</v>
      </c>
      <c r="N947" s="2" t="s">
        <v>18</v>
      </c>
      <c r="O947" s="2" t="s">
        <v>19</v>
      </c>
      <c r="P947" s="2">
        <v>40000000</v>
      </c>
      <c r="Q947" s="2">
        <v>5.9</v>
      </c>
      <c r="R947" s="2" t="s">
        <v>2202</v>
      </c>
      <c r="S947" s="2"/>
      <c r="U947" s="2" t="s">
        <v>2203</v>
      </c>
      <c r="V947">
        <f ca="1" t="shared" si="27"/>
        <v>7.1</v>
      </c>
      <c r="AC947" s="2"/>
      <c r="AD947" t="str">
        <f>IFERROR(__xludf.DUMMYFUNCTION("""COMPUTED_VALUE"""),"The Fan ")</f>
        <v>The Fan </v>
      </c>
      <c r="AE947">
        <f t="shared" si="28"/>
        <v>18573675</v>
      </c>
    </row>
    <row r="948" customHeight="1" spans="1:31">
      <c r="A948" s="2" t="s">
        <v>485</v>
      </c>
      <c r="B948" s="2">
        <v>98</v>
      </c>
      <c r="C948" s="2">
        <v>26536120</v>
      </c>
      <c r="D948" s="2" t="s">
        <v>915</v>
      </c>
      <c r="E948" s="2" t="s">
        <v>12</v>
      </c>
      <c r="F948" t="s">
        <v>56</v>
      </c>
      <c r="G948" t="s">
        <v>83</v>
      </c>
      <c r="H948" t="s">
        <v>24</v>
      </c>
      <c r="N948" s="2" t="s">
        <v>18</v>
      </c>
      <c r="O948" s="2" t="s">
        <v>293</v>
      </c>
      <c r="P948" s="2">
        <v>50000000</v>
      </c>
      <c r="Q948" s="2">
        <v>6.5</v>
      </c>
      <c r="R948" s="2" t="s">
        <v>2204</v>
      </c>
      <c r="S948" s="2"/>
      <c r="U948" s="2" t="s">
        <v>2205</v>
      </c>
      <c r="V948">
        <f ca="1" t="shared" si="27"/>
        <v>6.63333333333333</v>
      </c>
      <c r="AC948" s="2"/>
      <c r="AD948" t="str">
        <f>IFERROR(__xludf.DUMMYFUNCTION("""COMPUTED_VALUE"""),"The Phantom of the Opera ")</f>
        <v>The Phantom of the Opera </v>
      </c>
      <c r="AE948">
        <f t="shared" si="28"/>
        <v>51225653</v>
      </c>
    </row>
    <row r="949" customHeight="1" spans="1:31">
      <c r="A949" s="2" t="s">
        <v>1000</v>
      </c>
      <c r="B949" s="2">
        <v>110</v>
      </c>
      <c r="C949" s="2">
        <v>26199517</v>
      </c>
      <c r="D949" s="2" t="s">
        <v>915</v>
      </c>
      <c r="E949" s="2" t="s">
        <v>12</v>
      </c>
      <c r="F949" t="s">
        <v>15</v>
      </c>
      <c r="G949" t="s">
        <v>28</v>
      </c>
      <c r="H949" t="s">
        <v>17</v>
      </c>
      <c r="N949" s="2" t="s">
        <v>18</v>
      </c>
      <c r="O949" s="2" t="s">
        <v>19</v>
      </c>
      <c r="P949" s="2">
        <v>50000000</v>
      </c>
      <c r="Q949" s="2">
        <v>6.4</v>
      </c>
      <c r="R949" s="2" t="s">
        <v>2206</v>
      </c>
      <c r="S949" s="2"/>
      <c r="U949" s="2" t="s">
        <v>2207</v>
      </c>
      <c r="V949">
        <f ca="1" t="shared" si="27"/>
        <v>3.7</v>
      </c>
      <c r="AC949" s="2"/>
      <c r="AD949" t="str">
        <f>IFERROR(__xludf.DUMMYFUNCTION("""COMPUTED_VALUE"""),"Elizabeth: The Golden Age ")</f>
        <v>Elizabeth: The Golden Age </v>
      </c>
      <c r="AE949">
        <f t="shared" si="28"/>
        <v>16264361</v>
      </c>
    </row>
    <row r="950" customHeight="1" spans="1:31">
      <c r="A950" s="2" t="s">
        <v>650</v>
      </c>
      <c r="B950" s="2">
        <v>118</v>
      </c>
      <c r="C950" s="2">
        <v>25450527</v>
      </c>
      <c r="D950" s="2" t="s">
        <v>915</v>
      </c>
      <c r="E950" s="2" t="s">
        <v>12</v>
      </c>
      <c r="F950" t="s">
        <v>14</v>
      </c>
      <c r="G950" t="s">
        <v>14</v>
      </c>
      <c r="H950" t="s">
        <v>24</v>
      </c>
      <c r="N950" s="2" t="s">
        <v>18</v>
      </c>
      <c r="O950" s="2" t="s">
        <v>19</v>
      </c>
      <c r="P950" s="2">
        <v>50000000</v>
      </c>
      <c r="Q950" s="2">
        <v>6.5</v>
      </c>
      <c r="R950" s="2" t="s">
        <v>2208</v>
      </c>
      <c r="S950" s="2"/>
      <c r="U950" s="2" t="s">
        <v>2209</v>
      </c>
      <c r="V950">
        <f ca="1" t="shared" si="27"/>
        <v>6.55</v>
      </c>
      <c r="AC950" s="2"/>
      <c r="AD950" t="str">
        <f>IFERROR(__xludf.DUMMYFUNCTION("""COMPUTED_VALUE"""),"Æon Flux ")</f>
        <v>Æon Flux </v>
      </c>
      <c r="AE950">
        <f t="shared" si="28"/>
        <v>25857894</v>
      </c>
    </row>
    <row r="951" customHeight="1" spans="1:31">
      <c r="A951" s="2" t="s">
        <v>1335</v>
      </c>
      <c r="B951" s="2">
        <v>101</v>
      </c>
      <c r="C951" s="2">
        <v>25407250</v>
      </c>
      <c r="D951" s="2" t="s">
        <v>108</v>
      </c>
      <c r="E951" s="2" t="s">
        <v>12</v>
      </c>
      <c r="F951" t="s">
        <v>56</v>
      </c>
      <c r="G951" t="s">
        <v>24</v>
      </c>
      <c r="H951" t="s">
        <v>24</v>
      </c>
      <c r="N951" s="2" t="s">
        <v>18</v>
      </c>
      <c r="O951" s="2" t="s">
        <v>19</v>
      </c>
      <c r="P951" s="2">
        <v>50000000</v>
      </c>
      <c r="Q951" s="2">
        <v>5.7</v>
      </c>
      <c r="R951" s="2" t="s">
        <v>2210</v>
      </c>
      <c r="S951" s="2"/>
      <c r="U951" s="2" t="s">
        <v>2211</v>
      </c>
      <c r="V951">
        <f ca="1" t="shared" ref="V951:V1014" si="29">AVERAGEIF(A835:A4620,U951,Q836:Q4620)</f>
        <v>4.8</v>
      </c>
      <c r="AC951" s="2"/>
      <c r="AD951" t="str">
        <f>IFERROR(__xludf.DUMMYFUNCTION("""COMPUTED_VALUE"""),"Gods and Generals ")</f>
        <v>Gods and Generals </v>
      </c>
      <c r="AE951">
        <f t="shared" ref="AE951:AE1014" si="30">C835-B835</f>
        <v>12870289</v>
      </c>
    </row>
    <row r="952" customHeight="1" spans="1:31">
      <c r="A952" s="2" t="s">
        <v>241</v>
      </c>
      <c r="B952" s="2">
        <v>90</v>
      </c>
      <c r="C952" s="2">
        <v>23159305</v>
      </c>
      <c r="D952" s="2" t="s">
        <v>245</v>
      </c>
      <c r="E952" s="2" t="s">
        <v>12</v>
      </c>
      <c r="F952" t="s">
        <v>15</v>
      </c>
      <c r="G952" t="s">
        <v>56</v>
      </c>
      <c r="H952" t="s">
        <v>17</v>
      </c>
      <c r="N952" s="2" t="s">
        <v>18</v>
      </c>
      <c r="O952" s="2" t="s">
        <v>19</v>
      </c>
      <c r="P952" s="2">
        <v>70000000</v>
      </c>
      <c r="Q952" s="2">
        <v>8</v>
      </c>
      <c r="R952" s="2" t="s">
        <v>2212</v>
      </c>
      <c r="S952" s="2"/>
      <c r="U952" s="2" t="s">
        <v>2213</v>
      </c>
      <c r="V952">
        <f ca="1" t="shared" si="29"/>
        <v>5</v>
      </c>
      <c r="AC952" s="2"/>
      <c r="AD952" t="str">
        <f>IFERROR(__xludf.DUMMYFUNCTION("""COMPUTED_VALUE"""),"Turbulence ")</f>
        <v>Turbulence </v>
      </c>
      <c r="AE952">
        <f t="shared" si="30"/>
        <v>11465988</v>
      </c>
    </row>
    <row r="953" customHeight="1" spans="1:31">
      <c r="A953" s="2" t="s">
        <v>1337</v>
      </c>
      <c r="B953" s="2">
        <v>119</v>
      </c>
      <c r="C953" s="2">
        <v>24006726</v>
      </c>
      <c r="D953" s="2" t="s">
        <v>2214</v>
      </c>
      <c r="E953" s="2" t="s">
        <v>13</v>
      </c>
      <c r="F953" t="s">
        <v>13</v>
      </c>
      <c r="G953" t="s">
        <v>23</v>
      </c>
      <c r="H953" t="s">
        <v>29</v>
      </c>
      <c r="N953" s="2" t="s">
        <v>18</v>
      </c>
      <c r="O953" s="2" t="s">
        <v>19</v>
      </c>
      <c r="P953" s="2">
        <v>50000000</v>
      </c>
      <c r="Q953" s="2">
        <v>7.3</v>
      </c>
      <c r="R953" s="2" t="s">
        <v>2215</v>
      </c>
      <c r="S953" s="2"/>
      <c r="U953" s="2" t="s">
        <v>2216</v>
      </c>
      <c r="V953">
        <f ca="1" t="shared" si="29"/>
        <v>5.8</v>
      </c>
      <c r="AC953" s="2"/>
      <c r="AD953" t="str">
        <f>IFERROR(__xludf.DUMMYFUNCTION("""COMPUTED_VALUE"""),"Imagine That ")</f>
        <v>Imagine That </v>
      </c>
      <c r="AE953">
        <f t="shared" si="30"/>
        <v>16088503</v>
      </c>
    </row>
    <row r="954" customHeight="1" spans="1:31">
      <c r="A954" s="2" t="s">
        <v>747</v>
      </c>
      <c r="B954" s="2">
        <v>139</v>
      </c>
      <c r="C954" s="2">
        <v>20389967</v>
      </c>
      <c r="D954" s="2" t="s">
        <v>2217</v>
      </c>
      <c r="E954" s="2" t="s">
        <v>12</v>
      </c>
      <c r="F954" t="s">
        <v>30</v>
      </c>
      <c r="G954" t="s">
        <v>24</v>
      </c>
      <c r="H954" t="s">
        <v>29</v>
      </c>
      <c r="N954" s="2" t="s">
        <v>18</v>
      </c>
      <c r="O954" s="2" t="s">
        <v>19</v>
      </c>
      <c r="P954" s="2">
        <v>50000000</v>
      </c>
      <c r="Q954" s="2">
        <v>6.7</v>
      </c>
      <c r="R954" s="2" t="s">
        <v>2218</v>
      </c>
      <c r="S954" s="2"/>
      <c r="U954" s="2" t="s">
        <v>2219</v>
      </c>
      <c r="V954">
        <f ca="1" t="shared" si="29"/>
        <v>7.5</v>
      </c>
      <c r="AC954" s="2"/>
      <c r="AD954" t="str">
        <f>IFERROR(__xludf.DUMMYFUNCTION("""COMPUTED_VALUE"""),"Muppets Most Wanted ")</f>
        <v>Muppets Most Wanted </v>
      </c>
      <c r="AE954">
        <f t="shared" si="30"/>
        <v>51178774</v>
      </c>
    </row>
    <row r="955" customHeight="1" spans="1:31">
      <c r="A955" s="2" t="s">
        <v>1185</v>
      </c>
      <c r="B955" s="2">
        <v>130</v>
      </c>
      <c r="C955" s="2">
        <v>19593740</v>
      </c>
      <c r="D955" s="2" t="s">
        <v>805</v>
      </c>
      <c r="E955" s="2" t="s">
        <v>56</v>
      </c>
      <c r="F955" t="s">
        <v>13</v>
      </c>
      <c r="G955" t="s">
        <v>24</v>
      </c>
      <c r="H955" t="s">
        <v>29</v>
      </c>
      <c r="N955" s="2" t="s">
        <v>18</v>
      </c>
      <c r="O955" s="2" t="s">
        <v>19</v>
      </c>
      <c r="P955" s="2">
        <v>50000000</v>
      </c>
      <c r="Q955" s="2">
        <v>7.5</v>
      </c>
      <c r="R955" s="2" t="s">
        <v>2220</v>
      </c>
      <c r="S955" s="2"/>
      <c r="U955" s="2" t="s">
        <v>2221</v>
      </c>
      <c r="V955">
        <f ca="1" t="shared" si="29"/>
        <v>6.15</v>
      </c>
      <c r="AC955" s="2"/>
      <c r="AD955" t="str">
        <f>IFERROR(__xludf.DUMMYFUNCTION("""COMPUTED_VALUE"""),"Thunderbirds ")</f>
        <v>Thunderbirds </v>
      </c>
      <c r="AE955">
        <f t="shared" si="30"/>
        <v>6767960</v>
      </c>
    </row>
    <row r="956" customHeight="1" spans="1:31">
      <c r="A956" s="2" t="s">
        <v>1153</v>
      </c>
      <c r="B956" s="2">
        <v>100</v>
      </c>
      <c r="C956" s="2">
        <v>19118247</v>
      </c>
      <c r="D956" s="2" t="s">
        <v>811</v>
      </c>
      <c r="E956" s="2" t="s">
        <v>12</v>
      </c>
      <c r="F956" t="s">
        <v>56</v>
      </c>
      <c r="G956" t="s">
        <v>17</v>
      </c>
      <c r="H956" t="s">
        <v>24</v>
      </c>
      <c r="N956" s="2" t="s">
        <v>18</v>
      </c>
      <c r="O956" s="2" t="s">
        <v>19</v>
      </c>
      <c r="P956" s="2">
        <v>40000000</v>
      </c>
      <c r="Q956" s="2">
        <v>5.4</v>
      </c>
      <c r="R956" s="2" t="s">
        <v>2222</v>
      </c>
      <c r="S956" s="2"/>
      <c r="U956" s="2" t="s">
        <v>2223</v>
      </c>
      <c r="V956">
        <f ca="1" t="shared" si="29"/>
        <v>4.1</v>
      </c>
      <c r="AC956" s="2"/>
      <c r="AD956" t="str">
        <f>IFERROR(__xludf.DUMMYFUNCTION("""COMPUTED_VALUE"""),"Burlesque ")</f>
        <v>Burlesque </v>
      </c>
      <c r="AE956">
        <f t="shared" si="30"/>
        <v>39440536</v>
      </c>
    </row>
    <row r="957" customHeight="1" spans="1:31">
      <c r="A957" s="2" t="s">
        <v>1274</v>
      </c>
      <c r="B957" s="2">
        <v>114</v>
      </c>
      <c r="C957" s="2">
        <v>26442251</v>
      </c>
      <c r="D957" s="2" t="s">
        <v>186</v>
      </c>
      <c r="E957" s="2" t="s">
        <v>12</v>
      </c>
      <c r="F957" t="s">
        <v>30</v>
      </c>
      <c r="G957" t="s">
        <v>40</v>
      </c>
      <c r="H957" t="s">
        <v>15</v>
      </c>
      <c r="N957" s="2" t="s">
        <v>18</v>
      </c>
      <c r="O957" s="2" t="s">
        <v>19</v>
      </c>
      <c r="P957" s="2">
        <v>50000000</v>
      </c>
      <c r="Q957" s="2">
        <v>6.6</v>
      </c>
      <c r="R957" s="2" t="s">
        <v>2224</v>
      </c>
      <c r="S957" s="2"/>
      <c r="U957" s="2" t="s">
        <v>2225</v>
      </c>
      <c r="V957">
        <f ca="1" t="shared" si="29"/>
        <v>6.3</v>
      </c>
      <c r="AC957" s="2"/>
      <c r="AD957" t="str">
        <f>IFERROR(__xludf.DUMMYFUNCTION("""COMPUTED_VALUE"""),"A Very Long Engagement ")</f>
        <v>A Very Long Engagement </v>
      </c>
      <c r="AE957">
        <f t="shared" si="30"/>
        <v>6167684</v>
      </c>
    </row>
    <row r="958" customHeight="1" spans="1:31">
      <c r="A958" s="2" t="s">
        <v>1340</v>
      </c>
      <c r="B958" s="2">
        <v>96</v>
      </c>
      <c r="C958" s="2">
        <v>17114882</v>
      </c>
      <c r="D958" s="2" t="s">
        <v>846</v>
      </c>
      <c r="E958" s="2" t="s">
        <v>56</v>
      </c>
      <c r="F958" t="s">
        <v>30</v>
      </c>
      <c r="G958" t="s">
        <v>30</v>
      </c>
      <c r="H958" t="s">
        <v>24</v>
      </c>
      <c r="N958" s="2" t="s">
        <v>18</v>
      </c>
      <c r="O958" s="2" t="s">
        <v>19</v>
      </c>
      <c r="P958" s="2">
        <v>25000000</v>
      </c>
      <c r="Q958" s="2">
        <v>7.7</v>
      </c>
      <c r="R958" s="2" t="s">
        <v>2226</v>
      </c>
      <c r="S958" s="2"/>
      <c r="U958" s="2" t="s">
        <v>2227</v>
      </c>
      <c r="V958">
        <f ca="1" t="shared" si="29"/>
        <v>6.8</v>
      </c>
      <c r="AC958" s="2"/>
      <c r="AD958" t="str">
        <f>IFERROR(__xludf.DUMMYFUNCTION("""COMPUTED_VALUE"""),"Blade II ")</f>
        <v>Blade II </v>
      </c>
      <c r="AE958">
        <f t="shared" si="30"/>
        <v>81645035</v>
      </c>
    </row>
    <row r="959" customHeight="1" spans="1:31">
      <c r="A959" s="2" t="s">
        <v>1342</v>
      </c>
      <c r="B959" s="2">
        <v>110</v>
      </c>
      <c r="C959" s="2">
        <v>18472363</v>
      </c>
      <c r="D959" s="2" t="s">
        <v>1327</v>
      </c>
      <c r="E959" s="2" t="s">
        <v>12</v>
      </c>
      <c r="F959" t="s">
        <v>13</v>
      </c>
      <c r="G959" t="s">
        <v>24</v>
      </c>
      <c r="H959" t="s">
        <v>24</v>
      </c>
      <c r="N959" s="2" t="s">
        <v>18</v>
      </c>
      <c r="O959" s="2" t="s">
        <v>19</v>
      </c>
      <c r="P959" s="2">
        <v>50000000</v>
      </c>
      <c r="Q959" s="2">
        <v>5.8</v>
      </c>
      <c r="R959" s="2" t="s">
        <v>2228</v>
      </c>
      <c r="S959" s="2"/>
      <c r="U959" s="2" t="s">
        <v>2229</v>
      </c>
      <c r="V959">
        <f ca="1" t="shared" si="29"/>
        <v>6.6</v>
      </c>
      <c r="AC959" s="2"/>
      <c r="AD959" t="str">
        <f>IFERROR(__xludf.DUMMYFUNCTION("""COMPUTED_VALUE"""),"Seven Pounds ")</f>
        <v>Seven Pounds </v>
      </c>
      <c r="AE959">
        <f t="shared" si="30"/>
        <v>69951701</v>
      </c>
    </row>
    <row r="960" customHeight="1" spans="1:31">
      <c r="A960" s="2" t="s">
        <v>685</v>
      </c>
      <c r="B960" s="2">
        <v>158</v>
      </c>
      <c r="C960" s="2">
        <v>14131298</v>
      </c>
      <c r="D960" s="2" t="s">
        <v>1371</v>
      </c>
      <c r="E960" s="2" t="s">
        <v>13</v>
      </c>
      <c r="F960" t="s">
        <v>30</v>
      </c>
      <c r="G960" t="s">
        <v>24</v>
      </c>
      <c r="H960" t="s">
        <v>15</v>
      </c>
      <c r="N960" s="2" t="s">
        <v>18</v>
      </c>
      <c r="O960" s="2" t="s">
        <v>707</v>
      </c>
      <c r="P960" s="2">
        <v>390000000</v>
      </c>
      <c r="Q960" s="2">
        <v>6.4</v>
      </c>
      <c r="R960" s="2" t="s">
        <v>2230</v>
      </c>
      <c r="S960" s="2"/>
      <c r="U960" s="2" t="s">
        <v>2231</v>
      </c>
      <c r="V960">
        <f ca="1" t="shared" si="29"/>
        <v>6.25</v>
      </c>
      <c r="AC960" s="2"/>
      <c r="AD960" t="str">
        <f>IFERROR(__xludf.DUMMYFUNCTION("""COMPUTED_VALUE"""),"Bullet to the Head ")</f>
        <v>Bullet to the Head </v>
      </c>
      <c r="AE960">
        <f t="shared" si="30"/>
        <v>9483729</v>
      </c>
    </row>
    <row r="961" customHeight="1" spans="1:31">
      <c r="A961" s="2" t="s">
        <v>1344</v>
      </c>
      <c r="B961" s="2">
        <v>102</v>
      </c>
      <c r="C961" s="2">
        <v>21557240</v>
      </c>
      <c r="D961" s="2" t="s">
        <v>2232</v>
      </c>
      <c r="E961" s="2" t="s">
        <v>13</v>
      </c>
      <c r="F961" t="s">
        <v>40</v>
      </c>
      <c r="G961" t="s">
        <v>15</v>
      </c>
      <c r="H961" t="s">
        <v>24</v>
      </c>
      <c r="N961" s="2" t="s">
        <v>18</v>
      </c>
      <c r="O961" s="2" t="s">
        <v>19</v>
      </c>
      <c r="P961" s="2">
        <v>49900000</v>
      </c>
      <c r="Q961" s="2">
        <v>5.6</v>
      </c>
      <c r="R961" s="2" t="s">
        <v>2233</v>
      </c>
      <c r="S961" s="2"/>
      <c r="U961" s="2" t="s">
        <v>2234</v>
      </c>
      <c r="V961">
        <f ca="1" t="shared" si="29"/>
        <v>6.43333333333333</v>
      </c>
      <c r="AC961" s="2"/>
      <c r="AD961" t="str">
        <f>IFERROR(__xludf.DUMMYFUNCTION("""COMPUTED_VALUE"""),"The Godfather: Part III ")</f>
        <v>The Godfather: Part III </v>
      </c>
      <c r="AE961">
        <f t="shared" si="30"/>
        <v>66675892</v>
      </c>
    </row>
    <row r="962" customHeight="1" spans="1:31">
      <c r="A962" s="2" t="s">
        <v>1346</v>
      </c>
      <c r="B962" s="2">
        <v>84</v>
      </c>
      <c r="C962" s="2">
        <v>21283440</v>
      </c>
      <c r="D962" s="2" t="s">
        <v>712</v>
      </c>
      <c r="E962" s="2" t="s">
        <v>30</v>
      </c>
      <c r="F962" t="s">
        <v>28</v>
      </c>
      <c r="G962" t="s">
        <v>40</v>
      </c>
      <c r="H962" t="s">
        <v>30</v>
      </c>
      <c r="N962" s="2" t="s">
        <v>18</v>
      </c>
      <c r="O962" s="2" t="s">
        <v>19</v>
      </c>
      <c r="P962" s="2">
        <v>55000000</v>
      </c>
      <c r="Q962" s="2">
        <v>6</v>
      </c>
      <c r="R962" s="2" t="s">
        <v>2235</v>
      </c>
      <c r="S962" s="2"/>
      <c r="U962" s="2" t="s">
        <v>2236</v>
      </c>
      <c r="V962">
        <f ca="1" t="shared" si="29"/>
        <v>3.5</v>
      </c>
      <c r="AC962" s="2"/>
      <c r="AD962" t="str">
        <f>IFERROR(__xludf.DUMMYFUNCTION("""COMPUTED_VALUE"""),"Elizabethtown ")</f>
        <v>Elizabethtown </v>
      </c>
      <c r="AE962">
        <f t="shared" si="30"/>
        <v>26838266</v>
      </c>
    </row>
    <row r="963" customHeight="1" spans="1:31">
      <c r="A963" s="2" t="s">
        <v>1348</v>
      </c>
      <c r="B963" s="2">
        <v>115</v>
      </c>
      <c r="C963" s="2">
        <v>10556196</v>
      </c>
      <c r="D963" s="2" t="s">
        <v>805</v>
      </c>
      <c r="E963" s="2" t="s">
        <v>56</v>
      </c>
      <c r="F963" t="s">
        <v>14</v>
      </c>
      <c r="G963" t="s">
        <v>30</v>
      </c>
      <c r="H963" t="s">
        <v>24</v>
      </c>
      <c r="N963" s="2" t="s">
        <v>18</v>
      </c>
      <c r="O963" s="2" t="s">
        <v>19</v>
      </c>
      <c r="P963" s="2">
        <v>50000000</v>
      </c>
      <c r="Q963" s="2">
        <v>6.2</v>
      </c>
      <c r="R963" s="2" t="s">
        <v>2237</v>
      </c>
      <c r="S963" s="2"/>
      <c r="U963" s="2" t="s">
        <v>2238</v>
      </c>
      <c r="V963">
        <f ca="1" t="shared" si="29"/>
        <v>7.2</v>
      </c>
      <c r="AC963" s="2"/>
      <c r="AD963" t="str">
        <f>IFERROR(__xludf.DUMMYFUNCTION("""COMPUTED_VALUE"""),"You, Me and Dupree ")</f>
        <v>You, Me and Dupree </v>
      </c>
      <c r="AE963">
        <f t="shared" si="30"/>
        <v>75604210</v>
      </c>
    </row>
    <row r="964" customHeight="1" spans="1:31">
      <c r="A964" s="2" t="s">
        <v>1350</v>
      </c>
      <c r="B964" s="2">
        <v>99</v>
      </c>
      <c r="C964" s="2">
        <v>16671505</v>
      </c>
      <c r="D964" s="2" t="s">
        <v>2239</v>
      </c>
      <c r="E964" s="2" t="s">
        <v>13</v>
      </c>
      <c r="F964" t="s">
        <v>14</v>
      </c>
      <c r="G964" t="s">
        <v>24</v>
      </c>
      <c r="H964" t="s">
        <v>29</v>
      </c>
      <c r="N964" s="2" t="s">
        <v>18</v>
      </c>
      <c r="O964" s="2" t="s">
        <v>19</v>
      </c>
      <c r="P964" s="2">
        <v>50000000</v>
      </c>
      <c r="Q964" s="2">
        <v>5.9</v>
      </c>
      <c r="R964" s="2" t="s">
        <v>2240</v>
      </c>
      <c r="S964" s="2"/>
      <c r="U964" s="2" t="s">
        <v>2241</v>
      </c>
      <c r="V964">
        <f ca="1" t="shared" si="29"/>
        <v>7.4</v>
      </c>
      <c r="AC964" s="2"/>
      <c r="AD964" t="str">
        <f>IFERROR(__xludf.DUMMYFUNCTION("""COMPUTED_VALUE"""),"Superman II ")</f>
        <v>Superman II </v>
      </c>
      <c r="AE964">
        <f t="shared" si="30"/>
        <v>108199884</v>
      </c>
    </row>
    <row r="965" customHeight="1" spans="1:31">
      <c r="A965" s="2" t="s">
        <v>1353</v>
      </c>
      <c r="B965" s="2">
        <v>135</v>
      </c>
      <c r="C965" s="2">
        <v>10400000</v>
      </c>
      <c r="D965" s="2" t="s">
        <v>103</v>
      </c>
      <c r="E965" s="2" t="s">
        <v>30</v>
      </c>
      <c r="F965" t="s">
        <v>30</v>
      </c>
      <c r="G965" t="s">
        <v>15</v>
      </c>
      <c r="H965" t="s">
        <v>23</v>
      </c>
      <c r="N965" s="2" t="s">
        <v>18</v>
      </c>
      <c r="O965" s="2" t="s">
        <v>19</v>
      </c>
      <c r="P965" s="2">
        <v>50000000</v>
      </c>
      <c r="Q965" s="2">
        <v>5.1</v>
      </c>
      <c r="R965" s="2" t="s">
        <v>2242</v>
      </c>
      <c r="S965" s="2"/>
      <c r="U965" s="2" t="s">
        <v>2243</v>
      </c>
      <c r="V965">
        <f ca="1" t="shared" si="29"/>
        <v>6.5</v>
      </c>
      <c r="AC965" s="2"/>
      <c r="AD965" t="str">
        <f>IFERROR(__xludf.DUMMYFUNCTION("""COMPUTED_VALUE"""),"Gigli ")</f>
        <v>Gigli </v>
      </c>
      <c r="AE965">
        <f t="shared" si="30"/>
        <v>5659963</v>
      </c>
    </row>
    <row r="966" customHeight="1" spans="1:31">
      <c r="A966" s="2" t="s">
        <v>216</v>
      </c>
      <c r="B966" s="2">
        <v>108</v>
      </c>
      <c r="C966" s="2">
        <v>9528092</v>
      </c>
      <c r="D966" s="2" t="s">
        <v>1438</v>
      </c>
      <c r="E966" s="2" t="s">
        <v>59</v>
      </c>
      <c r="F966" t="s">
        <v>56</v>
      </c>
      <c r="G966" t="s">
        <v>17</v>
      </c>
      <c r="H966" t="s">
        <v>30</v>
      </c>
      <c r="N966" s="2" t="s">
        <v>18</v>
      </c>
      <c r="O966" s="2" t="s">
        <v>19</v>
      </c>
      <c r="P966" s="2">
        <v>22000000</v>
      </c>
      <c r="Q966" s="2">
        <v>6.8</v>
      </c>
      <c r="R966" s="2" t="s">
        <v>2244</v>
      </c>
      <c r="S966" s="2"/>
      <c r="U966" s="2" t="s">
        <v>2245</v>
      </c>
      <c r="V966">
        <f ca="1" t="shared" si="29"/>
        <v>6.9</v>
      </c>
      <c r="AC966" s="2"/>
      <c r="AD966" t="str">
        <f>IFERROR(__xludf.DUMMYFUNCTION("""COMPUTED_VALUE"""),"All the King's Men ")</f>
        <v>All the King's Men </v>
      </c>
      <c r="AE966">
        <f t="shared" si="30"/>
        <v>7221330</v>
      </c>
    </row>
    <row r="967" customHeight="1" spans="1:31">
      <c r="A967" s="2" t="s">
        <v>617</v>
      </c>
      <c r="B967" s="2">
        <v>127</v>
      </c>
      <c r="C967" s="2">
        <v>10137232</v>
      </c>
      <c r="D967" s="2" t="s">
        <v>2246</v>
      </c>
      <c r="E967" s="2" t="s">
        <v>12</v>
      </c>
      <c r="F967" t="s">
        <v>24</v>
      </c>
      <c r="G967" t="s">
        <v>17</v>
      </c>
      <c r="H967" t="s">
        <v>17</v>
      </c>
      <c r="N967" s="2" t="s">
        <v>18</v>
      </c>
      <c r="O967" s="2" t="s">
        <v>707</v>
      </c>
      <c r="P967" s="2">
        <v>50000000</v>
      </c>
      <c r="Q967" s="2">
        <v>6</v>
      </c>
      <c r="R967" s="2" t="s">
        <v>2247</v>
      </c>
      <c r="S967" s="2"/>
      <c r="U967" s="2" t="s">
        <v>2248</v>
      </c>
      <c r="V967">
        <f ca="1" t="shared" si="29"/>
        <v>6.1</v>
      </c>
      <c r="AC967" s="2"/>
      <c r="AD967" t="str">
        <f>IFERROR(__xludf.DUMMYFUNCTION("""COMPUTED_VALUE"""),"Shaft ")</f>
        <v>Shaft </v>
      </c>
      <c r="AE967">
        <f t="shared" si="30"/>
        <v>70327769</v>
      </c>
    </row>
    <row r="968" customHeight="1" spans="1:31">
      <c r="A968" s="2" t="s">
        <v>1196</v>
      </c>
      <c r="B968" s="2">
        <v>107</v>
      </c>
      <c r="C968" s="2">
        <v>9795017</v>
      </c>
      <c r="D968" s="2" t="s">
        <v>805</v>
      </c>
      <c r="E968" s="2" t="s">
        <v>56</v>
      </c>
      <c r="F968" t="s">
        <v>30</v>
      </c>
      <c r="G968" t="s">
        <v>24</v>
      </c>
      <c r="H968" t="s">
        <v>30</v>
      </c>
      <c r="N968" s="2" t="s">
        <v>18</v>
      </c>
      <c r="O968" s="2" t="s">
        <v>19</v>
      </c>
      <c r="P968" s="2">
        <v>50000000</v>
      </c>
      <c r="Q968" s="2">
        <v>5.1</v>
      </c>
      <c r="R968" s="2" t="s">
        <v>2249</v>
      </c>
      <c r="S968" s="2"/>
      <c r="U968" s="2" t="s">
        <v>2250</v>
      </c>
      <c r="V968">
        <f ca="1" t="shared" si="29"/>
        <v>6.4</v>
      </c>
      <c r="AC968" s="2"/>
      <c r="AD968" t="str">
        <f>IFERROR(__xludf.DUMMYFUNCTION("""COMPUTED_VALUE"""),"Anastasia ")</f>
        <v>Anastasia </v>
      </c>
      <c r="AE968">
        <f t="shared" si="30"/>
        <v>58297736</v>
      </c>
    </row>
    <row r="969" customHeight="1" spans="1:31">
      <c r="A969" s="2" t="s">
        <v>1164</v>
      </c>
      <c r="B969" s="2">
        <v>95</v>
      </c>
      <c r="C969" s="2">
        <v>20488579</v>
      </c>
      <c r="D969" s="2" t="s">
        <v>1094</v>
      </c>
      <c r="E969" s="2" t="s">
        <v>12</v>
      </c>
      <c r="F969" t="s">
        <v>30</v>
      </c>
      <c r="G969" t="s">
        <v>23</v>
      </c>
      <c r="H969" t="s">
        <v>39</v>
      </c>
      <c r="N969" s="2" t="s">
        <v>18</v>
      </c>
      <c r="O969" s="2" t="s">
        <v>19</v>
      </c>
      <c r="P969" s="2">
        <v>50000000</v>
      </c>
      <c r="Q969" s="2">
        <v>5.8</v>
      </c>
      <c r="R969" s="2" t="s">
        <v>2251</v>
      </c>
      <c r="S969" s="2"/>
      <c r="U969" s="2" t="s">
        <v>2252</v>
      </c>
      <c r="V969">
        <f ca="1" t="shared" si="29"/>
        <v>6.4</v>
      </c>
      <c r="AC969" s="2"/>
      <c r="AD969" t="str">
        <f>IFERROR(__xludf.DUMMYFUNCTION("""COMPUTED_VALUE"""),"Moulin Rouge! ")</f>
        <v>Moulin Rouge! </v>
      </c>
      <c r="AE969">
        <f t="shared" si="30"/>
        <v>57386242</v>
      </c>
    </row>
    <row r="970" customHeight="1" spans="1:31">
      <c r="A970" s="2" t="s">
        <v>1356</v>
      </c>
      <c r="B970" s="2">
        <v>124</v>
      </c>
      <c r="C970" s="2">
        <v>19445217</v>
      </c>
      <c r="D970" s="2" t="s">
        <v>266</v>
      </c>
      <c r="E970" s="2" t="s">
        <v>30</v>
      </c>
      <c r="F970" t="s">
        <v>40</v>
      </c>
      <c r="G970" t="s">
        <v>83</v>
      </c>
      <c r="H970" t="s">
        <v>30</v>
      </c>
      <c r="N970" s="2" t="s">
        <v>18</v>
      </c>
      <c r="O970" s="2" t="s">
        <v>19</v>
      </c>
      <c r="P970" s="2">
        <v>60000000</v>
      </c>
      <c r="Q970" s="2">
        <v>6.2</v>
      </c>
      <c r="R970" s="2" t="s">
        <v>2253</v>
      </c>
      <c r="S970" s="2"/>
      <c r="U970" s="2" t="s">
        <v>2254</v>
      </c>
      <c r="V970">
        <f ca="1" t="shared" si="29"/>
        <v>5.8</v>
      </c>
      <c r="AC970" s="2"/>
      <c r="AD970" t="str">
        <f>IFERROR(__xludf.DUMMYFUNCTION("""COMPUTED_VALUE"""),"Domestic Disturbance ")</f>
        <v>Domestic Disturbance </v>
      </c>
      <c r="AE970">
        <f t="shared" si="30"/>
        <v>45207023</v>
      </c>
    </row>
    <row r="971" customHeight="1" spans="1:31">
      <c r="A971" s="2" t="s">
        <v>1358</v>
      </c>
      <c r="B971" s="2">
        <v>109</v>
      </c>
      <c r="C971" s="2">
        <v>8355815</v>
      </c>
      <c r="D971" s="2" t="s">
        <v>2186</v>
      </c>
      <c r="E971" s="2" t="s">
        <v>40</v>
      </c>
      <c r="F971" t="s">
        <v>17</v>
      </c>
      <c r="G971" t="s">
        <v>24</v>
      </c>
      <c r="H971" t="s">
        <v>14</v>
      </c>
      <c r="N971" s="2" t="s">
        <v>18</v>
      </c>
      <c r="O971" s="2" t="s">
        <v>31</v>
      </c>
      <c r="P971" s="2">
        <v>55000000</v>
      </c>
      <c r="Q971" s="2">
        <v>6.4</v>
      </c>
      <c r="R971" s="2" t="s">
        <v>2255</v>
      </c>
      <c r="S971" s="2"/>
      <c r="U971" s="2" t="s">
        <v>2256</v>
      </c>
      <c r="V971">
        <f ca="1" t="shared" si="29"/>
        <v>5.4</v>
      </c>
      <c r="AC971" s="2"/>
      <c r="AD971" t="str">
        <f>IFERROR(__xludf.DUMMYFUNCTION("""COMPUTED_VALUE"""),"Black Mass ")</f>
        <v>Black Mass </v>
      </c>
      <c r="AE971">
        <f t="shared" si="30"/>
        <v>62563420</v>
      </c>
    </row>
    <row r="972" customHeight="1" spans="1:31">
      <c r="A972" s="2" t="s">
        <v>714</v>
      </c>
      <c r="B972" s="2">
        <v>102</v>
      </c>
      <c r="C972" s="2">
        <v>28837115</v>
      </c>
      <c r="D972" s="2" t="s">
        <v>40</v>
      </c>
      <c r="E972" s="2" t="s">
        <v>40</v>
      </c>
      <c r="F972" t="s">
        <v>40</v>
      </c>
      <c r="G972" t="s">
        <v>24</v>
      </c>
      <c r="H972" t="s">
        <v>24</v>
      </c>
      <c r="N972" s="2" t="s">
        <v>18</v>
      </c>
      <c r="O972" s="2" t="s">
        <v>19</v>
      </c>
      <c r="P972" s="2">
        <v>50000000</v>
      </c>
      <c r="Q972" s="2">
        <v>4.8</v>
      </c>
      <c r="R972" s="2" t="s">
        <v>2257</v>
      </c>
      <c r="S972" s="2"/>
      <c r="U972" s="2" t="s">
        <v>2258</v>
      </c>
      <c r="V972">
        <f ca="1" t="shared" si="29"/>
        <v>6.43333333333333</v>
      </c>
      <c r="AC972" s="2"/>
      <c r="AD972" t="str">
        <f>IFERROR(__xludf.DUMMYFUNCTION("""COMPUTED_VALUE"""),"Flags of Our Fathers ")</f>
        <v>Flags of Our Fathers </v>
      </c>
      <c r="AE972">
        <f t="shared" si="30"/>
        <v>33574197</v>
      </c>
    </row>
    <row r="973" customHeight="1" spans="1:31">
      <c r="A973" s="2" t="s">
        <v>1360</v>
      </c>
      <c r="B973" s="2">
        <v>88</v>
      </c>
      <c r="C973" s="2">
        <v>6471394</v>
      </c>
      <c r="D973" s="2" t="s">
        <v>383</v>
      </c>
      <c r="E973" s="2" t="s">
        <v>40</v>
      </c>
      <c r="F973" t="s">
        <v>35</v>
      </c>
      <c r="G973" t="s">
        <v>17</v>
      </c>
      <c r="H973" t="s">
        <v>24</v>
      </c>
      <c r="N973" s="2" t="s">
        <v>18</v>
      </c>
      <c r="O973" s="2" t="s">
        <v>19</v>
      </c>
      <c r="P973" s="2">
        <v>50000000</v>
      </c>
      <c r="Q973" s="2">
        <v>4.9</v>
      </c>
      <c r="R973" s="2" t="s">
        <v>2259</v>
      </c>
      <c r="S973" s="2"/>
      <c r="U973" s="2" t="s">
        <v>2260</v>
      </c>
      <c r="V973">
        <f ca="1" t="shared" si="29"/>
        <v>5.3</v>
      </c>
      <c r="AC973" s="2"/>
      <c r="AD973" t="str">
        <f>IFERROR(__xludf.DUMMYFUNCTION("""COMPUTED_VALUE"""),"Law Abiding Citizen ")</f>
        <v>Law Abiding Citizen </v>
      </c>
      <c r="AE973">
        <f t="shared" si="30"/>
        <v>73343295</v>
      </c>
    </row>
    <row r="974" customHeight="1" spans="1:31">
      <c r="A974" s="2" t="s">
        <v>876</v>
      </c>
      <c r="B974" s="2">
        <v>87</v>
      </c>
      <c r="C974" s="2">
        <v>6291602</v>
      </c>
      <c r="D974" s="2" t="s">
        <v>2261</v>
      </c>
      <c r="E974" s="2" t="s">
        <v>40</v>
      </c>
      <c r="F974" t="s">
        <v>72</v>
      </c>
      <c r="G974" t="s">
        <v>15</v>
      </c>
      <c r="H974" t="s">
        <v>17</v>
      </c>
      <c r="N974" s="2" t="s">
        <v>18</v>
      </c>
      <c r="O974" s="2" t="s">
        <v>19</v>
      </c>
      <c r="P974" s="2">
        <v>50000000</v>
      </c>
      <c r="Q974" s="2">
        <v>5.6</v>
      </c>
      <c r="R974" s="2" t="s">
        <v>2262</v>
      </c>
      <c r="S974" s="2"/>
      <c r="U974" s="2" t="s">
        <v>2263</v>
      </c>
      <c r="V974">
        <f ca="1" t="shared" si="29"/>
        <v>5.76666666666667</v>
      </c>
      <c r="AC974" s="2"/>
      <c r="AD974" t="str">
        <f>IFERROR(__xludf.DUMMYFUNCTION("""COMPUTED_VALUE"""),"Grindhouse ")</f>
        <v>Grindhouse </v>
      </c>
      <c r="AE974">
        <f t="shared" si="30"/>
        <v>25030848</v>
      </c>
    </row>
    <row r="975" customHeight="1" spans="1:31">
      <c r="A975" s="2" t="s">
        <v>1362</v>
      </c>
      <c r="B975" s="2">
        <v>104</v>
      </c>
      <c r="C975" s="2">
        <v>10706786</v>
      </c>
      <c r="D975" s="2" t="s">
        <v>502</v>
      </c>
      <c r="E975" s="2" t="s">
        <v>12</v>
      </c>
      <c r="F975" t="s">
        <v>17</v>
      </c>
      <c r="G975" t="s">
        <v>15</v>
      </c>
      <c r="H975" t="s">
        <v>56</v>
      </c>
      <c r="N975" s="2" t="s">
        <v>18</v>
      </c>
      <c r="O975" s="2" t="s">
        <v>19</v>
      </c>
      <c r="P975" s="2">
        <v>50000000</v>
      </c>
      <c r="Q975" s="2">
        <v>5.5</v>
      </c>
      <c r="R975" s="2" t="s">
        <v>2264</v>
      </c>
      <c r="S975" s="2"/>
      <c r="U975" s="2" t="s">
        <v>2265</v>
      </c>
      <c r="V975">
        <f ca="1" t="shared" si="29"/>
        <v>5.9</v>
      </c>
      <c r="AC975" s="2"/>
      <c r="AD975" t="str">
        <f>IFERROR(__xludf.DUMMYFUNCTION("""COMPUTED_VALUE"""),"Beloved ")</f>
        <v>Beloved </v>
      </c>
      <c r="AE975">
        <f t="shared" si="30"/>
        <v>22842875</v>
      </c>
    </row>
    <row r="976" customHeight="1" spans="1:31">
      <c r="A976" s="2" t="s">
        <v>940</v>
      </c>
      <c r="B976" s="2">
        <v>96</v>
      </c>
      <c r="C976" s="2">
        <v>8742261</v>
      </c>
      <c r="D976" s="2" t="s">
        <v>915</v>
      </c>
      <c r="E976" s="2" t="s">
        <v>12</v>
      </c>
      <c r="F976" t="s">
        <v>17</v>
      </c>
      <c r="G976" t="s">
        <v>83</v>
      </c>
      <c r="H976" t="s">
        <v>15</v>
      </c>
      <c r="N976" s="2" t="s">
        <v>18</v>
      </c>
      <c r="O976" s="2" t="s">
        <v>121</v>
      </c>
      <c r="P976" s="2">
        <v>18000000</v>
      </c>
      <c r="Q976" s="2">
        <v>3.7</v>
      </c>
      <c r="R976" s="2" t="s">
        <v>2266</v>
      </c>
      <c r="S976" s="2"/>
      <c r="U976" s="2" t="s">
        <v>2267</v>
      </c>
      <c r="V976">
        <f ca="1" t="shared" si="29"/>
        <v>5.83333333333333</v>
      </c>
      <c r="AC976" s="2"/>
      <c r="AD976" t="str">
        <f>IFERROR(__xludf.DUMMYFUNCTION("""COMPUTED_VALUE"""),"Lucky You ")</f>
        <v>Lucky You </v>
      </c>
      <c r="AE976">
        <f t="shared" si="30"/>
        <v>5755162</v>
      </c>
    </row>
    <row r="977" customHeight="1" spans="1:31">
      <c r="A977" s="2" t="s">
        <v>1365</v>
      </c>
      <c r="B977" s="2">
        <v>85</v>
      </c>
      <c r="C977" s="2">
        <v>43905746</v>
      </c>
      <c r="D977" s="2" t="s">
        <v>1094</v>
      </c>
      <c r="E977" s="2" t="s">
        <v>12</v>
      </c>
      <c r="F977" t="s">
        <v>28</v>
      </c>
      <c r="G977" t="s">
        <v>17</v>
      </c>
      <c r="H977" t="s">
        <v>14</v>
      </c>
      <c r="N977" s="2" t="s">
        <v>18</v>
      </c>
      <c r="O977" s="2" t="s">
        <v>19</v>
      </c>
      <c r="P977" s="2">
        <v>49000000</v>
      </c>
      <c r="Q977" s="2">
        <v>5.9</v>
      </c>
      <c r="R977" s="2" t="s">
        <v>2268</v>
      </c>
      <c r="S977" s="2"/>
      <c r="U977" s="2" t="s">
        <v>2269</v>
      </c>
      <c r="V977">
        <f ca="1" t="shared" si="29"/>
        <v>6.1</v>
      </c>
      <c r="AC977" s="2"/>
      <c r="AD977" t="str">
        <f>IFERROR(__xludf.DUMMYFUNCTION("""COMPUTED_VALUE"""),"Catch Me If You Can ")</f>
        <v>Catch Me If You Can </v>
      </c>
      <c r="AE977">
        <f t="shared" si="30"/>
        <v>164435080</v>
      </c>
    </row>
    <row r="978" customHeight="1" spans="1:31">
      <c r="A978" s="2" t="s">
        <v>709</v>
      </c>
      <c r="B978" s="2">
        <v>104</v>
      </c>
      <c r="C978" s="2">
        <v>21413502</v>
      </c>
      <c r="D978" s="2" t="s">
        <v>2270</v>
      </c>
      <c r="E978" s="2" t="s">
        <v>12</v>
      </c>
      <c r="F978" t="s">
        <v>13</v>
      </c>
      <c r="G978" t="s">
        <v>17</v>
      </c>
      <c r="H978" t="s">
        <v>17</v>
      </c>
      <c r="N978" s="2" t="s">
        <v>18</v>
      </c>
      <c r="O978" s="2" t="s">
        <v>19</v>
      </c>
      <c r="P978" s="2">
        <v>40000000</v>
      </c>
      <c r="Q978" s="2">
        <v>6.3</v>
      </c>
      <c r="R978" s="2" t="s">
        <v>2271</v>
      </c>
      <c r="S978" s="2"/>
      <c r="U978" s="2" t="s">
        <v>2272</v>
      </c>
      <c r="V978">
        <f ca="1" t="shared" si="29"/>
        <v>5.86666666666667</v>
      </c>
      <c r="AC978" s="2"/>
      <c r="AD978" t="str">
        <f>IFERROR(__xludf.DUMMYFUNCTION("""COMPUTED_VALUE"""),"Zero Dark Thirty ")</f>
        <v>Zero Dark Thirty </v>
      </c>
      <c r="AE978">
        <f t="shared" si="30"/>
        <v>95720559</v>
      </c>
    </row>
    <row r="979" customHeight="1" spans="1:31">
      <c r="A979" s="2" t="s">
        <v>556</v>
      </c>
      <c r="B979" s="2">
        <v>190</v>
      </c>
      <c r="C979" s="2">
        <v>124107476</v>
      </c>
      <c r="D979" s="2" t="s">
        <v>805</v>
      </c>
      <c r="E979" s="2" t="s">
        <v>56</v>
      </c>
      <c r="F979" t="s">
        <v>30</v>
      </c>
      <c r="G979" t="s">
        <v>56</v>
      </c>
      <c r="H979" t="s">
        <v>24</v>
      </c>
      <c r="N979" s="2" t="s">
        <v>18</v>
      </c>
      <c r="O979" s="2" t="s">
        <v>19</v>
      </c>
      <c r="P979" s="2">
        <v>48000000</v>
      </c>
      <c r="Q979" s="2">
        <v>7.6</v>
      </c>
      <c r="R979" s="2" t="s">
        <v>2273</v>
      </c>
      <c r="S979" s="2"/>
      <c r="U979" s="2" t="s">
        <v>2274</v>
      </c>
      <c r="V979">
        <f ca="1" t="shared" si="29"/>
        <v>7.3</v>
      </c>
      <c r="AC979" s="2"/>
      <c r="AD979" t="str">
        <f>IFERROR(__xludf.DUMMYFUNCTION("""COMPUTED_VALUE"""),"The Break-Up ")</f>
        <v>The Break-Up </v>
      </c>
      <c r="AE979">
        <f t="shared" si="30"/>
        <v>118683029</v>
      </c>
    </row>
    <row r="980" customHeight="1" spans="1:31">
      <c r="A980" s="2" t="s">
        <v>166</v>
      </c>
      <c r="B980" s="2">
        <v>127</v>
      </c>
      <c r="C980" s="2">
        <v>197171806</v>
      </c>
      <c r="D980" s="2" t="s">
        <v>22</v>
      </c>
      <c r="E980" s="2" t="s">
        <v>12</v>
      </c>
      <c r="F980" t="s">
        <v>30</v>
      </c>
      <c r="G980" t="s">
        <v>28</v>
      </c>
      <c r="H980" t="s">
        <v>29</v>
      </c>
      <c r="N980" s="2" t="s">
        <v>18</v>
      </c>
      <c r="O980" s="2" t="s">
        <v>19</v>
      </c>
      <c r="P980" s="2">
        <v>48000000</v>
      </c>
      <c r="Q980" s="2">
        <v>8.3</v>
      </c>
      <c r="R980" s="2" t="s">
        <v>2275</v>
      </c>
      <c r="S980" s="2"/>
      <c r="U980" s="2" t="s">
        <v>2276</v>
      </c>
      <c r="V980">
        <f ca="1" t="shared" si="29"/>
        <v>6.6</v>
      </c>
      <c r="AC980" s="2"/>
      <c r="AD980" t="str">
        <f>IFERROR(__xludf.DUMMYFUNCTION("""COMPUTED_VALUE"""),"Mamma Mia! ")</f>
        <v>Mamma Mia! </v>
      </c>
      <c r="AE980">
        <f t="shared" si="30"/>
        <v>143704102</v>
      </c>
    </row>
    <row r="981" customHeight="1" spans="1:31">
      <c r="A981" s="2" t="s">
        <v>510</v>
      </c>
      <c r="B981" s="2">
        <v>120</v>
      </c>
      <c r="C981" s="2">
        <v>31569268</v>
      </c>
      <c r="D981" s="2" t="s">
        <v>2277</v>
      </c>
      <c r="E981" s="2" t="s">
        <v>12</v>
      </c>
      <c r="F981" t="s">
        <v>14</v>
      </c>
      <c r="G981" t="s">
        <v>17</v>
      </c>
      <c r="H981" t="s">
        <v>17</v>
      </c>
      <c r="N981" s="2" t="s">
        <v>18</v>
      </c>
      <c r="O981" s="2" t="s">
        <v>19</v>
      </c>
      <c r="P981" s="2">
        <v>49000000</v>
      </c>
      <c r="Q981" s="2">
        <v>6.9</v>
      </c>
      <c r="R981" s="2" t="s">
        <v>2278</v>
      </c>
      <c r="S981" s="2"/>
      <c r="U981" s="2" t="s">
        <v>2279</v>
      </c>
      <c r="V981">
        <f ca="1" t="shared" si="29"/>
        <v>4.5</v>
      </c>
      <c r="AC981" s="2"/>
      <c r="AD981" t="str">
        <f>IFERROR(__xludf.DUMMYFUNCTION("""COMPUTED_VALUE"""),"Valentine's Day ")</f>
        <v>Valentine's Day </v>
      </c>
      <c r="AE981">
        <f t="shared" si="30"/>
        <v>110476651</v>
      </c>
    </row>
    <row r="982" customHeight="1" spans="1:31">
      <c r="A982" s="2" t="s">
        <v>447</v>
      </c>
      <c r="B982" s="2">
        <v>118</v>
      </c>
      <c r="C982" s="2">
        <v>66488090</v>
      </c>
      <c r="D982" s="2" t="s">
        <v>814</v>
      </c>
      <c r="E982" s="2" t="s">
        <v>56</v>
      </c>
      <c r="F982" t="s">
        <v>56</v>
      </c>
      <c r="G982" t="s">
        <v>30</v>
      </c>
      <c r="H982" t="s">
        <v>24</v>
      </c>
      <c r="N982" s="2" t="s">
        <v>18</v>
      </c>
      <c r="O982" s="2" t="s">
        <v>19</v>
      </c>
      <c r="P982" s="2">
        <v>48000000</v>
      </c>
      <c r="Q982" s="2">
        <v>6.7</v>
      </c>
      <c r="R982" s="2" t="s">
        <v>2280</v>
      </c>
      <c r="S982" s="2"/>
      <c r="U982" s="2" t="s">
        <v>2281</v>
      </c>
      <c r="V982">
        <f ca="1" t="shared" si="29"/>
        <v>7.6</v>
      </c>
      <c r="AC982" s="2"/>
      <c r="AD982" t="str">
        <f>IFERROR(__xludf.DUMMYFUNCTION("""COMPUTED_VALUE"""),"The Dukes of Hazzard ")</f>
        <v>The Dukes of Hazzard </v>
      </c>
      <c r="AE982">
        <f t="shared" si="30"/>
        <v>80270120</v>
      </c>
    </row>
    <row r="983" customHeight="1" spans="1:31">
      <c r="A983" s="2" t="s">
        <v>265</v>
      </c>
      <c r="B983" s="2">
        <v>112</v>
      </c>
      <c r="C983" s="2">
        <v>95308367</v>
      </c>
      <c r="D983" s="2" t="s">
        <v>805</v>
      </c>
      <c r="E983" s="2" t="s">
        <v>56</v>
      </c>
      <c r="F983" t="s">
        <v>23</v>
      </c>
      <c r="G983" t="s">
        <v>56</v>
      </c>
      <c r="H983" t="s">
        <v>15</v>
      </c>
      <c r="N983" s="2" t="s">
        <v>18</v>
      </c>
      <c r="O983" s="2" t="s">
        <v>19</v>
      </c>
      <c r="P983" s="2">
        <v>48000000</v>
      </c>
      <c r="Q983" s="2">
        <v>6.8</v>
      </c>
      <c r="R983" s="2" t="s">
        <v>2282</v>
      </c>
      <c r="S983" s="2"/>
      <c r="U983" s="2" t="s">
        <v>2283</v>
      </c>
      <c r="V983">
        <f ca="1" t="shared" si="29"/>
        <v>5.6</v>
      </c>
      <c r="AC983" s="2"/>
      <c r="AD983" t="str">
        <f>IFERROR(__xludf.DUMMYFUNCTION("""COMPUTED_VALUE"""),"The Thin Red Line ")</f>
        <v>The Thin Red Line </v>
      </c>
      <c r="AE983">
        <f t="shared" si="30"/>
        <v>36385548</v>
      </c>
    </row>
    <row r="984" customHeight="1" spans="1:31">
      <c r="A984" s="2" t="s">
        <v>1091</v>
      </c>
      <c r="B984" s="2">
        <v>114</v>
      </c>
      <c r="C984" s="2">
        <v>60652036</v>
      </c>
      <c r="D984" s="2" t="s">
        <v>2284</v>
      </c>
      <c r="E984" s="2" t="s">
        <v>12</v>
      </c>
      <c r="F984" t="s">
        <v>56</v>
      </c>
      <c r="G984" t="s">
        <v>17</v>
      </c>
      <c r="H984" t="s">
        <v>15</v>
      </c>
      <c r="N984" s="2" t="s">
        <v>18</v>
      </c>
      <c r="O984" s="2" t="s">
        <v>19</v>
      </c>
      <c r="P984" s="2">
        <v>48000000</v>
      </c>
      <c r="Q984" s="2">
        <v>7.1</v>
      </c>
      <c r="R984" s="2" t="s">
        <v>2285</v>
      </c>
      <c r="S984" s="2"/>
      <c r="U984" s="2" t="s">
        <v>2286</v>
      </c>
      <c r="V984">
        <f ca="1" t="shared" si="29"/>
        <v>5.7</v>
      </c>
      <c r="AC984" s="2"/>
      <c r="AD984" t="str">
        <f>IFERROR(__xludf.DUMMYFUNCTION("""COMPUTED_VALUE"""),"The Change-Up ")</f>
        <v>The Change-Up </v>
      </c>
      <c r="AE984">
        <f t="shared" si="30"/>
        <v>37035727</v>
      </c>
    </row>
    <row r="985" customHeight="1" spans="1:31">
      <c r="A985" s="2" t="s">
        <v>756</v>
      </c>
      <c r="B985" s="2">
        <v>137</v>
      </c>
      <c r="C985" s="2">
        <v>1206135</v>
      </c>
      <c r="D985" s="2" t="s">
        <v>805</v>
      </c>
      <c r="E985" s="2" t="s">
        <v>56</v>
      </c>
      <c r="F985" t="s">
        <v>40</v>
      </c>
      <c r="G985" t="s">
        <v>72</v>
      </c>
      <c r="H985" t="s">
        <v>83</v>
      </c>
      <c r="N985" s="2" t="s">
        <v>18</v>
      </c>
      <c r="O985" s="2" t="s">
        <v>2287</v>
      </c>
      <c r="P985" s="2">
        <v>50000000</v>
      </c>
      <c r="Q985" s="2">
        <v>6.4</v>
      </c>
      <c r="R985" s="2" t="s">
        <v>2288</v>
      </c>
      <c r="S985" s="2"/>
      <c r="U985" s="2" t="s">
        <v>2289</v>
      </c>
      <c r="V985">
        <f ca="1" t="shared" si="29"/>
        <v>6.86666666666667</v>
      </c>
      <c r="AC985" s="2"/>
      <c r="AD985" t="str">
        <f>IFERROR(__xludf.DUMMYFUNCTION("""COMPUTED_VALUE"""),"Man on the Moon ")</f>
        <v>Man on the Moon </v>
      </c>
      <c r="AE985">
        <f t="shared" si="30"/>
        <v>34580517</v>
      </c>
    </row>
    <row r="986" customHeight="1" spans="1:31">
      <c r="A986" s="2" t="s">
        <v>892</v>
      </c>
      <c r="B986" s="2">
        <v>112</v>
      </c>
      <c r="C986" s="2">
        <v>56607223</v>
      </c>
      <c r="D986" s="2" t="s">
        <v>1716</v>
      </c>
      <c r="E986" s="2" t="s">
        <v>13</v>
      </c>
      <c r="F986" t="s">
        <v>13</v>
      </c>
      <c r="G986" t="s">
        <v>24</v>
      </c>
      <c r="H986" t="s">
        <v>17</v>
      </c>
      <c r="N986" s="2" t="s">
        <v>18</v>
      </c>
      <c r="O986" s="2" t="s">
        <v>121</v>
      </c>
      <c r="P986" s="2">
        <v>48000000</v>
      </c>
      <c r="Q986" s="2">
        <v>6.4</v>
      </c>
      <c r="R986" s="2" t="s">
        <v>2290</v>
      </c>
      <c r="S986" s="2"/>
      <c r="U986" s="2" t="s">
        <v>2291</v>
      </c>
      <c r="V986">
        <f ca="1" t="shared" si="29"/>
        <v>1.9</v>
      </c>
      <c r="AC986" s="2"/>
      <c r="AD986" t="str">
        <f>IFERROR(__xludf.DUMMYFUNCTION("""COMPUTED_VALUE"""),"Casino ")</f>
        <v>Casino </v>
      </c>
      <c r="AE986">
        <f t="shared" si="30"/>
        <v>42438122</v>
      </c>
    </row>
    <row r="987" customHeight="1" spans="1:31">
      <c r="A987" s="2" t="s">
        <v>1142</v>
      </c>
      <c r="B987" s="2">
        <v>120</v>
      </c>
      <c r="C987" s="2">
        <v>50173190</v>
      </c>
      <c r="D987" s="2" t="s">
        <v>2292</v>
      </c>
      <c r="E987" s="2" t="s">
        <v>30</v>
      </c>
      <c r="F987" t="s">
        <v>23</v>
      </c>
      <c r="G987" t="s">
        <v>17</v>
      </c>
      <c r="H987" t="s">
        <v>24</v>
      </c>
      <c r="N987" s="2" t="s">
        <v>18</v>
      </c>
      <c r="O987" s="2" t="s">
        <v>19</v>
      </c>
      <c r="P987" s="2">
        <v>48000000</v>
      </c>
      <c r="Q987" s="2">
        <v>7.4</v>
      </c>
      <c r="R987" s="2" t="s">
        <v>2293</v>
      </c>
      <c r="S987" s="2"/>
      <c r="U987" s="2" t="s">
        <v>2294</v>
      </c>
      <c r="V987">
        <f ca="1" t="shared" si="29"/>
        <v>6.1</v>
      </c>
      <c r="AC987" s="2"/>
      <c r="AD987" t="str">
        <f>IFERROR(__xludf.DUMMYFUNCTION("""COMPUTED_VALUE"""),"From Paris with Love ")</f>
        <v>From Paris with Love </v>
      </c>
      <c r="AE987">
        <f t="shared" si="30"/>
        <v>23324574</v>
      </c>
    </row>
    <row r="988" customHeight="1" spans="1:31">
      <c r="A988" s="2" t="s">
        <v>523</v>
      </c>
      <c r="B988" s="2">
        <v>123</v>
      </c>
      <c r="C988" s="2">
        <v>47095453</v>
      </c>
      <c r="D988" s="2" t="s">
        <v>1456</v>
      </c>
      <c r="E988" s="2" t="s">
        <v>40</v>
      </c>
      <c r="F988" t="s">
        <v>30</v>
      </c>
      <c r="G988" t="s">
        <v>55</v>
      </c>
      <c r="H988" t="s">
        <v>24</v>
      </c>
      <c r="N988" s="2" t="s">
        <v>18</v>
      </c>
      <c r="O988" s="2" t="s">
        <v>19</v>
      </c>
      <c r="P988" s="2">
        <v>48000000</v>
      </c>
      <c r="Q988" s="2">
        <v>6.4</v>
      </c>
      <c r="R988" s="2" t="s">
        <v>2295</v>
      </c>
      <c r="S988" s="2"/>
      <c r="U988" s="2" t="s">
        <v>2296</v>
      </c>
      <c r="V988">
        <f ca="1" t="shared" si="29"/>
        <v>4.8</v>
      </c>
      <c r="AC988" s="2"/>
      <c r="AD988" t="str">
        <f>IFERROR(__xludf.DUMMYFUNCTION("""COMPUTED_VALUE"""),"Bulletproof Monk ")</f>
        <v>Bulletproof Monk </v>
      </c>
      <c r="AE988">
        <f t="shared" si="30"/>
        <v>23020384</v>
      </c>
    </row>
    <row r="989" customHeight="1" spans="1:31">
      <c r="A989" s="2" t="s">
        <v>1108</v>
      </c>
      <c r="B989" s="2">
        <v>93</v>
      </c>
      <c r="C989" s="2">
        <v>37879996</v>
      </c>
      <c r="D989" s="2" t="s">
        <v>1456</v>
      </c>
      <c r="E989" s="2" t="s">
        <v>40</v>
      </c>
      <c r="F989" t="s">
        <v>30</v>
      </c>
      <c r="G989" t="s">
        <v>17</v>
      </c>
      <c r="H989" t="s">
        <v>24</v>
      </c>
      <c r="N989" s="2" t="s">
        <v>18</v>
      </c>
      <c r="O989" s="2" t="s">
        <v>19</v>
      </c>
      <c r="P989" s="2">
        <v>48000000</v>
      </c>
      <c r="Q989" s="2">
        <v>6</v>
      </c>
      <c r="R989" s="2" t="s">
        <v>2297</v>
      </c>
      <c r="S989" s="2"/>
      <c r="U989" s="2" t="s">
        <v>2298</v>
      </c>
      <c r="V989">
        <f ca="1" t="shared" si="29"/>
        <v>7.1</v>
      </c>
      <c r="AC989" s="2"/>
      <c r="AD989" t="str">
        <f>IFERROR(__xludf.DUMMYFUNCTION("""COMPUTED_VALUE"""),"Me, Myself &amp; Irene ")</f>
        <v>Me, Myself &amp; Irene </v>
      </c>
      <c r="AE989">
        <f t="shared" si="30"/>
        <v>90567606</v>
      </c>
    </row>
    <row r="990" customHeight="1" spans="1:31">
      <c r="A990" s="2" t="s">
        <v>1218</v>
      </c>
      <c r="B990" s="2">
        <v>123</v>
      </c>
      <c r="C990" s="2">
        <v>25900000</v>
      </c>
      <c r="D990" s="2" t="s">
        <v>2299</v>
      </c>
      <c r="E990" s="2" t="s">
        <v>56</v>
      </c>
      <c r="F990" t="s">
        <v>40</v>
      </c>
      <c r="G990" t="s">
        <v>30</v>
      </c>
      <c r="H990" t="s">
        <v>39</v>
      </c>
      <c r="N990" s="2" t="s">
        <v>18</v>
      </c>
      <c r="O990" s="2" t="s">
        <v>19</v>
      </c>
      <c r="P990" s="2">
        <v>58000000</v>
      </c>
      <c r="Q990" s="2">
        <v>6.5</v>
      </c>
      <c r="R990" s="2" t="s">
        <v>2300</v>
      </c>
      <c r="S990" s="2"/>
      <c r="U990" s="2" t="s">
        <v>2301</v>
      </c>
      <c r="V990">
        <f ca="1" t="shared" si="29"/>
        <v>6.4</v>
      </c>
      <c r="AC990" s="2"/>
      <c r="AD990" t="str">
        <f>IFERROR(__xludf.DUMMYFUNCTION("""COMPUTED_VALUE"""),"Barnyard ")</f>
        <v>Barnyard </v>
      </c>
      <c r="AE990">
        <f t="shared" si="30"/>
        <v>72601623</v>
      </c>
    </row>
    <row r="991" customHeight="1" spans="1:31">
      <c r="A991" s="2" t="s">
        <v>523</v>
      </c>
      <c r="B991" s="2">
        <v>122</v>
      </c>
      <c r="C991" s="2">
        <v>53574088</v>
      </c>
      <c r="D991" s="2" t="s">
        <v>2302</v>
      </c>
      <c r="E991" s="2" t="s">
        <v>13</v>
      </c>
      <c r="F991" t="s">
        <v>24</v>
      </c>
      <c r="G991" t="s">
        <v>40</v>
      </c>
      <c r="H991" t="s">
        <v>15</v>
      </c>
      <c r="N991" s="2" t="s">
        <v>18</v>
      </c>
      <c r="O991" s="2" t="s">
        <v>19</v>
      </c>
      <c r="P991" s="2">
        <v>55000000</v>
      </c>
      <c r="Q991" s="2">
        <v>7.8</v>
      </c>
      <c r="R991" s="2" t="s">
        <v>2303</v>
      </c>
      <c r="S991" s="2"/>
      <c r="U991" s="2" t="s">
        <v>2304</v>
      </c>
      <c r="V991">
        <f ca="1" t="shared" si="29"/>
        <v>6.6</v>
      </c>
      <c r="AC991" s="2"/>
      <c r="AD991" t="str">
        <f>IFERROR(__xludf.DUMMYFUNCTION("""COMPUTED_VALUE"""),"The Twilight Saga: New Moon ")</f>
        <v>The Twilight Saga: New Moon </v>
      </c>
      <c r="AE991">
        <f t="shared" si="30"/>
        <v>296623504</v>
      </c>
    </row>
    <row r="992" customHeight="1" spans="1:31">
      <c r="A992" s="2" t="s">
        <v>1367</v>
      </c>
      <c r="B992" s="2">
        <v>115</v>
      </c>
      <c r="C992" s="2">
        <v>89253340</v>
      </c>
      <c r="D992" s="2" t="s">
        <v>34</v>
      </c>
      <c r="E992" s="2" t="s">
        <v>12</v>
      </c>
      <c r="F992" t="s">
        <v>17</v>
      </c>
      <c r="G992" t="s">
        <v>28</v>
      </c>
      <c r="H992" t="s">
        <v>28</v>
      </c>
      <c r="N992" s="2" t="s">
        <v>18</v>
      </c>
      <c r="O992" s="2" t="s">
        <v>707</v>
      </c>
      <c r="P992" s="2">
        <v>48000000</v>
      </c>
      <c r="Q992" s="2">
        <v>6</v>
      </c>
      <c r="R992" s="2" t="s">
        <v>2305</v>
      </c>
      <c r="S992" s="2"/>
      <c r="U992" s="2" t="s">
        <v>2306</v>
      </c>
      <c r="V992">
        <f ca="1" t="shared" si="29"/>
        <v>5.53333333333333</v>
      </c>
      <c r="AC992" s="2"/>
      <c r="AD992" t="str">
        <f>IFERROR(__xludf.DUMMYFUNCTION("""COMPUTED_VALUE"""),"Shrek ")</f>
        <v>Shrek </v>
      </c>
      <c r="AE992">
        <f t="shared" si="30"/>
        <v>267651926</v>
      </c>
    </row>
    <row r="993" customHeight="1" spans="1:31">
      <c r="A993" s="2" t="s">
        <v>556</v>
      </c>
      <c r="B993" s="2">
        <v>123</v>
      </c>
      <c r="C993" s="2">
        <v>37339525</v>
      </c>
      <c r="D993" s="2" t="s">
        <v>2171</v>
      </c>
      <c r="E993" s="2" t="s">
        <v>56</v>
      </c>
      <c r="F993" t="s">
        <v>30</v>
      </c>
      <c r="G993" t="s">
        <v>56</v>
      </c>
      <c r="H993" t="s">
        <v>24</v>
      </c>
      <c r="N993" s="2" t="s">
        <v>18</v>
      </c>
      <c r="O993" s="2" t="s">
        <v>19</v>
      </c>
      <c r="P993" s="2">
        <v>48000000</v>
      </c>
      <c r="Q993" s="2">
        <v>7</v>
      </c>
      <c r="R993" s="2" t="s">
        <v>2307</v>
      </c>
      <c r="S993" s="2"/>
      <c r="U993" s="2" t="s">
        <v>2308</v>
      </c>
      <c r="V993">
        <f ca="1" t="shared" si="29"/>
        <v>5</v>
      </c>
      <c r="AC993" s="2"/>
      <c r="AD993" t="str">
        <f>IFERROR(__xludf.DUMMYFUNCTION("""COMPUTED_VALUE"""),"The Adjustment Bureau ")</f>
        <v>The Adjustment Bureau </v>
      </c>
      <c r="AE993">
        <f t="shared" si="30"/>
        <v>62453209</v>
      </c>
    </row>
    <row r="994" customHeight="1" spans="1:31">
      <c r="A994" s="2" t="s">
        <v>714</v>
      </c>
      <c r="B994" s="2">
        <v>96</v>
      </c>
      <c r="C994" s="2">
        <v>60154431</v>
      </c>
      <c r="D994" s="2" t="s">
        <v>2309</v>
      </c>
      <c r="E994" s="2" t="s">
        <v>40</v>
      </c>
      <c r="F994" t="s">
        <v>30</v>
      </c>
      <c r="G994" t="s">
        <v>55</v>
      </c>
      <c r="H994" t="s">
        <v>83</v>
      </c>
      <c r="N994" s="2" t="s">
        <v>18</v>
      </c>
      <c r="O994" s="2" t="s">
        <v>19</v>
      </c>
      <c r="P994" s="2">
        <v>47000000</v>
      </c>
      <c r="Q994" s="2">
        <v>6</v>
      </c>
      <c r="R994" s="2" t="s">
        <v>2310</v>
      </c>
      <c r="S994" s="2"/>
      <c r="U994" s="2" t="s">
        <v>2311</v>
      </c>
      <c r="V994">
        <f ca="1" t="shared" si="29"/>
        <v>4.3</v>
      </c>
      <c r="AC994" s="2"/>
      <c r="AD994" t="str">
        <f>IFERROR(__xludf.DUMMYFUNCTION("""COMPUTED_VALUE"""),"Robin Hood: Prince of Thieves ")</f>
        <v>Robin Hood: Prince of Thieves </v>
      </c>
      <c r="AE994">
        <f t="shared" si="30"/>
        <v>165499845</v>
      </c>
    </row>
    <row r="995" customHeight="1" spans="1:31">
      <c r="A995" s="2" t="s">
        <v>1370</v>
      </c>
      <c r="B995" s="2">
        <v>105</v>
      </c>
      <c r="C995" s="2">
        <v>103738726</v>
      </c>
      <c r="D995" s="2" t="s">
        <v>2312</v>
      </c>
      <c r="E995" s="2" t="s">
        <v>12</v>
      </c>
      <c r="F995" t="s">
        <v>40</v>
      </c>
      <c r="G995" t="s">
        <v>24</v>
      </c>
      <c r="H995" t="s">
        <v>17</v>
      </c>
      <c r="N995" s="2" t="s">
        <v>18</v>
      </c>
      <c r="O995" s="2" t="s">
        <v>19</v>
      </c>
      <c r="P995" s="2">
        <v>100000000</v>
      </c>
      <c r="Q995" s="2">
        <v>6.1</v>
      </c>
      <c r="R995" s="2" t="s">
        <v>2313</v>
      </c>
      <c r="S995" s="2"/>
      <c r="U995" s="2" t="s">
        <v>2314</v>
      </c>
      <c r="V995">
        <f ca="1" t="shared" si="29"/>
        <v>6.5</v>
      </c>
      <c r="AC995" s="2"/>
      <c r="AD995" t="str">
        <f>IFERROR(__xludf.DUMMYFUNCTION("""COMPUTED_VALUE"""),"Jerry Maguire ")</f>
        <v>Jerry Maguire </v>
      </c>
      <c r="AE995">
        <f t="shared" si="30"/>
        <v>153620683</v>
      </c>
    </row>
    <row r="996" customHeight="1" spans="1:31">
      <c r="A996" s="2" t="s">
        <v>485</v>
      </c>
      <c r="B996" s="2">
        <v>113</v>
      </c>
      <c r="C996" s="2">
        <v>69304264</v>
      </c>
      <c r="D996" s="2" t="s">
        <v>2315</v>
      </c>
      <c r="E996" s="2" t="s">
        <v>56</v>
      </c>
      <c r="F996" t="s">
        <v>40</v>
      </c>
      <c r="G996" t="s">
        <v>30</v>
      </c>
      <c r="H996" t="s">
        <v>14</v>
      </c>
      <c r="N996" s="2" t="s">
        <v>18</v>
      </c>
      <c r="O996" s="2" t="s">
        <v>19</v>
      </c>
      <c r="P996" s="2">
        <v>48000000</v>
      </c>
      <c r="Q996" s="2">
        <v>6.8</v>
      </c>
      <c r="R996" s="2" t="s">
        <v>2316</v>
      </c>
      <c r="S996" s="2"/>
      <c r="U996" s="2" t="s">
        <v>2317</v>
      </c>
      <c r="V996">
        <f ca="1" t="shared" si="29"/>
        <v>6.68</v>
      </c>
      <c r="AC996" s="2"/>
      <c r="AD996" t="str">
        <f>IFERROR(__xludf.DUMMYFUNCTION("""COMPUTED_VALUE"""),"Ted ")</f>
        <v>Ted </v>
      </c>
      <c r="AE996">
        <f t="shared" si="30"/>
        <v>218628568</v>
      </c>
    </row>
    <row r="997" customHeight="1" spans="1:31">
      <c r="A997" s="2" t="s">
        <v>1373</v>
      </c>
      <c r="B997" s="2">
        <v>132</v>
      </c>
      <c r="C997" s="2">
        <v>29781453</v>
      </c>
      <c r="D997" s="2" t="s">
        <v>1694</v>
      </c>
      <c r="E997" s="2" t="s">
        <v>59</v>
      </c>
      <c r="F997" t="s">
        <v>72</v>
      </c>
      <c r="G997" t="s">
        <v>40</v>
      </c>
      <c r="H997" t="s">
        <v>28</v>
      </c>
      <c r="N997" s="2" t="s">
        <v>18</v>
      </c>
      <c r="O997" s="2" t="s">
        <v>19</v>
      </c>
      <c r="P997" s="2">
        <v>48000000</v>
      </c>
      <c r="Q997" s="2">
        <v>6.4</v>
      </c>
      <c r="R997" s="2" t="s">
        <v>2318</v>
      </c>
      <c r="S997" s="2"/>
      <c r="U997" s="2" t="s">
        <v>2319</v>
      </c>
      <c r="V997">
        <f ca="1" t="shared" si="29"/>
        <v>6.45</v>
      </c>
      <c r="AC997" s="2"/>
      <c r="AD997" t="str">
        <f>IFERROR(__xludf.DUMMYFUNCTION("""COMPUTED_VALUE"""),"As Good as It Gets ")</f>
        <v>As Good as It Gets </v>
      </c>
      <c r="AE997">
        <f t="shared" si="30"/>
        <v>147637335</v>
      </c>
    </row>
    <row r="998" customHeight="1" spans="1:31">
      <c r="A998" s="2" t="s">
        <v>1375</v>
      </c>
      <c r="B998" s="2">
        <v>75</v>
      </c>
      <c r="C998" s="2">
        <v>15519841</v>
      </c>
      <c r="D998" s="2" t="s">
        <v>124</v>
      </c>
      <c r="E998" s="2" t="s">
        <v>13</v>
      </c>
      <c r="F998" t="s">
        <v>39</v>
      </c>
      <c r="G998" t="s">
        <v>40</v>
      </c>
      <c r="H998" t="s">
        <v>23</v>
      </c>
      <c r="N998" s="2" t="s">
        <v>18</v>
      </c>
      <c r="O998" s="2" t="s">
        <v>19</v>
      </c>
      <c r="P998" s="2">
        <v>47000000</v>
      </c>
      <c r="Q998" s="2">
        <v>4.5</v>
      </c>
      <c r="R998" s="2" t="s">
        <v>2320</v>
      </c>
      <c r="S998" s="2"/>
      <c r="U998" s="2" t="s">
        <v>2321</v>
      </c>
      <c r="V998">
        <f ca="1" t="shared" si="29"/>
        <v>7</v>
      </c>
      <c r="AC998" s="2"/>
      <c r="AD998" t="str">
        <f>IFERROR(__xludf.DUMMYFUNCTION("""COMPUTED_VALUE"""),"Patch Adams ")</f>
        <v>Patch Adams </v>
      </c>
      <c r="AE998">
        <f t="shared" si="30"/>
        <v>135014853</v>
      </c>
    </row>
    <row r="999" customHeight="1" spans="1:31">
      <c r="A999" s="2" t="s">
        <v>1377</v>
      </c>
      <c r="B999" s="2">
        <v>108</v>
      </c>
      <c r="C999" s="2">
        <v>5600000</v>
      </c>
      <c r="D999" s="2" t="s">
        <v>1351</v>
      </c>
      <c r="E999" s="2" t="s">
        <v>30</v>
      </c>
      <c r="F999" t="s">
        <v>24</v>
      </c>
      <c r="G999" t="s">
        <v>15</v>
      </c>
      <c r="H999" t="s">
        <v>24</v>
      </c>
      <c r="N999" s="2" t="s">
        <v>18</v>
      </c>
      <c r="O999" s="2" t="s">
        <v>19</v>
      </c>
      <c r="P999" s="2">
        <v>47000000</v>
      </c>
      <c r="Q999" s="2">
        <v>5.8</v>
      </c>
      <c r="R999" s="2" t="s">
        <v>2322</v>
      </c>
      <c r="S999" s="2"/>
      <c r="U999" s="2" t="s">
        <v>2323</v>
      </c>
      <c r="V999">
        <f ca="1" t="shared" si="29"/>
        <v>6.86666666666667</v>
      </c>
      <c r="AC999" s="2"/>
      <c r="AD999" t="str">
        <f>IFERROR(__xludf.DUMMYFUNCTION("""COMPUTED_VALUE"""),"Anchorman 2: The Legend Continues ")</f>
        <v>Anchorman 2: The Legend Continues </v>
      </c>
      <c r="AE999">
        <f t="shared" si="30"/>
        <v>2175169</v>
      </c>
    </row>
    <row r="1000" customHeight="1" spans="1:31">
      <c r="A1000" s="2" t="s">
        <v>1380</v>
      </c>
      <c r="B1000" s="2">
        <v>105</v>
      </c>
      <c r="C1000" s="2">
        <v>126805112</v>
      </c>
      <c r="D1000" s="2" t="s">
        <v>607</v>
      </c>
      <c r="E1000" s="2" t="s">
        <v>40</v>
      </c>
      <c r="F1000" t="s">
        <v>13</v>
      </c>
      <c r="G1000" t="s">
        <v>23</v>
      </c>
      <c r="H1000" t="s">
        <v>17</v>
      </c>
      <c r="N1000" s="2" t="s">
        <v>18</v>
      </c>
      <c r="O1000" s="2" t="s">
        <v>19</v>
      </c>
      <c r="P1000" s="2">
        <v>46000000</v>
      </c>
      <c r="Q1000" s="2">
        <v>6.3</v>
      </c>
      <c r="R1000" s="2" t="s">
        <v>2324</v>
      </c>
      <c r="S1000" s="2"/>
      <c r="U1000" s="2" t="s">
        <v>2325</v>
      </c>
      <c r="V1000">
        <f ca="1" t="shared" si="29"/>
        <v>7</v>
      </c>
      <c r="AC1000" s="2"/>
      <c r="AD1000" t="str">
        <f>IFERROR(__xludf.DUMMYFUNCTION("""COMPUTED_VALUE"""),"Mr. Deeds ")</f>
        <v>Mr. Deeds </v>
      </c>
      <c r="AE1000">
        <f t="shared" si="30"/>
        <v>126203224</v>
      </c>
    </row>
    <row r="1001" customHeight="1" spans="1:31">
      <c r="A1001" s="2" t="s">
        <v>1268</v>
      </c>
      <c r="B1001" s="2">
        <v>102</v>
      </c>
      <c r="C1001" s="2">
        <v>93607673</v>
      </c>
      <c r="D1001" s="2" t="s">
        <v>607</v>
      </c>
      <c r="E1001" s="2" t="s">
        <v>40</v>
      </c>
      <c r="F1001" t="s">
        <v>30</v>
      </c>
      <c r="G1001" t="s">
        <v>17</v>
      </c>
      <c r="H1001" t="s">
        <v>17</v>
      </c>
      <c r="N1001" s="2" t="s">
        <v>18</v>
      </c>
      <c r="O1001" s="2" t="s">
        <v>19</v>
      </c>
      <c r="P1001" s="2">
        <v>48000000</v>
      </c>
      <c r="Q1001" s="2">
        <v>5.7</v>
      </c>
      <c r="R1001" s="2" t="s">
        <v>2326</v>
      </c>
      <c r="S1001" s="2"/>
      <c r="U1001" s="2" t="s">
        <v>2327</v>
      </c>
      <c r="V1001">
        <f ca="1" t="shared" si="29"/>
        <v>5</v>
      </c>
      <c r="AC1001" s="2"/>
      <c r="AD1001" t="str">
        <f>IFERROR(__xludf.DUMMYFUNCTION("""COMPUTED_VALUE"""),"Super 8 ")</f>
        <v>Super 8 </v>
      </c>
      <c r="AE1001">
        <f t="shared" si="30"/>
        <v>126975057</v>
      </c>
    </row>
    <row r="1002" customHeight="1" spans="1:31">
      <c r="A1002" s="2" t="s">
        <v>33</v>
      </c>
      <c r="B1002" s="2">
        <v>118</v>
      </c>
      <c r="C1002" s="2">
        <v>67263182</v>
      </c>
      <c r="D1002" s="2" t="s">
        <v>712</v>
      </c>
      <c r="E1002" s="2" t="s">
        <v>30</v>
      </c>
      <c r="F1002" t="s">
        <v>30</v>
      </c>
      <c r="G1002" t="s">
        <v>17</v>
      </c>
      <c r="H1002" t="s">
        <v>14</v>
      </c>
      <c r="N1002" s="2" t="s">
        <v>18</v>
      </c>
      <c r="O1002" s="2" t="s">
        <v>19</v>
      </c>
      <c r="P1002" s="2">
        <v>46000000</v>
      </c>
      <c r="Q1002" s="2">
        <v>7.2</v>
      </c>
      <c r="R1002" s="2" t="s">
        <v>2328</v>
      </c>
      <c r="S1002" s="2"/>
      <c r="U1002" s="2" t="s">
        <v>2329</v>
      </c>
      <c r="V1002">
        <f ca="1" t="shared" si="29"/>
        <v>6.9</v>
      </c>
      <c r="AC1002" s="2"/>
      <c r="AD1002" t="str">
        <f>IFERROR(__xludf.DUMMYFUNCTION("""COMPUTED_VALUE"""),"Erin Brockovich ")</f>
        <v>Erin Brockovich </v>
      </c>
      <c r="AE1002">
        <f t="shared" si="30"/>
        <v>125548554</v>
      </c>
    </row>
    <row r="1003" customHeight="1" spans="1:31">
      <c r="A1003" s="2" t="s">
        <v>934</v>
      </c>
      <c r="B1003" s="2">
        <v>111</v>
      </c>
      <c r="C1003" s="2">
        <v>92001027</v>
      </c>
      <c r="D1003" s="2" t="s">
        <v>2330</v>
      </c>
      <c r="E1003" s="2" t="s">
        <v>12</v>
      </c>
      <c r="F1003" t="s">
        <v>35</v>
      </c>
      <c r="G1003" t="s">
        <v>24</v>
      </c>
      <c r="H1003" t="s">
        <v>17</v>
      </c>
      <c r="N1003" s="2" t="s">
        <v>18</v>
      </c>
      <c r="O1003" s="2" t="s">
        <v>19</v>
      </c>
      <c r="P1003" s="2">
        <v>45000000</v>
      </c>
      <c r="Q1003" s="2">
        <v>7.6</v>
      </c>
      <c r="R1003" s="2" t="s">
        <v>2331</v>
      </c>
      <c r="S1003" s="2"/>
      <c r="U1003" s="2" t="s">
        <v>2332</v>
      </c>
      <c r="V1003">
        <f ca="1" t="shared" si="29"/>
        <v>8.4</v>
      </c>
      <c r="AC1003" s="2"/>
      <c r="AD1003" t="str">
        <f>IFERROR(__xludf.DUMMYFUNCTION("""COMPUTED_VALUE"""),"How to Lose a Guy in 10 Days ")</f>
        <v>How to Lose a Guy in 10 Days </v>
      </c>
      <c r="AE1003">
        <f t="shared" si="30"/>
        <v>105807404</v>
      </c>
    </row>
    <row r="1004" customHeight="1" spans="1:31">
      <c r="A1004" s="2" t="s">
        <v>1183</v>
      </c>
      <c r="B1004" s="2">
        <v>81</v>
      </c>
      <c r="C1004" s="2">
        <v>10539414</v>
      </c>
      <c r="D1004" s="2" t="s">
        <v>2333</v>
      </c>
      <c r="E1004" s="2" t="s">
        <v>12</v>
      </c>
      <c r="F1004" t="s">
        <v>28</v>
      </c>
      <c r="G1004" t="s">
        <v>14</v>
      </c>
      <c r="H1004" t="s">
        <v>29</v>
      </c>
      <c r="N1004" s="2" t="s">
        <v>18</v>
      </c>
      <c r="O1004" s="2" t="s">
        <v>19</v>
      </c>
      <c r="P1004" s="2">
        <v>47000000</v>
      </c>
      <c r="Q1004" s="2">
        <v>4.7</v>
      </c>
      <c r="R1004" s="2" t="s">
        <v>2334</v>
      </c>
      <c r="S1004" s="2"/>
      <c r="U1004" s="2" t="s">
        <v>2335</v>
      </c>
      <c r="V1004">
        <f ca="1" t="shared" si="29"/>
        <v>4.5</v>
      </c>
      <c r="AC1004" s="2"/>
      <c r="AD1004" t="str">
        <f>IFERROR(__xludf.DUMMYFUNCTION("""COMPUTED_VALUE"""),"22 Jump Street ")</f>
        <v>22 Jump Street </v>
      </c>
      <c r="AE1004">
        <f t="shared" si="30"/>
        <v>191616126</v>
      </c>
    </row>
    <row r="1005" customHeight="1" spans="1:31">
      <c r="A1005" s="2" t="s">
        <v>385</v>
      </c>
      <c r="B1005" s="2">
        <v>116</v>
      </c>
      <c r="C1005" s="2">
        <v>58918501</v>
      </c>
      <c r="D1005" s="2" t="s">
        <v>2336</v>
      </c>
      <c r="E1005" s="2" t="s">
        <v>12</v>
      </c>
      <c r="F1005" t="s">
        <v>56</v>
      </c>
      <c r="G1005" t="s">
        <v>30</v>
      </c>
      <c r="H1005" t="s">
        <v>24</v>
      </c>
      <c r="N1005" s="2" t="s">
        <v>18</v>
      </c>
      <c r="O1005" s="2" t="s">
        <v>19</v>
      </c>
      <c r="P1005" s="2">
        <v>46000000</v>
      </c>
      <c r="Q1005" s="2">
        <v>6.6</v>
      </c>
      <c r="R1005" s="2" t="s">
        <v>2337</v>
      </c>
      <c r="S1005" s="2"/>
      <c r="U1005" s="2" t="s">
        <v>2338</v>
      </c>
      <c r="V1005">
        <f ca="1" t="shared" si="29"/>
        <v>7.4</v>
      </c>
      <c r="AC1005" s="2"/>
      <c r="AD1005" t="str">
        <f>IFERROR(__xludf.DUMMYFUNCTION("""COMPUTED_VALUE"""),"Interview with the Vampire: The Vampire Chronicles ")</f>
        <v>Interview with the Vampire: The Vampire Chronicles </v>
      </c>
      <c r="AE1005">
        <f t="shared" si="30"/>
        <v>105264485</v>
      </c>
    </row>
    <row r="1006" customHeight="1" spans="1:31">
      <c r="A1006" s="2" t="s">
        <v>213</v>
      </c>
      <c r="B1006" s="2">
        <v>86</v>
      </c>
      <c r="C1006" s="2">
        <v>181395380</v>
      </c>
      <c r="D1006" s="2" t="s">
        <v>1456</v>
      </c>
      <c r="E1006" s="2" t="s">
        <v>40</v>
      </c>
      <c r="F1006" t="s">
        <v>30</v>
      </c>
      <c r="G1006" t="s">
        <v>28</v>
      </c>
      <c r="H1006" t="s">
        <v>24</v>
      </c>
      <c r="N1006" s="2" t="s">
        <v>18</v>
      </c>
      <c r="O1006" s="2" t="s">
        <v>19</v>
      </c>
      <c r="P1006" s="2">
        <v>45000000</v>
      </c>
      <c r="Q1006" s="2">
        <v>6.8</v>
      </c>
      <c r="R1006" s="2" t="s">
        <v>2339</v>
      </c>
      <c r="S1006" s="2"/>
      <c r="U1006" s="2" t="s">
        <v>2340</v>
      </c>
      <c r="V1006">
        <f ca="1" t="shared" si="29"/>
        <v>2.8</v>
      </c>
      <c r="AC1006" s="2"/>
      <c r="AD1006" t="str">
        <f>IFERROR(__xludf.DUMMYFUNCTION("""COMPUTED_VALUE"""),"Yes Man ")</f>
        <v>Yes Man </v>
      </c>
      <c r="AE1006">
        <f t="shared" si="30"/>
        <v>97680091</v>
      </c>
    </row>
    <row r="1007" customHeight="1" spans="1:31">
      <c r="A1007" s="2" t="s">
        <v>1382</v>
      </c>
      <c r="B1007" s="2">
        <v>127</v>
      </c>
      <c r="C1007" s="2">
        <v>14946229</v>
      </c>
      <c r="D1007" s="2" t="s">
        <v>2341</v>
      </c>
      <c r="E1007" s="2" t="s">
        <v>59</v>
      </c>
      <c r="F1007" t="s">
        <v>23</v>
      </c>
      <c r="G1007" t="s">
        <v>15</v>
      </c>
      <c r="H1007" t="s">
        <v>24</v>
      </c>
      <c r="N1007" s="2" t="s">
        <v>18</v>
      </c>
      <c r="O1007" s="2" t="s">
        <v>31</v>
      </c>
      <c r="P1007" s="2">
        <v>25000000</v>
      </c>
      <c r="Q1007" s="2">
        <v>7.3</v>
      </c>
      <c r="R1007" s="2" t="s">
        <v>2342</v>
      </c>
      <c r="S1007" s="2"/>
      <c r="U1007" s="2" t="s">
        <v>2343</v>
      </c>
      <c r="V1007">
        <f ca="1" t="shared" si="29"/>
        <v>5.3</v>
      </c>
      <c r="AC1007" s="2"/>
      <c r="AD1007" t="str">
        <f>IFERROR(__xludf.DUMMYFUNCTION("""COMPUTED_VALUE"""),"Central Intelligence ")</f>
        <v>Central Intelligence </v>
      </c>
      <c r="AE1007">
        <f t="shared" si="30"/>
        <v>126088770</v>
      </c>
    </row>
    <row r="1008" customHeight="1" spans="1:31">
      <c r="A1008" s="2" t="s">
        <v>1073</v>
      </c>
      <c r="B1008" s="2">
        <v>91</v>
      </c>
      <c r="C1008" s="2">
        <v>130512915</v>
      </c>
      <c r="D1008" s="2" t="s">
        <v>214</v>
      </c>
      <c r="E1008" s="2" t="s">
        <v>40</v>
      </c>
      <c r="F1008" t="s">
        <v>40</v>
      </c>
      <c r="G1008" t="s">
        <v>24</v>
      </c>
      <c r="H1008" t="s">
        <v>71</v>
      </c>
      <c r="N1008" s="2" t="s">
        <v>18</v>
      </c>
      <c r="O1008" s="2" t="s">
        <v>19</v>
      </c>
      <c r="P1008" s="2">
        <v>45000000</v>
      </c>
      <c r="Q1008" s="2">
        <v>4.8</v>
      </c>
      <c r="R1008" s="2" t="s">
        <v>2344</v>
      </c>
      <c r="S1008" s="2"/>
      <c r="U1008" s="2" t="s">
        <v>2345</v>
      </c>
      <c r="V1008">
        <f ca="1" t="shared" si="29"/>
        <v>6.55</v>
      </c>
      <c r="AC1008" s="2"/>
      <c r="AD1008" t="str">
        <f>IFERROR(__xludf.DUMMYFUNCTION("""COMPUTED_VALUE"""),"Stepmom ")</f>
        <v>Stepmom </v>
      </c>
      <c r="AE1008">
        <f t="shared" si="30"/>
        <v>91030703</v>
      </c>
    </row>
    <row r="1009" customHeight="1" spans="1:31">
      <c r="A1009" s="2" t="s">
        <v>1367</v>
      </c>
      <c r="B1009" s="2">
        <v>98</v>
      </c>
      <c r="C1009" s="2">
        <v>139852971</v>
      </c>
      <c r="D1009" s="2" t="s">
        <v>150</v>
      </c>
      <c r="E1009" s="2" t="s">
        <v>12</v>
      </c>
      <c r="F1009" t="s">
        <v>23</v>
      </c>
      <c r="G1009" t="s">
        <v>15</v>
      </c>
      <c r="H1009" t="s">
        <v>56</v>
      </c>
      <c r="N1009" s="2" t="s">
        <v>18</v>
      </c>
      <c r="O1009" s="2" t="s">
        <v>707</v>
      </c>
      <c r="P1009" s="2">
        <v>45000000</v>
      </c>
      <c r="Q1009" s="2">
        <v>6.3</v>
      </c>
      <c r="R1009" s="2" t="s">
        <v>2346</v>
      </c>
      <c r="S1009" s="2"/>
      <c r="U1009" s="2" t="s">
        <v>2347</v>
      </c>
      <c r="V1009">
        <f ca="1" t="shared" si="29"/>
        <v>6.4</v>
      </c>
      <c r="AC1009" s="2"/>
      <c r="AD1009" t="str">
        <f>IFERROR(__xludf.DUMMYFUNCTION("""COMPUTED_VALUE"""),"Daddy's Home ")</f>
        <v>Daddy's Home </v>
      </c>
      <c r="AE1009">
        <f t="shared" si="30"/>
        <v>150315059</v>
      </c>
    </row>
    <row r="1010" customHeight="1" spans="1:31">
      <c r="A1010" s="2" t="s">
        <v>1385</v>
      </c>
      <c r="B1010" s="2">
        <v>84</v>
      </c>
      <c r="C1010" s="2">
        <v>110000082</v>
      </c>
      <c r="D1010" s="2" t="s">
        <v>40</v>
      </c>
      <c r="E1010" s="2" t="s">
        <v>40</v>
      </c>
      <c r="F1010" t="s">
        <v>72</v>
      </c>
      <c r="G1010" t="s">
        <v>24</v>
      </c>
      <c r="H1010" t="s">
        <v>24</v>
      </c>
      <c r="N1010" s="2" t="s">
        <v>18</v>
      </c>
      <c r="O1010" s="2" t="s">
        <v>19</v>
      </c>
      <c r="P1010" s="2">
        <v>48000000</v>
      </c>
      <c r="Q1010" s="2">
        <v>5.5</v>
      </c>
      <c r="R1010" s="2" t="s">
        <v>2348</v>
      </c>
      <c r="S1010" s="2"/>
      <c r="U1010" s="2" t="s">
        <v>2349</v>
      </c>
      <c r="V1010">
        <f ca="1" t="shared" si="29"/>
        <v>5.4</v>
      </c>
      <c r="AC1010" s="2"/>
      <c r="AD1010" t="str">
        <f>IFERROR(__xludf.DUMMYFUNCTION("""COMPUTED_VALUE"""),"Into the Woods ")</f>
        <v>Into the Woods </v>
      </c>
      <c r="AE1010">
        <f t="shared" si="30"/>
        <v>127997224</v>
      </c>
    </row>
    <row r="1011" customHeight="1" spans="1:31">
      <c r="A1011" s="2" t="s">
        <v>1111</v>
      </c>
      <c r="B1011" s="2">
        <v>109</v>
      </c>
      <c r="C1011" s="2">
        <v>106807667</v>
      </c>
      <c r="D1011" s="2" t="s">
        <v>2350</v>
      </c>
      <c r="E1011" s="2" t="s">
        <v>12</v>
      </c>
      <c r="F1011" t="s">
        <v>17</v>
      </c>
      <c r="G1011" t="s">
        <v>40</v>
      </c>
      <c r="H1011" t="s">
        <v>17</v>
      </c>
      <c r="N1011" s="2" t="s">
        <v>18</v>
      </c>
      <c r="O1011" s="2" t="s">
        <v>19</v>
      </c>
      <c r="P1011" s="2">
        <v>45000000</v>
      </c>
      <c r="Q1011" s="2">
        <v>6.2</v>
      </c>
      <c r="R1011" s="2" t="s">
        <v>2351</v>
      </c>
      <c r="S1011" s="2"/>
      <c r="U1011" s="2" t="s">
        <v>2352</v>
      </c>
      <c r="V1011">
        <f ca="1" t="shared" si="29"/>
        <v>6.85</v>
      </c>
      <c r="AC1011" s="2"/>
      <c r="AD1011" t="str">
        <f>IFERROR(__xludf.DUMMYFUNCTION("""COMPUTED_VALUE"""),"Inside Man ")</f>
        <v>Inside Man </v>
      </c>
      <c r="AE1011">
        <f t="shared" si="30"/>
        <v>88504511</v>
      </c>
    </row>
    <row r="1012" customHeight="1" spans="1:31">
      <c r="A1012" s="2" t="s">
        <v>818</v>
      </c>
      <c r="B1012" s="2">
        <v>93</v>
      </c>
      <c r="C1012" s="2">
        <v>101702060</v>
      </c>
      <c r="D1012" s="2" t="s">
        <v>2353</v>
      </c>
      <c r="E1012" s="2" t="s">
        <v>12</v>
      </c>
      <c r="F1012" t="s">
        <v>40</v>
      </c>
      <c r="G1012" t="s">
        <v>30</v>
      </c>
      <c r="H1012" t="s">
        <v>17</v>
      </c>
      <c r="N1012" s="2" t="s">
        <v>18</v>
      </c>
      <c r="O1012" s="2" t="s">
        <v>19</v>
      </c>
      <c r="P1012" s="2">
        <v>45000000</v>
      </c>
      <c r="Q1012" s="2">
        <v>5.8</v>
      </c>
      <c r="R1012" s="2" t="s">
        <v>2354</v>
      </c>
      <c r="S1012" s="2"/>
      <c r="U1012" s="2" t="s">
        <v>2355</v>
      </c>
      <c r="V1012">
        <f ca="1" t="shared" si="29"/>
        <v>6.5</v>
      </c>
      <c r="AC1012" s="2"/>
      <c r="AD1012" t="str">
        <f>IFERROR(__xludf.DUMMYFUNCTION("""COMPUTED_VALUE"""),"Payback ")</f>
        <v>Payback </v>
      </c>
      <c r="AE1012">
        <f t="shared" si="30"/>
        <v>81517351</v>
      </c>
    </row>
    <row r="1013" customHeight="1" spans="1:31">
      <c r="A1013" s="2" t="s">
        <v>923</v>
      </c>
      <c r="B1013" s="2">
        <v>113</v>
      </c>
      <c r="C1013" s="2">
        <v>95149435</v>
      </c>
      <c r="D1013" s="2" t="s">
        <v>1061</v>
      </c>
      <c r="E1013" s="2" t="s">
        <v>40</v>
      </c>
      <c r="F1013" t="s">
        <v>13</v>
      </c>
      <c r="G1013" t="s">
        <v>23</v>
      </c>
      <c r="H1013" t="s">
        <v>24</v>
      </c>
      <c r="N1013" s="2" t="s">
        <v>18</v>
      </c>
      <c r="O1013" s="2" t="s">
        <v>19</v>
      </c>
      <c r="P1013" s="2">
        <v>40000000</v>
      </c>
      <c r="Q1013" s="2">
        <v>5.7</v>
      </c>
      <c r="R1013" s="2" t="s">
        <v>2356</v>
      </c>
      <c r="S1013" s="2"/>
      <c r="U1013" s="2" t="s">
        <v>2357</v>
      </c>
      <c r="V1013">
        <f ca="1" t="shared" si="29"/>
        <v>6.5</v>
      </c>
      <c r="AC1013" s="2"/>
      <c r="AD1013" t="str">
        <f>IFERROR(__xludf.DUMMYFUNCTION("""COMPUTED_VALUE"""),"Congo ")</f>
        <v>Congo </v>
      </c>
      <c r="AE1013">
        <f t="shared" si="30"/>
        <v>81022224</v>
      </c>
    </row>
    <row r="1014" customHeight="1" spans="1:31">
      <c r="A1014" s="2" t="s">
        <v>737</v>
      </c>
      <c r="B1014" s="2">
        <v>141</v>
      </c>
      <c r="C1014" s="2">
        <v>100768056</v>
      </c>
      <c r="D1014" s="2" t="s">
        <v>814</v>
      </c>
      <c r="E1014" s="2" t="s">
        <v>56</v>
      </c>
      <c r="F1014" t="s">
        <v>23</v>
      </c>
      <c r="G1014" t="s">
        <v>24</v>
      </c>
      <c r="H1014" t="s">
        <v>55</v>
      </c>
      <c r="N1014" s="2" t="s">
        <v>18</v>
      </c>
      <c r="O1014" s="2" t="s">
        <v>19</v>
      </c>
      <c r="P1014" s="2">
        <v>45000000</v>
      </c>
      <c r="Q1014" s="2">
        <v>6.5</v>
      </c>
      <c r="R1014" s="2" t="s">
        <v>2358</v>
      </c>
      <c r="S1014" s="2"/>
      <c r="U1014" s="2" t="s">
        <v>2359</v>
      </c>
      <c r="V1014">
        <f ca="1" t="shared" si="29"/>
        <v>6.55</v>
      </c>
      <c r="AC1014" s="2"/>
      <c r="AD1014" t="str">
        <f>IFERROR(__xludf.DUMMYFUNCTION("""COMPUTED_VALUE"""),"Knowing ")</f>
        <v>Knowing </v>
      </c>
      <c r="AE1014">
        <f t="shared" si="30"/>
        <v>79947992</v>
      </c>
    </row>
    <row r="1015" customHeight="1" spans="1:31">
      <c r="A1015" s="2" t="s">
        <v>490</v>
      </c>
      <c r="B1015" s="2">
        <v>119</v>
      </c>
      <c r="C1015" s="2">
        <v>92115211</v>
      </c>
      <c r="D1015" s="2" t="s">
        <v>814</v>
      </c>
      <c r="E1015" s="2" t="s">
        <v>56</v>
      </c>
      <c r="F1015" t="s">
        <v>30</v>
      </c>
      <c r="G1015" t="s">
        <v>30</v>
      </c>
      <c r="H1015" t="s">
        <v>24</v>
      </c>
      <c r="N1015" s="2" t="s">
        <v>18</v>
      </c>
      <c r="O1015" s="2" t="s">
        <v>19</v>
      </c>
      <c r="P1015" s="2">
        <v>45000000</v>
      </c>
      <c r="Q1015" s="2">
        <v>6.7</v>
      </c>
      <c r="R1015" s="2" t="s">
        <v>2360</v>
      </c>
      <c r="S1015" s="2"/>
      <c r="U1015" s="2" t="s">
        <v>2361</v>
      </c>
      <c r="V1015">
        <f ca="1" t="shared" ref="V1015:V1078" si="31">AVERAGEIF(A899:A4684,U1015,Q900:Q4684)</f>
        <v>5.7</v>
      </c>
      <c r="AC1015" s="2"/>
      <c r="AD1015" t="str">
        <f>IFERROR(__xludf.DUMMYFUNCTION("""COMPUTED_VALUE"""),"Failure to Launch ")</f>
        <v>Failure to Launch </v>
      </c>
      <c r="AE1015">
        <f t="shared" ref="AE1015:AE1078" si="32">C899-B899</f>
        <v>88658077</v>
      </c>
    </row>
    <row r="1016" customHeight="1" spans="1:31">
      <c r="A1016" s="2" t="s">
        <v>1030</v>
      </c>
      <c r="B1016" s="2">
        <v>97</v>
      </c>
      <c r="C1016" s="2">
        <v>93452056</v>
      </c>
      <c r="D1016" s="2" t="s">
        <v>2214</v>
      </c>
      <c r="E1016" s="2" t="s">
        <v>13</v>
      </c>
      <c r="F1016" t="s">
        <v>56</v>
      </c>
      <c r="G1016" t="s">
        <v>30</v>
      </c>
      <c r="H1016" t="s">
        <v>55</v>
      </c>
      <c r="N1016" s="2" t="s">
        <v>18</v>
      </c>
      <c r="O1016" s="2" t="s">
        <v>19</v>
      </c>
      <c r="P1016" s="2">
        <v>45000000</v>
      </c>
      <c r="Q1016" s="2">
        <v>7.4</v>
      </c>
      <c r="R1016" s="2" t="s">
        <v>2362</v>
      </c>
      <c r="S1016" s="2"/>
      <c r="U1016" s="2" t="s">
        <v>2363</v>
      </c>
      <c r="V1016">
        <f ca="1" t="shared" si="31"/>
        <v>6.3</v>
      </c>
      <c r="AC1016" s="2"/>
      <c r="AD1016" t="str">
        <f>IFERROR(__xludf.DUMMYFUNCTION("""COMPUTED_VALUE"""),"Crazy, Stupid, Love. ")</f>
        <v>Crazy, Stupid, Love. </v>
      </c>
      <c r="AE1016">
        <f t="shared" si="32"/>
        <v>84244759</v>
      </c>
    </row>
    <row r="1017" customHeight="1" spans="1:31">
      <c r="A1017" s="2" t="s">
        <v>447</v>
      </c>
      <c r="B1017" s="2">
        <v>117</v>
      </c>
      <c r="C1017" s="2">
        <v>83287363</v>
      </c>
      <c r="D1017" s="2" t="s">
        <v>34</v>
      </c>
      <c r="E1017" s="2" t="s">
        <v>12</v>
      </c>
      <c r="F1017" t="s">
        <v>13</v>
      </c>
      <c r="G1017" t="s">
        <v>55</v>
      </c>
      <c r="H1017" t="s">
        <v>29</v>
      </c>
      <c r="N1017" s="2" t="s">
        <v>18</v>
      </c>
      <c r="O1017" s="2" t="s">
        <v>19</v>
      </c>
      <c r="P1017" s="2">
        <v>45000000</v>
      </c>
      <c r="Q1017" s="2">
        <v>6.9</v>
      </c>
      <c r="R1017" s="2" t="s">
        <v>2364</v>
      </c>
      <c r="S1017" s="2"/>
      <c r="U1017" s="2" t="s">
        <v>2365</v>
      </c>
      <c r="V1017">
        <f ca="1" t="shared" si="31"/>
        <v>6.06666666666667</v>
      </c>
      <c r="AC1017" s="2"/>
      <c r="AD1017" t="str">
        <f>IFERROR(__xludf.DUMMYFUNCTION("""COMPUTED_VALUE"""),"Garfield ")</f>
        <v>Garfield </v>
      </c>
      <c r="AE1017">
        <f t="shared" si="32"/>
        <v>75367613</v>
      </c>
    </row>
    <row r="1018" customHeight="1" spans="1:31">
      <c r="A1018" s="2" t="s">
        <v>884</v>
      </c>
      <c r="B1018" s="2">
        <v>101</v>
      </c>
      <c r="C1018" s="2">
        <v>82931301</v>
      </c>
      <c r="D1018" s="2" t="s">
        <v>607</v>
      </c>
      <c r="E1018" s="2" t="s">
        <v>40</v>
      </c>
      <c r="F1018" t="s">
        <v>35</v>
      </c>
      <c r="G1018" t="s">
        <v>29</v>
      </c>
      <c r="H1018" t="s">
        <v>16</v>
      </c>
      <c r="N1018" s="2" t="s">
        <v>18</v>
      </c>
      <c r="O1018" s="2" t="s">
        <v>293</v>
      </c>
      <c r="P1018" s="2">
        <v>60000000</v>
      </c>
      <c r="Q1018" s="2">
        <v>5.5</v>
      </c>
      <c r="R1018" s="2" t="s">
        <v>2366</v>
      </c>
      <c r="S1018" s="2"/>
      <c r="U1018" s="2" t="s">
        <v>2367</v>
      </c>
      <c r="V1018">
        <f ca="1" t="shared" si="31"/>
        <v>7.7</v>
      </c>
      <c r="AC1018" s="2"/>
      <c r="AD1018" t="str">
        <f>IFERROR(__xludf.DUMMYFUNCTION("""COMPUTED_VALUE"""),"Christmas with the Kranks ")</f>
        <v>Christmas with the Kranks </v>
      </c>
      <c r="AE1018">
        <f t="shared" si="32"/>
        <v>73701803</v>
      </c>
    </row>
    <row r="1019" customHeight="1" spans="1:31">
      <c r="A1019" s="2" t="s">
        <v>1388</v>
      </c>
      <c r="B1019" s="2">
        <v>153</v>
      </c>
      <c r="C1019" s="2">
        <v>60962878</v>
      </c>
      <c r="D1019" s="2" t="s">
        <v>814</v>
      </c>
      <c r="E1019" s="2" t="s">
        <v>56</v>
      </c>
      <c r="F1019" t="s">
        <v>13</v>
      </c>
      <c r="G1019" t="s">
        <v>15</v>
      </c>
      <c r="H1019" t="s">
        <v>24</v>
      </c>
      <c r="N1019" s="2" t="s">
        <v>18</v>
      </c>
      <c r="O1019" s="2" t="s">
        <v>19</v>
      </c>
      <c r="P1019" s="2">
        <v>46000000</v>
      </c>
      <c r="Q1019" s="2">
        <v>8.1</v>
      </c>
      <c r="R1019" s="2" t="s">
        <v>2368</v>
      </c>
      <c r="S1019" s="2"/>
      <c r="U1019" s="2" t="s">
        <v>2369</v>
      </c>
      <c r="V1019">
        <f ca="1" t="shared" si="31"/>
        <v>7.53333333333333</v>
      </c>
      <c r="AC1019" s="2"/>
      <c r="AD1019" t="str">
        <f>IFERROR(__xludf.DUMMYFUNCTION("""COMPUTED_VALUE"""),"Moneyball ")</f>
        <v>Moneyball </v>
      </c>
      <c r="AE1019">
        <f t="shared" si="32"/>
        <v>75605359</v>
      </c>
    </row>
    <row r="1020" customHeight="1" spans="1:31">
      <c r="A1020" s="2" t="s">
        <v>881</v>
      </c>
      <c r="B1020" s="2">
        <v>122</v>
      </c>
      <c r="C1020" s="2">
        <v>76261036</v>
      </c>
      <c r="D1020" s="2" t="s">
        <v>805</v>
      </c>
      <c r="E1020" s="2" t="s">
        <v>56</v>
      </c>
      <c r="F1020" t="s">
        <v>14</v>
      </c>
      <c r="G1020" t="s">
        <v>14</v>
      </c>
      <c r="H1020" t="s">
        <v>17</v>
      </c>
      <c r="N1020" s="2" t="s">
        <v>18</v>
      </c>
      <c r="O1020" s="2" t="s">
        <v>19</v>
      </c>
      <c r="P1020" s="2">
        <v>45000000</v>
      </c>
      <c r="Q1020" s="2">
        <v>7.7</v>
      </c>
      <c r="R1020" s="2" t="s">
        <v>2370</v>
      </c>
      <c r="S1020" s="2"/>
      <c r="U1020" s="2" t="s">
        <v>2371</v>
      </c>
      <c r="V1020">
        <f ca="1" t="shared" si="31"/>
        <v>6.4</v>
      </c>
      <c r="AC1020" s="2"/>
      <c r="AD1020" t="str">
        <f>IFERROR(__xludf.DUMMYFUNCTION("""COMPUTED_VALUE"""),"Outbreak ")</f>
        <v>Outbreak </v>
      </c>
      <c r="AE1020">
        <f t="shared" si="32"/>
        <v>67823446</v>
      </c>
    </row>
    <row r="1021" customHeight="1" spans="1:31">
      <c r="A1021" s="2" t="s">
        <v>382</v>
      </c>
      <c r="B1021" s="2">
        <v>102</v>
      </c>
      <c r="C1021" s="2">
        <v>71423726</v>
      </c>
      <c r="D1021" s="2" t="s">
        <v>690</v>
      </c>
      <c r="E1021" s="2" t="s">
        <v>13</v>
      </c>
      <c r="F1021" t="s">
        <v>17</v>
      </c>
      <c r="G1021" t="s">
        <v>30</v>
      </c>
      <c r="H1021" t="s">
        <v>17</v>
      </c>
      <c r="N1021" s="2" t="s">
        <v>18</v>
      </c>
      <c r="O1021" s="2" t="s">
        <v>19</v>
      </c>
      <c r="P1021" s="2">
        <v>45000000</v>
      </c>
      <c r="Q1021" s="2">
        <v>7.3</v>
      </c>
      <c r="R1021" s="2" t="s">
        <v>2372</v>
      </c>
      <c r="S1021" s="2"/>
      <c r="U1021" s="2" t="s">
        <v>2373</v>
      </c>
      <c r="V1021">
        <f ca="1" t="shared" si="31"/>
        <v>6.3</v>
      </c>
      <c r="AC1021" s="2"/>
      <c r="AD1021" t="str">
        <f>IFERROR(__xludf.DUMMYFUNCTION("""COMPUTED_VALUE"""),"Non-Stop ")</f>
        <v>Non-Stop </v>
      </c>
      <c r="AE1021">
        <f t="shared" si="32"/>
        <v>91439294</v>
      </c>
    </row>
    <row r="1022" customHeight="1" spans="1:31">
      <c r="A1022" s="2" t="s">
        <v>1027</v>
      </c>
      <c r="B1022" s="2">
        <v>83</v>
      </c>
      <c r="C1022" s="2">
        <v>71277420</v>
      </c>
      <c r="D1022" s="2" t="s">
        <v>40</v>
      </c>
      <c r="E1022" s="2" t="s">
        <v>40</v>
      </c>
      <c r="F1022" t="s">
        <v>56</v>
      </c>
      <c r="G1022" t="s">
        <v>17</v>
      </c>
      <c r="H1022" t="s">
        <v>24</v>
      </c>
      <c r="N1022" s="2" t="s">
        <v>18</v>
      </c>
      <c r="O1022" s="2" t="s">
        <v>19</v>
      </c>
      <c r="P1022" s="2">
        <v>45000000</v>
      </c>
      <c r="Q1022" s="2">
        <v>5.2</v>
      </c>
      <c r="R1022" s="2" t="s">
        <v>2374</v>
      </c>
      <c r="S1022" s="2"/>
      <c r="U1022" s="2" t="s">
        <v>2375</v>
      </c>
      <c r="V1022">
        <f ca="1" t="shared" si="31"/>
        <v>7.05</v>
      </c>
      <c r="AC1022" s="2"/>
      <c r="AD1022" t="str">
        <f>IFERROR(__xludf.DUMMYFUNCTION("""COMPUTED_VALUE"""),"Race to Witch Mountain ")</f>
        <v>Race to Witch Mountain </v>
      </c>
      <c r="AE1022">
        <f t="shared" si="32"/>
        <v>67128104</v>
      </c>
    </row>
    <row r="1023" customHeight="1" spans="1:31">
      <c r="A1023" s="2" t="s">
        <v>278</v>
      </c>
      <c r="B1023" s="2">
        <v>103</v>
      </c>
      <c r="C1023" s="2">
        <v>88625922</v>
      </c>
      <c r="D1023" s="2" t="s">
        <v>2376</v>
      </c>
      <c r="E1023" s="2" t="s">
        <v>13</v>
      </c>
      <c r="F1023" t="s">
        <v>13</v>
      </c>
      <c r="G1023" t="s">
        <v>23</v>
      </c>
      <c r="H1023" t="s">
        <v>17</v>
      </c>
      <c r="N1023" s="2" t="s">
        <v>18</v>
      </c>
      <c r="O1023" s="2" t="s">
        <v>19</v>
      </c>
      <c r="P1023" s="2">
        <v>45000000</v>
      </c>
      <c r="Q1023" s="2">
        <v>7.1</v>
      </c>
      <c r="R1023" s="2" t="s">
        <v>2377</v>
      </c>
      <c r="S1023" s="2"/>
      <c r="U1023" s="2" t="s">
        <v>2378</v>
      </c>
      <c r="V1023">
        <f ca="1" t="shared" si="31"/>
        <v>7</v>
      </c>
      <c r="AC1023" s="2"/>
      <c r="AD1023" t="str">
        <f>IFERROR(__xludf.DUMMYFUNCTION("""COMPUTED_VALUE"""),"V for Vendetta ")</f>
        <v>V for Vendetta </v>
      </c>
      <c r="AE1023">
        <f t="shared" si="32"/>
        <v>70496670</v>
      </c>
    </row>
    <row r="1024" customHeight="1" spans="1:31">
      <c r="A1024" s="2" t="s">
        <v>868</v>
      </c>
      <c r="B1024" s="2">
        <v>110</v>
      </c>
      <c r="C1024" s="2">
        <v>70001065</v>
      </c>
      <c r="D1024" s="2" t="s">
        <v>2379</v>
      </c>
      <c r="E1024" s="2" t="s">
        <v>12</v>
      </c>
      <c r="F1024" t="s">
        <v>40</v>
      </c>
      <c r="G1024" t="s">
        <v>15</v>
      </c>
      <c r="H1024" t="s">
        <v>17</v>
      </c>
      <c r="N1024" s="2" t="s">
        <v>18</v>
      </c>
      <c r="O1024" s="2" t="s">
        <v>19</v>
      </c>
      <c r="P1024" s="2">
        <v>45000000</v>
      </c>
      <c r="Q1024" s="2">
        <v>7.1</v>
      </c>
      <c r="R1024" s="2" t="s">
        <v>2380</v>
      </c>
      <c r="S1024" s="2"/>
      <c r="U1024" s="2" t="s">
        <v>2381</v>
      </c>
      <c r="V1024">
        <f ca="1" t="shared" si="31"/>
        <v>7.3</v>
      </c>
      <c r="AC1024" s="2"/>
      <c r="AD1024" t="str">
        <f>IFERROR(__xludf.DUMMYFUNCTION("""COMPUTED_VALUE"""),"Shanghai Knights ")</f>
        <v>Shanghai Knights </v>
      </c>
      <c r="AE1024">
        <f t="shared" si="32"/>
        <v>60470106</v>
      </c>
    </row>
    <row r="1025" customHeight="1" spans="1:31">
      <c r="A1025" s="2" t="s">
        <v>1390</v>
      </c>
      <c r="B1025" s="2">
        <v>136</v>
      </c>
      <c r="C1025" s="2">
        <v>67253092</v>
      </c>
      <c r="D1025" s="2" t="s">
        <v>1527</v>
      </c>
      <c r="E1025" s="2" t="s">
        <v>30</v>
      </c>
      <c r="F1025" t="s">
        <v>17</v>
      </c>
      <c r="G1025" t="s">
        <v>17</v>
      </c>
      <c r="H1025" t="s">
        <v>24</v>
      </c>
      <c r="N1025" s="2" t="s">
        <v>18</v>
      </c>
      <c r="O1025" s="2" t="s">
        <v>19</v>
      </c>
      <c r="P1025" s="2">
        <v>30000000</v>
      </c>
      <c r="Q1025" s="2">
        <v>7.2</v>
      </c>
      <c r="R1025" s="2" t="s">
        <v>2382</v>
      </c>
      <c r="S1025" s="2"/>
      <c r="U1025" s="2" t="s">
        <v>2383</v>
      </c>
      <c r="V1025">
        <f ca="1" t="shared" si="31"/>
        <v>6.16666666666667</v>
      </c>
      <c r="AC1025" s="2"/>
      <c r="AD1025" t="str">
        <f>IFERROR(__xludf.DUMMYFUNCTION("""COMPUTED_VALUE"""),"Curious George ")</f>
        <v>Curious George </v>
      </c>
      <c r="AE1025">
        <f t="shared" si="32"/>
        <v>58336487</v>
      </c>
    </row>
    <row r="1026" customHeight="1" spans="1:31">
      <c r="A1026" s="2" t="s">
        <v>1392</v>
      </c>
      <c r="B1026" s="2">
        <v>91</v>
      </c>
      <c r="C1026" s="2">
        <v>66790248</v>
      </c>
      <c r="D1026" s="2" t="s">
        <v>1655</v>
      </c>
      <c r="E1026" s="2" t="s">
        <v>30</v>
      </c>
      <c r="F1026" t="s">
        <v>40</v>
      </c>
      <c r="G1026" t="s">
        <v>15</v>
      </c>
      <c r="H1026" t="s">
        <v>55</v>
      </c>
      <c r="N1026" s="2" t="s">
        <v>18</v>
      </c>
      <c r="O1026" s="2" t="s">
        <v>19</v>
      </c>
      <c r="P1026" s="2">
        <v>45000000</v>
      </c>
      <c r="Q1026" s="2">
        <v>6.5</v>
      </c>
      <c r="R1026" s="2" t="s">
        <v>2384</v>
      </c>
      <c r="S1026" s="2"/>
      <c r="U1026" s="2" t="s">
        <v>2385</v>
      </c>
      <c r="V1026">
        <f ca="1" t="shared" si="31"/>
        <v>6.8</v>
      </c>
      <c r="AC1026" s="2"/>
      <c r="AD1026" t="str">
        <f>IFERROR(__xludf.DUMMYFUNCTION("""COMPUTED_VALUE"""),"Herbie Fully Loaded ")</f>
        <v>Herbie Fully Loaded </v>
      </c>
      <c r="AE1026">
        <f t="shared" si="32"/>
        <v>66001903</v>
      </c>
    </row>
    <row r="1027" customHeight="1" spans="1:31">
      <c r="A1027" s="2" t="s">
        <v>1395</v>
      </c>
      <c r="B1027" s="2">
        <v>89</v>
      </c>
      <c r="C1027" s="2">
        <v>65557989</v>
      </c>
      <c r="D1027" s="2" t="s">
        <v>2386</v>
      </c>
      <c r="E1027" s="2" t="s">
        <v>12</v>
      </c>
      <c r="F1027" t="s">
        <v>30</v>
      </c>
      <c r="G1027" t="s">
        <v>30</v>
      </c>
      <c r="H1027" t="s">
        <v>39</v>
      </c>
      <c r="N1027" s="2" t="s">
        <v>18</v>
      </c>
      <c r="O1027" s="2" t="s">
        <v>19</v>
      </c>
      <c r="P1027" s="2">
        <v>45000000</v>
      </c>
      <c r="Q1027" s="2">
        <v>4.6</v>
      </c>
      <c r="R1027" s="2" t="s">
        <v>2387</v>
      </c>
      <c r="S1027" s="2"/>
      <c r="U1027" s="2" t="s">
        <v>2388</v>
      </c>
      <c r="V1027">
        <f ca="1" t="shared" si="31"/>
        <v>7</v>
      </c>
      <c r="AC1027" s="2"/>
      <c r="AD1027" t="str">
        <f>IFERROR(__xludf.DUMMYFUNCTION("""COMPUTED_VALUE"""),"Don't Say a Word ")</f>
        <v>Don't Say a Word </v>
      </c>
      <c r="AE1027">
        <f t="shared" si="32"/>
        <v>54997363</v>
      </c>
    </row>
    <row r="1028" customHeight="1" spans="1:31">
      <c r="A1028" s="2" t="s">
        <v>1068</v>
      </c>
      <c r="B1028" s="2">
        <v>107</v>
      </c>
      <c r="C1028" s="2">
        <v>60786269</v>
      </c>
      <c r="D1028" s="2" t="s">
        <v>2389</v>
      </c>
      <c r="E1028" s="2" t="s">
        <v>40</v>
      </c>
      <c r="F1028" t="s">
        <v>16</v>
      </c>
      <c r="G1028" t="s">
        <v>40</v>
      </c>
      <c r="H1028" t="s">
        <v>14</v>
      </c>
      <c r="N1028" s="2" t="s">
        <v>18</v>
      </c>
      <c r="O1028" s="2" t="s">
        <v>19</v>
      </c>
      <c r="P1028" s="2">
        <v>45000000</v>
      </c>
      <c r="Q1028" s="2">
        <v>5.6</v>
      </c>
      <c r="R1028" s="2" t="s">
        <v>2390</v>
      </c>
      <c r="S1028" s="2"/>
      <c r="U1028" s="2" t="s">
        <v>2391</v>
      </c>
      <c r="V1028">
        <f ca="1" t="shared" si="31"/>
        <v>5.8</v>
      </c>
      <c r="AC1028" s="2"/>
      <c r="AD1028" t="str">
        <f>IFERROR(__xludf.DUMMYFUNCTION("""COMPUTED_VALUE"""),"Hansel &amp; Gretel: Witch Hunters ")</f>
        <v>Hansel &amp; Gretel: Witch Hunters </v>
      </c>
      <c r="AE1028">
        <f t="shared" si="32"/>
        <v>55681972</v>
      </c>
    </row>
    <row r="1029" customHeight="1" spans="1:31">
      <c r="A1029" s="2" t="s">
        <v>1397</v>
      </c>
      <c r="B1029" s="2">
        <v>129</v>
      </c>
      <c r="C1029" s="2">
        <v>59365105</v>
      </c>
      <c r="D1029" s="2" t="s">
        <v>521</v>
      </c>
      <c r="E1029" s="2" t="s">
        <v>40</v>
      </c>
      <c r="F1029" t="s">
        <v>13</v>
      </c>
      <c r="G1029" t="s">
        <v>28</v>
      </c>
      <c r="H1029" t="s">
        <v>28</v>
      </c>
      <c r="N1029" s="2" t="s">
        <v>18</v>
      </c>
      <c r="O1029" s="2" t="s">
        <v>31</v>
      </c>
      <c r="P1029" s="2">
        <v>45000000</v>
      </c>
      <c r="Q1029" s="2">
        <v>7.7</v>
      </c>
      <c r="R1029" s="2" t="s">
        <v>2392</v>
      </c>
      <c r="S1029" s="2"/>
      <c r="U1029" s="2" t="s">
        <v>2393</v>
      </c>
      <c r="V1029">
        <f ca="1" t="shared" si="31"/>
        <v>6.8</v>
      </c>
      <c r="AC1029" s="2"/>
      <c r="AD1029" t="str">
        <f>IFERROR(__xludf.DUMMYFUNCTION("""COMPUTED_VALUE"""),"Unfaithful ")</f>
        <v>Unfaithful </v>
      </c>
      <c r="AE1029">
        <f t="shared" si="32"/>
        <v>52752351</v>
      </c>
    </row>
    <row r="1030" customHeight="1" spans="1:31">
      <c r="A1030" s="2" t="s">
        <v>139</v>
      </c>
      <c r="B1030" s="2">
        <v>95</v>
      </c>
      <c r="C1030" s="2">
        <v>162792677</v>
      </c>
      <c r="D1030" s="2" t="s">
        <v>124</v>
      </c>
      <c r="E1030" s="2" t="s">
        <v>13</v>
      </c>
      <c r="F1030" t="s">
        <v>17</v>
      </c>
      <c r="G1030" t="s">
        <v>30</v>
      </c>
      <c r="H1030" t="s">
        <v>15</v>
      </c>
      <c r="N1030" s="2" t="s">
        <v>18</v>
      </c>
      <c r="O1030" s="2" t="s">
        <v>19</v>
      </c>
      <c r="P1030" s="2">
        <v>120000000</v>
      </c>
      <c r="Q1030" s="2">
        <v>7.2</v>
      </c>
      <c r="R1030" s="2" t="s">
        <v>2394</v>
      </c>
      <c r="S1030" s="2"/>
      <c r="U1030" s="2" t="s">
        <v>2395</v>
      </c>
      <c r="V1030">
        <f ca="1" t="shared" si="31"/>
        <v>7.1</v>
      </c>
      <c r="AC1030" s="2"/>
      <c r="AD1030" t="str">
        <f>IFERROR(__xludf.DUMMYFUNCTION("""COMPUTED_VALUE"""),"I Am Number Four ")</f>
        <v>I Am Number Four </v>
      </c>
      <c r="AE1030">
        <f t="shared" si="32"/>
        <v>55092721</v>
      </c>
    </row>
    <row r="1031" customHeight="1" spans="1:31">
      <c r="A1031" s="2" t="s">
        <v>804</v>
      </c>
      <c r="B1031" s="2">
        <v>122</v>
      </c>
      <c r="C1031" s="2">
        <v>31598308</v>
      </c>
      <c r="D1031" s="2" t="s">
        <v>1189</v>
      </c>
      <c r="E1031" s="2" t="s">
        <v>72</v>
      </c>
      <c r="F1031" t="s">
        <v>30</v>
      </c>
      <c r="G1031" t="s">
        <v>39</v>
      </c>
      <c r="H1031" t="s">
        <v>17</v>
      </c>
      <c r="N1031" s="2" t="s">
        <v>18</v>
      </c>
      <c r="O1031" s="2" t="s">
        <v>19</v>
      </c>
      <c r="P1031" s="2">
        <v>35000000</v>
      </c>
      <c r="Q1031" s="2">
        <v>6.8</v>
      </c>
      <c r="R1031" s="2" t="s">
        <v>2396</v>
      </c>
      <c r="S1031" s="2"/>
      <c r="U1031" s="2" t="s">
        <v>2397</v>
      </c>
      <c r="V1031">
        <f ca="1" t="shared" si="31"/>
        <v>6.63333333333333</v>
      </c>
      <c r="AC1031" s="2"/>
      <c r="AD1031" t="str">
        <f>IFERROR(__xludf.DUMMYFUNCTION("""COMPUTED_VALUE"""),"Syriana ")</f>
        <v>Syriana </v>
      </c>
      <c r="AE1031">
        <f t="shared" si="32"/>
        <v>50815160</v>
      </c>
    </row>
    <row r="1032" customHeight="1" spans="1:31">
      <c r="A1032" s="2" t="s">
        <v>1395</v>
      </c>
      <c r="B1032" s="2">
        <v>110</v>
      </c>
      <c r="C1032" s="2">
        <v>57362581</v>
      </c>
      <c r="D1032" s="2" t="s">
        <v>2398</v>
      </c>
      <c r="E1032" s="2" t="s">
        <v>12</v>
      </c>
      <c r="F1032" t="s">
        <v>24</v>
      </c>
      <c r="G1032" t="s">
        <v>24</v>
      </c>
      <c r="H1032" t="s">
        <v>24</v>
      </c>
      <c r="N1032" s="2" t="s">
        <v>18</v>
      </c>
      <c r="O1032" s="2" t="s">
        <v>2399</v>
      </c>
      <c r="P1032" s="2">
        <v>45000000</v>
      </c>
      <c r="Q1032" s="2">
        <v>5.4</v>
      </c>
      <c r="R1032" s="2" t="s">
        <v>2400</v>
      </c>
      <c r="S1032" s="2"/>
      <c r="U1032" s="2" t="s">
        <v>2401</v>
      </c>
      <c r="V1032">
        <f ca="1" t="shared" si="31"/>
        <v>6.95</v>
      </c>
      <c r="AC1032" s="2"/>
      <c r="AD1032" t="str">
        <f>IFERROR(__xludf.DUMMYFUNCTION("""COMPUTED_VALUE"""),"13 Hours ")</f>
        <v>13 Hours </v>
      </c>
      <c r="AE1032">
        <f t="shared" si="32"/>
        <v>52822274</v>
      </c>
    </row>
    <row r="1033" customHeight="1" spans="1:31">
      <c r="A1033" s="2" t="s">
        <v>900</v>
      </c>
      <c r="B1033" s="2">
        <v>135</v>
      </c>
      <c r="C1033" s="2">
        <v>53854588</v>
      </c>
      <c r="D1033" s="2" t="s">
        <v>1826</v>
      </c>
      <c r="E1033" s="2" t="s">
        <v>40</v>
      </c>
      <c r="F1033" t="s">
        <v>13</v>
      </c>
      <c r="G1033" t="s">
        <v>17</v>
      </c>
      <c r="H1033" t="s">
        <v>39</v>
      </c>
      <c r="N1033" s="2" t="s">
        <v>18</v>
      </c>
      <c r="O1033" s="2" t="s">
        <v>19</v>
      </c>
      <c r="P1033" s="2">
        <v>45000000</v>
      </c>
      <c r="Q1033" s="2">
        <v>6.3</v>
      </c>
      <c r="R1033" s="2" t="s">
        <v>2402</v>
      </c>
      <c r="S1033" s="2"/>
      <c r="U1033" s="2" t="s">
        <v>2403</v>
      </c>
      <c r="V1033">
        <f ca="1" t="shared" si="31"/>
        <v>6.1</v>
      </c>
      <c r="AC1033" s="2"/>
      <c r="AD1033" t="str">
        <f>IFERROR(__xludf.DUMMYFUNCTION("""COMPUTED_VALUE"""),"The Book of Life ")</f>
        <v>The Book of Life </v>
      </c>
      <c r="AE1033">
        <f t="shared" si="32"/>
        <v>50150524</v>
      </c>
    </row>
    <row r="1034" customHeight="1" spans="1:31">
      <c r="A1034" s="2" t="s">
        <v>1174</v>
      </c>
      <c r="B1034" s="2">
        <v>95</v>
      </c>
      <c r="C1034" s="2">
        <v>52580895</v>
      </c>
      <c r="D1034" s="2" t="s">
        <v>2404</v>
      </c>
      <c r="E1034" s="2" t="s">
        <v>40</v>
      </c>
      <c r="F1034" t="s">
        <v>56</v>
      </c>
      <c r="G1034" t="s">
        <v>56</v>
      </c>
      <c r="H1034" t="s">
        <v>17</v>
      </c>
      <c r="N1034" s="2" t="s">
        <v>18</v>
      </c>
      <c r="O1034" s="2" t="s">
        <v>19</v>
      </c>
      <c r="P1034" s="2">
        <v>45000000</v>
      </c>
      <c r="Q1034" s="2">
        <v>5.6</v>
      </c>
      <c r="R1034" s="2" t="s">
        <v>2405</v>
      </c>
      <c r="S1034" s="2"/>
      <c r="U1034" s="2" t="s">
        <v>2406</v>
      </c>
      <c r="V1034">
        <f ca="1" t="shared" si="31"/>
        <v>4.4</v>
      </c>
      <c r="AC1034" s="2"/>
      <c r="AD1034" t="str">
        <f>IFERROR(__xludf.DUMMYFUNCTION("""COMPUTED_VALUE"""),"Firewall ")</f>
        <v>Firewall </v>
      </c>
      <c r="AE1034">
        <f t="shared" si="32"/>
        <v>48745045</v>
      </c>
    </row>
    <row r="1035" customHeight="1" spans="1:31">
      <c r="A1035" s="2" t="s">
        <v>1399</v>
      </c>
      <c r="B1035" s="2">
        <v>109</v>
      </c>
      <c r="C1035" s="2">
        <v>51019112</v>
      </c>
      <c r="D1035" s="2" t="s">
        <v>690</v>
      </c>
      <c r="E1035" s="2" t="s">
        <v>13</v>
      </c>
      <c r="F1035" t="s">
        <v>17</v>
      </c>
      <c r="G1035" t="s">
        <v>28</v>
      </c>
      <c r="H1035" t="s">
        <v>24</v>
      </c>
      <c r="N1035" s="2" t="s">
        <v>18</v>
      </c>
      <c r="O1035" s="2" t="s">
        <v>19</v>
      </c>
      <c r="P1035" s="2">
        <v>50000000</v>
      </c>
      <c r="Q1035" s="2">
        <v>6.8</v>
      </c>
      <c r="R1035" s="2" t="s">
        <v>2407</v>
      </c>
      <c r="S1035" s="2"/>
      <c r="U1035" s="2" t="s">
        <v>2408</v>
      </c>
      <c r="V1035">
        <f ca="1" t="shared" si="31"/>
        <v>6.05</v>
      </c>
      <c r="AC1035" s="2"/>
      <c r="AD1035" t="str">
        <f>IFERROR(__xludf.DUMMYFUNCTION("""COMPUTED_VALUE"""),"Absolute Power ")</f>
        <v>Absolute Power </v>
      </c>
      <c r="AE1035">
        <f t="shared" si="32"/>
        <v>50007047</v>
      </c>
    </row>
    <row r="1036" customHeight="1" spans="1:31">
      <c r="A1036" s="2" t="s">
        <v>1402</v>
      </c>
      <c r="B1036" s="2">
        <v>93</v>
      </c>
      <c r="C1036" s="2">
        <v>48114556</v>
      </c>
      <c r="D1036" s="2" t="s">
        <v>1017</v>
      </c>
      <c r="E1036" s="2" t="s">
        <v>40</v>
      </c>
      <c r="F1036" t="s">
        <v>56</v>
      </c>
      <c r="G1036" t="s">
        <v>15</v>
      </c>
      <c r="H1036" t="s">
        <v>29</v>
      </c>
      <c r="N1036" s="2" t="s">
        <v>18</v>
      </c>
      <c r="O1036" s="2" t="s">
        <v>19</v>
      </c>
      <c r="P1036" s="2">
        <v>26000000</v>
      </c>
      <c r="Q1036" s="2">
        <v>4.3</v>
      </c>
      <c r="R1036" s="2" t="s">
        <v>2409</v>
      </c>
      <c r="S1036" s="2"/>
      <c r="U1036" s="2" t="s">
        <v>2410</v>
      </c>
      <c r="V1036">
        <f ca="1" t="shared" si="31"/>
        <v>7.1</v>
      </c>
      <c r="AC1036" s="2"/>
      <c r="AD1036" t="str">
        <f>IFERROR(__xludf.DUMMYFUNCTION("""COMPUTED_VALUE"""),"G.I. Jane ")</f>
        <v>G.I. Jane </v>
      </c>
      <c r="AE1036">
        <f t="shared" si="32"/>
        <v>48154607</v>
      </c>
    </row>
    <row r="1037" customHeight="1" spans="1:31">
      <c r="A1037" s="2" t="s">
        <v>1405</v>
      </c>
      <c r="B1037" s="2">
        <v>94</v>
      </c>
      <c r="C1037" s="2">
        <v>50648679</v>
      </c>
      <c r="D1037" s="2" t="s">
        <v>843</v>
      </c>
      <c r="E1037" s="2" t="s">
        <v>12</v>
      </c>
      <c r="F1037" t="s">
        <v>56</v>
      </c>
      <c r="G1037" t="s">
        <v>24</v>
      </c>
      <c r="H1037" t="s">
        <v>24</v>
      </c>
      <c r="N1037" s="2" t="s">
        <v>18</v>
      </c>
      <c r="O1037" s="2" t="s">
        <v>707</v>
      </c>
      <c r="P1037" s="2">
        <v>45000000</v>
      </c>
      <c r="Q1037" s="2">
        <v>6.3</v>
      </c>
      <c r="R1037" s="2" t="s">
        <v>2411</v>
      </c>
      <c r="S1037" s="2"/>
      <c r="U1037" s="2" t="s">
        <v>2412</v>
      </c>
      <c r="V1037">
        <f ca="1" t="shared" si="31"/>
        <v>5.9</v>
      </c>
      <c r="AC1037" s="2"/>
      <c r="AD1037" t="str">
        <f>IFERROR(__xludf.DUMMYFUNCTION("""COMPUTED_VALUE"""),"The Game ")</f>
        <v>The Game </v>
      </c>
      <c r="AE1037">
        <f t="shared" si="32"/>
        <v>48265452</v>
      </c>
    </row>
    <row r="1038" customHeight="1" spans="1:31">
      <c r="A1038" s="2" t="s">
        <v>588</v>
      </c>
      <c r="B1038" s="2">
        <v>117</v>
      </c>
      <c r="C1038" s="2">
        <v>46280507</v>
      </c>
      <c r="D1038" s="2" t="s">
        <v>607</v>
      </c>
      <c r="E1038" s="2" t="s">
        <v>40</v>
      </c>
      <c r="F1038" t="s">
        <v>17</v>
      </c>
      <c r="G1038" t="s">
        <v>24</v>
      </c>
      <c r="H1038" t="s">
        <v>15</v>
      </c>
      <c r="N1038" s="2" t="s">
        <v>18</v>
      </c>
      <c r="O1038" s="2" t="s">
        <v>19</v>
      </c>
      <c r="P1038" s="2">
        <v>40000000</v>
      </c>
      <c r="Q1038" s="2">
        <v>6.5</v>
      </c>
      <c r="R1038" s="2" t="s">
        <v>2413</v>
      </c>
      <c r="S1038" s="2"/>
      <c r="U1038" s="2" t="s">
        <v>2414</v>
      </c>
      <c r="V1038">
        <f ca="1" t="shared" si="31"/>
        <v>7</v>
      </c>
      <c r="AC1038" s="2"/>
      <c r="AD1038" t="str">
        <f>IFERROR(__xludf.DUMMYFUNCTION("""COMPUTED_VALUE"""),"Silent Hill ")</f>
        <v>Silent Hill </v>
      </c>
      <c r="AE1038">
        <f t="shared" si="32"/>
        <v>46982500</v>
      </c>
    </row>
    <row r="1039" customHeight="1" spans="1:31">
      <c r="A1039" s="2" t="s">
        <v>1176</v>
      </c>
      <c r="B1039" s="2">
        <v>112</v>
      </c>
      <c r="C1039" s="2">
        <v>38360195</v>
      </c>
      <c r="D1039" s="2" t="s">
        <v>2214</v>
      </c>
      <c r="E1039" s="2" t="s">
        <v>13</v>
      </c>
      <c r="F1039" t="s">
        <v>24</v>
      </c>
      <c r="G1039" t="s">
        <v>30</v>
      </c>
      <c r="H1039" t="s">
        <v>24</v>
      </c>
      <c r="N1039" s="2" t="s">
        <v>18</v>
      </c>
      <c r="O1039" s="2" t="s">
        <v>19</v>
      </c>
      <c r="P1039" s="2">
        <v>45000000</v>
      </c>
      <c r="Q1039" s="2">
        <v>6.4</v>
      </c>
      <c r="R1039" s="2" t="s">
        <v>2415</v>
      </c>
      <c r="S1039" s="2"/>
      <c r="U1039" s="2" t="s">
        <v>2416</v>
      </c>
      <c r="V1039">
        <f ca="1" t="shared" si="31"/>
        <v>7.8</v>
      </c>
      <c r="AC1039" s="2"/>
      <c r="AD1039" t="str">
        <f>IFERROR(__xludf.DUMMYFUNCTION("""COMPUTED_VALUE"""),"The Replacements ")</f>
        <v>The Replacements </v>
      </c>
      <c r="AE1039">
        <f t="shared" si="32"/>
        <v>44736941</v>
      </c>
    </row>
    <row r="1040" customHeight="1" spans="1:31">
      <c r="A1040" s="2" t="s">
        <v>1227</v>
      </c>
      <c r="B1040" s="2">
        <v>111</v>
      </c>
      <c r="C1040" s="2">
        <v>46815748</v>
      </c>
      <c r="D1040" s="2" t="s">
        <v>1327</v>
      </c>
      <c r="E1040" s="2" t="s">
        <v>12</v>
      </c>
      <c r="F1040" t="s">
        <v>13</v>
      </c>
      <c r="G1040" t="s">
        <v>14</v>
      </c>
      <c r="H1040" t="s">
        <v>24</v>
      </c>
      <c r="N1040" s="2" t="s">
        <v>18</v>
      </c>
      <c r="O1040" s="2" t="s">
        <v>19</v>
      </c>
      <c r="P1040" s="2">
        <v>45000000</v>
      </c>
      <c r="Q1040" s="2">
        <v>6.3</v>
      </c>
      <c r="R1040" s="2" t="s">
        <v>2417</v>
      </c>
      <c r="S1040" s="2"/>
      <c r="U1040" s="2" t="s">
        <v>2418</v>
      </c>
      <c r="V1040">
        <f ca="1" t="shared" si="31"/>
        <v>6.33333333333333</v>
      </c>
      <c r="AC1040" s="2"/>
      <c r="AD1040" t="str">
        <f>IFERROR(__xludf.DUMMYFUNCTION("""COMPUTED_VALUE"""),"American Reunion ")</f>
        <v>American Reunion </v>
      </c>
      <c r="AE1040">
        <f t="shared" si="32"/>
        <v>56723967</v>
      </c>
    </row>
    <row r="1041" customHeight="1" spans="1:31">
      <c r="A1041" s="2" t="s">
        <v>679</v>
      </c>
      <c r="B1041" s="2">
        <v>96</v>
      </c>
      <c r="C1041" s="2">
        <v>35617599</v>
      </c>
      <c r="D1041" s="2" t="s">
        <v>2419</v>
      </c>
      <c r="E1041" s="2" t="s">
        <v>30</v>
      </c>
      <c r="F1041" t="s">
        <v>30</v>
      </c>
      <c r="G1041" t="s">
        <v>39</v>
      </c>
      <c r="H1041" t="s">
        <v>17</v>
      </c>
      <c r="N1041" s="2" t="s">
        <v>18</v>
      </c>
      <c r="O1041" s="2" t="s">
        <v>19</v>
      </c>
      <c r="P1041" s="2">
        <v>45000000</v>
      </c>
      <c r="Q1041" s="2">
        <v>5.9</v>
      </c>
      <c r="R1041" s="2" t="s">
        <v>2420</v>
      </c>
      <c r="S1041" s="2"/>
      <c r="U1041" s="2" t="s">
        <v>2421</v>
      </c>
      <c r="V1041">
        <f ca="1" t="shared" si="31"/>
        <v>7.8</v>
      </c>
      <c r="AC1041" s="2"/>
      <c r="AD1041" t="str">
        <f>IFERROR(__xludf.DUMMYFUNCTION("""COMPUTED_VALUE"""),"The Negotiator ")</f>
        <v>The Negotiator </v>
      </c>
      <c r="AE1041">
        <f t="shared" si="32"/>
        <v>44483925</v>
      </c>
    </row>
    <row r="1042" customHeight="1" spans="1:31">
      <c r="A1042" s="2" t="s">
        <v>291</v>
      </c>
      <c r="B1042" s="2">
        <v>141</v>
      </c>
      <c r="C1042" s="2">
        <v>47307550</v>
      </c>
      <c r="D1042" s="2" t="s">
        <v>805</v>
      </c>
      <c r="E1042" s="2" t="s">
        <v>56</v>
      </c>
      <c r="F1042" t="s">
        <v>13</v>
      </c>
      <c r="G1042" t="s">
        <v>15</v>
      </c>
      <c r="H1042" t="s">
        <v>55</v>
      </c>
      <c r="N1042" s="2" t="s">
        <v>18</v>
      </c>
      <c r="O1042" s="2" t="s">
        <v>19</v>
      </c>
      <c r="P1042" s="2">
        <v>45000000</v>
      </c>
      <c r="Q1042" s="2">
        <v>6.5</v>
      </c>
      <c r="R1042" s="2" t="s">
        <v>2422</v>
      </c>
      <c r="S1042" s="2"/>
      <c r="U1042" s="2" t="s">
        <v>2423</v>
      </c>
      <c r="V1042">
        <f ca="1" t="shared" si="31"/>
        <v>6.23333333333333</v>
      </c>
      <c r="AC1042" s="2"/>
      <c r="AD1042" t="str">
        <f>IFERROR(__xludf.DUMMYFUNCTION("""COMPUTED_VALUE"""),"Into the Storm ")</f>
        <v>Into the Storm </v>
      </c>
      <c r="AE1042">
        <f t="shared" si="32"/>
        <v>47553423</v>
      </c>
    </row>
    <row r="1043" customHeight="1" spans="1:31">
      <c r="A1043" s="2" t="s">
        <v>1407</v>
      </c>
      <c r="B1043" s="2">
        <v>94</v>
      </c>
      <c r="C1043" s="2">
        <v>32003620</v>
      </c>
      <c r="D1043" s="2" t="s">
        <v>150</v>
      </c>
      <c r="E1043" s="2" t="s">
        <v>12</v>
      </c>
      <c r="F1043" t="s">
        <v>40</v>
      </c>
      <c r="G1043" t="s">
        <v>24</v>
      </c>
      <c r="H1043" t="s">
        <v>15</v>
      </c>
      <c r="N1043" s="2" t="s">
        <v>18</v>
      </c>
      <c r="O1043" s="2" t="s">
        <v>19</v>
      </c>
      <c r="P1043" s="2">
        <v>25000000</v>
      </c>
      <c r="Q1043" s="2">
        <v>6.5</v>
      </c>
      <c r="R1043" s="2" t="s">
        <v>2424</v>
      </c>
      <c r="S1043" s="2"/>
      <c r="U1043" s="2" t="s">
        <v>2425</v>
      </c>
      <c r="V1043">
        <f ca="1" t="shared" si="31"/>
        <v>7.2</v>
      </c>
      <c r="AC1043" s="2"/>
      <c r="AD1043" t="str">
        <f>IFERROR(__xludf.DUMMYFUNCTION("""COMPUTED_VALUE"""),"Beverly Hills Cop III ")</f>
        <v>Beverly Hills Cop III </v>
      </c>
      <c r="AE1043">
        <f t="shared" si="32"/>
        <v>42609896</v>
      </c>
    </row>
    <row r="1044" customHeight="1" spans="1:31">
      <c r="A1044" s="2" t="s">
        <v>1409</v>
      </c>
      <c r="B1044" s="2">
        <v>87</v>
      </c>
      <c r="C1044" s="2">
        <v>27972410</v>
      </c>
      <c r="D1044" s="2" t="s">
        <v>589</v>
      </c>
      <c r="E1044" s="2" t="s">
        <v>12</v>
      </c>
      <c r="F1044" t="s">
        <v>30</v>
      </c>
      <c r="G1044" t="s">
        <v>17</v>
      </c>
      <c r="H1044" t="s">
        <v>29</v>
      </c>
      <c r="N1044" s="2" t="s">
        <v>18</v>
      </c>
      <c r="O1044" s="2" t="s">
        <v>31</v>
      </c>
      <c r="P1044" s="2">
        <v>35000000</v>
      </c>
      <c r="Q1044" s="2">
        <v>6.1</v>
      </c>
      <c r="R1044" s="2" t="s">
        <v>2426</v>
      </c>
      <c r="S1044" s="2"/>
      <c r="U1044" s="2" t="s">
        <v>2427</v>
      </c>
      <c r="V1044">
        <f ca="1" t="shared" si="31"/>
        <v>6.7</v>
      </c>
      <c r="AC1044" s="2"/>
      <c r="AD1044" t="str">
        <f>IFERROR(__xludf.DUMMYFUNCTION("""COMPUTED_VALUE"""),"Gremlins 2: The New Batch ")</f>
        <v>Gremlins 2: The New Batch </v>
      </c>
      <c r="AE1044">
        <f t="shared" si="32"/>
        <v>41482101</v>
      </c>
    </row>
    <row r="1045" customHeight="1" spans="1:31">
      <c r="A1045" s="2" t="s">
        <v>1411</v>
      </c>
      <c r="B1045" s="2">
        <v>88</v>
      </c>
      <c r="C1045" s="2">
        <v>28133159</v>
      </c>
      <c r="D1045" s="2" t="s">
        <v>124</v>
      </c>
      <c r="E1045" s="2" t="s">
        <v>13</v>
      </c>
      <c r="F1045" t="s">
        <v>13</v>
      </c>
      <c r="G1045" t="s">
        <v>23</v>
      </c>
      <c r="H1045" t="s">
        <v>29</v>
      </c>
      <c r="N1045" s="2" t="s">
        <v>18</v>
      </c>
      <c r="O1045" s="2" t="s">
        <v>19</v>
      </c>
      <c r="P1045" s="2">
        <v>50000000</v>
      </c>
      <c r="Q1045" s="2">
        <v>5.9</v>
      </c>
      <c r="R1045" s="2" t="s">
        <v>2428</v>
      </c>
      <c r="S1045" s="2"/>
      <c r="U1045" s="2" t="s">
        <v>2429</v>
      </c>
      <c r="V1045">
        <f ca="1" t="shared" si="31"/>
        <v>7.6</v>
      </c>
      <c r="AC1045" s="2"/>
      <c r="AD1045" t="str">
        <f>IFERROR(__xludf.DUMMYFUNCTION("""COMPUTED_VALUE"""),"The Judge ")</f>
        <v>The Judge </v>
      </c>
      <c r="AE1045">
        <f t="shared" si="32"/>
        <v>47104944</v>
      </c>
    </row>
    <row r="1046" customHeight="1" spans="1:31">
      <c r="A1046" s="2" t="s">
        <v>1414</v>
      </c>
      <c r="B1046" s="2">
        <v>177</v>
      </c>
      <c r="C1046" s="2">
        <v>27400000</v>
      </c>
      <c r="D1046" s="2" t="s">
        <v>38</v>
      </c>
      <c r="E1046" s="2" t="s">
        <v>12</v>
      </c>
      <c r="F1046" t="s">
        <v>24</v>
      </c>
      <c r="G1046" t="s">
        <v>30</v>
      </c>
      <c r="H1046" t="s">
        <v>24</v>
      </c>
      <c r="N1046" s="2" t="s">
        <v>18</v>
      </c>
      <c r="O1046" s="2" t="s">
        <v>19</v>
      </c>
      <c r="P1046" s="2">
        <v>40000000</v>
      </c>
      <c r="Q1046" s="2">
        <v>6.6</v>
      </c>
      <c r="R1046" s="2" t="s">
        <v>2430</v>
      </c>
      <c r="S1046" s="2"/>
      <c r="U1046" s="2" t="s">
        <v>2431</v>
      </c>
      <c r="V1046">
        <f ca="1" t="shared" si="31"/>
        <v>8.1</v>
      </c>
      <c r="AC1046" s="2"/>
      <c r="AD1046" t="str">
        <f>IFERROR(__xludf.DUMMYFUNCTION("""COMPUTED_VALUE"""),"The Peacemaker ")</f>
        <v>The Peacemaker </v>
      </c>
      <c r="AE1046">
        <f t="shared" si="32"/>
        <v>41256153</v>
      </c>
    </row>
    <row r="1047" customHeight="1" spans="1:31">
      <c r="A1047" s="2" t="s">
        <v>1416</v>
      </c>
      <c r="B1047" s="2">
        <v>133</v>
      </c>
      <c r="C1047" s="2">
        <v>24343673</v>
      </c>
      <c r="D1047" s="2" t="s">
        <v>2432</v>
      </c>
      <c r="E1047" s="2" t="s">
        <v>30</v>
      </c>
      <c r="F1047" t="s">
        <v>23</v>
      </c>
      <c r="G1047" t="s">
        <v>56</v>
      </c>
      <c r="H1047" t="s">
        <v>23</v>
      </c>
      <c r="N1047" s="2" t="s">
        <v>18</v>
      </c>
      <c r="O1047" s="2" t="s">
        <v>19</v>
      </c>
      <c r="P1047" s="2">
        <v>45000000</v>
      </c>
      <c r="Q1047" s="2">
        <v>7.4</v>
      </c>
      <c r="R1047" s="2" t="s">
        <v>2433</v>
      </c>
      <c r="S1047" s="2"/>
      <c r="U1047" s="2" t="s">
        <v>2434</v>
      </c>
      <c r="V1047">
        <f ca="1" t="shared" si="31"/>
        <v>6.3</v>
      </c>
      <c r="AC1047" s="2"/>
      <c r="AD1047" t="str">
        <f>IFERROR(__xludf.DUMMYFUNCTION("""COMPUTED_VALUE"""),"Resident Evil: Apocalypse ")</f>
        <v>Resident Evil: Apocalypse </v>
      </c>
      <c r="AE1047">
        <f t="shared" si="32"/>
        <v>50739980</v>
      </c>
    </row>
    <row r="1048" customHeight="1" spans="1:31">
      <c r="A1048" s="2" t="s">
        <v>26</v>
      </c>
      <c r="B1048" s="2">
        <v>119</v>
      </c>
      <c r="C1048" s="2">
        <v>22877808</v>
      </c>
      <c r="D1048" s="2" t="s">
        <v>103</v>
      </c>
      <c r="E1048" s="2" t="s">
        <v>30</v>
      </c>
      <c r="F1048" t="s">
        <v>30</v>
      </c>
      <c r="G1048" t="s">
        <v>17</v>
      </c>
      <c r="H1048" t="s">
        <v>71</v>
      </c>
      <c r="N1048" s="2" t="s">
        <v>18</v>
      </c>
      <c r="O1048" s="2" t="s">
        <v>19</v>
      </c>
      <c r="P1048" s="2">
        <v>35000000</v>
      </c>
      <c r="Q1048" s="2">
        <v>7.3</v>
      </c>
      <c r="R1048" s="2" t="s">
        <v>2435</v>
      </c>
      <c r="S1048" s="2"/>
      <c r="U1048" s="2" t="s">
        <v>2436</v>
      </c>
      <c r="V1048">
        <f ca="1" t="shared" si="31"/>
        <v>5.15</v>
      </c>
      <c r="AC1048" s="2"/>
      <c r="AD1048" t="str">
        <f>IFERROR(__xludf.DUMMYFUNCTION("""COMPUTED_VALUE"""),"Bridget Jones: The Edge of Reason ")</f>
        <v>Bridget Jones: The Edge of Reason </v>
      </c>
      <c r="AE1048">
        <f t="shared" si="32"/>
        <v>40202912</v>
      </c>
    </row>
    <row r="1049" customHeight="1" spans="1:31">
      <c r="A1049" s="2" t="s">
        <v>399</v>
      </c>
      <c r="B1049" s="2">
        <v>102</v>
      </c>
      <c r="C1049" s="2">
        <v>36883539</v>
      </c>
      <c r="D1049" s="2" t="s">
        <v>186</v>
      </c>
      <c r="E1049" s="2" t="s">
        <v>12</v>
      </c>
      <c r="F1049" t="s">
        <v>13</v>
      </c>
      <c r="G1049" t="s">
        <v>24</v>
      </c>
      <c r="H1049" t="s">
        <v>16</v>
      </c>
      <c r="N1049" s="2" t="s">
        <v>18</v>
      </c>
      <c r="O1049" s="2" t="s">
        <v>293</v>
      </c>
      <c r="P1049" s="2">
        <v>52000000</v>
      </c>
      <c r="Q1049" s="2">
        <v>6.6</v>
      </c>
      <c r="R1049" s="2" t="s">
        <v>2437</v>
      </c>
      <c r="S1049" s="2"/>
      <c r="U1049" s="2" t="s">
        <v>2438</v>
      </c>
      <c r="V1049">
        <f ca="1" t="shared" si="31"/>
        <v>6.75</v>
      </c>
      <c r="AC1049" s="2"/>
      <c r="AD1049" t="str">
        <f>IFERROR(__xludf.DUMMYFUNCTION("""COMPUTED_VALUE"""),"Out of Time ")</f>
        <v>Out of Time </v>
      </c>
      <c r="AE1049">
        <f t="shared" si="32"/>
        <v>40905163</v>
      </c>
    </row>
    <row r="1050" customHeight="1" spans="1:31">
      <c r="A1050" s="2" t="s">
        <v>1418</v>
      </c>
      <c r="B1050" s="2">
        <v>101</v>
      </c>
      <c r="C1050" s="2">
        <v>22531698</v>
      </c>
      <c r="D1050" s="2" t="s">
        <v>108</v>
      </c>
      <c r="E1050" s="2" t="s">
        <v>12</v>
      </c>
      <c r="F1050" t="s">
        <v>72</v>
      </c>
      <c r="G1050" t="s">
        <v>56</v>
      </c>
      <c r="H1050" t="s">
        <v>17</v>
      </c>
      <c r="N1050" s="2" t="s">
        <v>18</v>
      </c>
      <c r="O1050" s="2" t="s">
        <v>707</v>
      </c>
      <c r="P1050" s="2">
        <v>70000000</v>
      </c>
      <c r="Q1050" s="2">
        <v>5.6</v>
      </c>
      <c r="R1050" s="2" t="s">
        <v>2439</v>
      </c>
      <c r="S1050" s="2"/>
      <c r="U1050" s="2" t="s">
        <v>2440</v>
      </c>
      <c r="V1050">
        <f ca="1" t="shared" si="31"/>
        <v>7.6</v>
      </c>
      <c r="AC1050" s="2"/>
      <c r="AD1050" t="str">
        <f>IFERROR(__xludf.DUMMYFUNCTION("""COMPUTED_VALUE"""),"On Deadly Ground ")</f>
        <v>On Deadly Ground </v>
      </c>
      <c r="AE1050">
        <f t="shared" si="32"/>
        <v>38590399</v>
      </c>
    </row>
    <row r="1051" customHeight="1" spans="1:31">
      <c r="A1051" s="2" t="s">
        <v>1420</v>
      </c>
      <c r="B1051" s="2">
        <v>91</v>
      </c>
      <c r="C1051" s="2">
        <v>20400913</v>
      </c>
      <c r="D1051" s="2" t="s">
        <v>1425</v>
      </c>
      <c r="E1051" s="2" t="s">
        <v>12</v>
      </c>
      <c r="F1051" t="s">
        <v>30</v>
      </c>
      <c r="G1051" t="s">
        <v>30</v>
      </c>
      <c r="H1051" t="s">
        <v>24</v>
      </c>
      <c r="N1051" s="2" t="s">
        <v>18</v>
      </c>
      <c r="O1051" s="2" t="s">
        <v>19</v>
      </c>
      <c r="P1051" s="2">
        <v>45000000</v>
      </c>
      <c r="Q1051" s="2">
        <v>5.3</v>
      </c>
      <c r="R1051" s="2" t="s">
        <v>2441</v>
      </c>
      <c r="S1051" s="2"/>
      <c r="U1051" s="2" t="s">
        <v>2442</v>
      </c>
      <c r="V1051">
        <f ca="1" t="shared" si="31"/>
        <v>5.6</v>
      </c>
      <c r="AC1051" s="2"/>
      <c r="AD1051" t="str">
        <f>IFERROR(__xludf.DUMMYFUNCTION("""COMPUTED_VALUE"""),"The Adventures of Sharkboy and Lavagirl 3-D ")</f>
        <v>The Adventures of Sharkboy and Lavagirl 3-D </v>
      </c>
      <c r="AE1051">
        <f t="shared" si="32"/>
        <v>39177448</v>
      </c>
    </row>
    <row r="1052" customHeight="1" spans="1:31">
      <c r="A1052" s="2" t="s">
        <v>1108</v>
      </c>
      <c r="B1052" s="2">
        <v>117</v>
      </c>
      <c r="C1052" s="2">
        <v>20101861</v>
      </c>
      <c r="D1052" s="2" t="s">
        <v>951</v>
      </c>
      <c r="E1052" s="2" t="s">
        <v>40</v>
      </c>
      <c r="F1052" t="s">
        <v>56</v>
      </c>
      <c r="G1052" t="s">
        <v>24</v>
      </c>
      <c r="H1052" t="s">
        <v>24</v>
      </c>
      <c r="N1052" s="2" t="s">
        <v>18</v>
      </c>
      <c r="O1052" s="2" t="s">
        <v>19</v>
      </c>
      <c r="P1052" s="2">
        <v>45000000</v>
      </c>
      <c r="Q1052" s="2">
        <v>6</v>
      </c>
      <c r="R1052" s="2" t="s">
        <v>2443</v>
      </c>
      <c r="S1052" s="2"/>
      <c r="U1052" s="2" t="s">
        <v>2444</v>
      </c>
      <c r="V1052">
        <f ca="1" t="shared" si="31"/>
        <v>6.5</v>
      </c>
      <c r="AC1052" s="2"/>
      <c r="AD1052" t="str">
        <f>IFERROR(__xludf.DUMMYFUNCTION("""COMPUTED_VALUE"""),"The Beach ")</f>
        <v>The Beach </v>
      </c>
      <c r="AE1052">
        <f t="shared" si="32"/>
        <v>39778480</v>
      </c>
    </row>
    <row r="1053" customHeight="1" spans="1:31">
      <c r="A1053" s="2" t="s">
        <v>1422</v>
      </c>
      <c r="B1053" s="2">
        <v>86</v>
      </c>
      <c r="C1053" s="2">
        <v>25200412</v>
      </c>
      <c r="D1053" s="2" t="s">
        <v>2445</v>
      </c>
      <c r="E1053" s="2" t="s">
        <v>13</v>
      </c>
      <c r="F1053" t="s">
        <v>17</v>
      </c>
      <c r="G1053" t="s">
        <v>56</v>
      </c>
      <c r="H1053" t="s">
        <v>17</v>
      </c>
      <c r="N1053" s="2" t="s">
        <v>18</v>
      </c>
      <c r="O1053" s="2" t="s">
        <v>19</v>
      </c>
      <c r="P1053" s="2">
        <v>45000000</v>
      </c>
      <c r="Q1053" s="2">
        <v>5.4</v>
      </c>
      <c r="R1053" s="2" t="s">
        <v>2446</v>
      </c>
      <c r="S1053" s="2"/>
      <c r="U1053" s="2" t="s">
        <v>2447</v>
      </c>
      <c r="V1053">
        <f ca="1" t="shared" si="31"/>
        <v>6.7</v>
      </c>
      <c r="AC1053" s="2"/>
      <c r="AD1053" t="str">
        <f>IFERROR(__xludf.DUMMYFUNCTION("""COMPUTED_VALUE"""),"Raising Helen ")</f>
        <v>Raising Helen </v>
      </c>
      <c r="AE1053">
        <f t="shared" si="32"/>
        <v>37486019</v>
      </c>
    </row>
    <row r="1054" customHeight="1" spans="1:31">
      <c r="A1054" s="2" t="s">
        <v>1424</v>
      </c>
      <c r="B1054" s="2">
        <v>124</v>
      </c>
      <c r="C1054" s="2">
        <v>19719930</v>
      </c>
      <c r="D1054" s="2" t="s">
        <v>814</v>
      </c>
      <c r="E1054" s="2" t="s">
        <v>56</v>
      </c>
      <c r="F1054" t="s">
        <v>28</v>
      </c>
      <c r="G1054" t="s">
        <v>30</v>
      </c>
      <c r="H1054" t="s">
        <v>24</v>
      </c>
      <c r="N1054" s="2" t="s">
        <v>18</v>
      </c>
      <c r="O1054" s="2" t="s">
        <v>19</v>
      </c>
      <c r="P1054" s="2">
        <v>45000000</v>
      </c>
      <c r="Q1054" s="2">
        <v>6.8</v>
      </c>
      <c r="R1054" s="2" t="s">
        <v>2448</v>
      </c>
      <c r="S1054" s="2"/>
      <c r="U1054" s="2" t="s">
        <v>2449</v>
      </c>
      <c r="V1054">
        <f ca="1" t="shared" si="31"/>
        <v>6.45</v>
      </c>
      <c r="AC1054" s="2"/>
      <c r="AD1054" t="str">
        <f>IFERROR(__xludf.DUMMYFUNCTION("""COMPUTED_VALUE"""),"Ninja Assassin ")</f>
        <v>Ninja Assassin </v>
      </c>
      <c r="AE1054">
        <f t="shared" si="32"/>
        <v>38104978</v>
      </c>
    </row>
    <row r="1055" customHeight="1" spans="1:31">
      <c r="A1055" s="2" t="s">
        <v>1427</v>
      </c>
      <c r="B1055" s="2">
        <v>134</v>
      </c>
      <c r="C1055" s="2">
        <v>19377727</v>
      </c>
      <c r="D1055" s="2" t="s">
        <v>2450</v>
      </c>
      <c r="E1055" s="2" t="s">
        <v>40</v>
      </c>
      <c r="F1055" t="s">
        <v>14</v>
      </c>
      <c r="G1055" t="s">
        <v>17</v>
      </c>
      <c r="H1055" t="s">
        <v>24</v>
      </c>
      <c r="N1055" s="2" t="s">
        <v>18</v>
      </c>
      <c r="O1055" s="2" t="s">
        <v>19</v>
      </c>
      <c r="P1055" s="2">
        <v>45000000</v>
      </c>
      <c r="Q1055" s="2">
        <v>6.4</v>
      </c>
      <c r="R1055" s="2" t="s">
        <v>2451</v>
      </c>
      <c r="S1055" s="2"/>
      <c r="U1055" s="2" t="s">
        <v>2452</v>
      </c>
      <c r="V1055">
        <f ca="1" t="shared" si="31"/>
        <v>5.6</v>
      </c>
      <c r="AC1055" s="2"/>
      <c r="AD1055" t="str">
        <f>IFERROR(__xludf.DUMMYFUNCTION("""COMPUTED_VALUE"""),"For Love of the Game ")</f>
        <v>For Love of the Game </v>
      </c>
      <c r="AE1055">
        <f t="shared" si="32"/>
        <v>35168258</v>
      </c>
    </row>
    <row r="1056" customHeight="1" spans="1:31">
      <c r="A1056" s="2" t="s">
        <v>1429</v>
      </c>
      <c r="B1056" s="2">
        <v>100</v>
      </c>
      <c r="C1056" s="2">
        <v>17300889</v>
      </c>
      <c r="D1056" s="2" t="s">
        <v>930</v>
      </c>
      <c r="E1056" s="2" t="s">
        <v>12</v>
      </c>
      <c r="F1056" t="s">
        <v>56</v>
      </c>
      <c r="G1056" t="s">
        <v>17</v>
      </c>
      <c r="H1056" t="s">
        <v>17</v>
      </c>
      <c r="N1056" s="2" t="s">
        <v>18</v>
      </c>
      <c r="O1056" s="2" t="s">
        <v>159</v>
      </c>
      <c r="P1056" s="2">
        <v>45000000</v>
      </c>
      <c r="Q1056" s="2">
        <v>4.9</v>
      </c>
      <c r="R1056" s="2" t="s">
        <v>2453</v>
      </c>
      <c r="S1056" s="2"/>
      <c r="U1056" s="2" t="s">
        <v>2454</v>
      </c>
      <c r="V1056">
        <f ca="1" t="shared" si="31"/>
        <v>6.4</v>
      </c>
      <c r="AC1056" s="2"/>
      <c r="AD1056" t="str">
        <f>IFERROR(__xludf.DUMMYFUNCTION("""COMPUTED_VALUE"""),"Striptease ")</f>
        <v>Striptease </v>
      </c>
      <c r="AE1056">
        <f t="shared" si="32"/>
        <v>32799883</v>
      </c>
    </row>
    <row r="1057" customHeight="1" spans="1:31">
      <c r="A1057" s="2" t="s">
        <v>1433</v>
      </c>
      <c r="B1057" s="2">
        <v>220</v>
      </c>
      <c r="C1057" s="2">
        <v>15527125</v>
      </c>
      <c r="D1057" s="2" t="s">
        <v>1639</v>
      </c>
      <c r="E1057" s="2" t="s">
        <v>30</v>
      </c>
      <c r="F1057" t="s">
        <v>40</v>
      </c>
      <c r="G1057" t="s">
        <v>28</v>
      </c>
      <c r="H1057" t="s">
        <v>16</v>
      </c>
      <c r="N1057" s="2" t="s">
        <v>18</v>
      </c>
      <c r="O1057" s="2" t="s">
        <v>19</v>
      </c>
      <c r="P1057" s="2">
        <v>57000000</v>
      </c>
      <c r="Q1057" s="2">
        <v>5.8</v>
      </c>
      <c r="R1057" s="2" t="s">
        <v>2455</v>
      </c>
      <c r="S1057" s="2"/>
      <c r="U1057" s="2" t="s">
        <v>2456</v>
      </c>
      <c r="V1057">
        <f ca="1" t="shared" si="31"/>
        <v>4.9</v>
      </c>
      <c r="AC1057" s="2"/>
      <c r="AD1057" t="str">
        <f>IFERROR(__xludf.DUMMYFUNCTION("""COMPUTED_VALUE"""),"Marmaduke ")</f>
        <v>Marmaduke </v>
      </c>
      <c r="AE1057">
        <f t="shared" si="32"/>
        <v>33643374</v>
      </c>
    </row>
    <row r="1058" customHeight="1" spans="1:31">
      <c r="A1058" s="2" t="s">
        <v>291</v>
      </c>
      <c r="B1058" s="2">
        <v>212</v>
      </c>
      <c r="C1058" s="2">
        <v>13560960</v>
      </c>
      <c r="D1058" s="2" t="s">
        <v>2457</v>
      </c>
      <c r="E1058" s="2" t="s">
        <v>59</v>
      </c>
      <c r="F1058" t="s">
        <v>30</v>
      </c>
      <c r="G1058" t="s">
        <v>24</v>
      </c>
      <c r="H1058" t="s">
        <v>24</v>
      </c>
      <c r="N1058" s="2" t="s">
        <v>18</v>
      </c>
      <c r="O1058" s="2" t="s">
        <v>19</v>
      </c>
      <c r="P1058" s="2">
        <v>50000000</v>
      </c>
      <c r="Q1058" s="2">
        <v>7.1</v>
      </c>
      <c r="R1058" s="2" t="s">
        <v>2458</v>
      </c>
      <c r="S1058" s="2"/>
      <c r="U1058" s="2" t="s">
        <v>2459</v>
      </c>
      <c r="V1058">
        <f ca="1" t="shared" si="31"/>
        <v>4.65</v>
      </c>
      <c r="AC1058" s="2"/>
      <c r="AD1058" t="str">
        <f>IFERROR(__xludf.DUMMYFUNCTION("""COMPUTED_VALUE"""),"Hereafter ")</f>
        <v>Hereafter </v>
      </c>
      <c r="AE1058">
        <f t="shared" si="32"/>
        <v>32741467</v>
      </c>
    </row>
    <row r="1059" customHeight="1" spans="1:31">
      <c r="A1059" s="2" t="s">
        <v>1019</v>
      </c>
      <c r="B1059" s="2">
        <v>128</v>
      </c>
      <c r="C1059" s="2">
        <v>15523168</v>
      </c>
      <c r="D1059" s="2" t="s">
        <v>328</v>
      </c>
      <c r="E1059" s="2" t="s">
        <v>28</v>
      </c>
      <c r="F1059" t="s">
        <v>35</v>
      </c>
      <c r="G1059" t="s">
        <v>17</v>
      </c>
      <c r="H1059" t="s">
        <v>15</v>
      </c>
      <c r="N1059" s="2" t="s">
        <v>18</v>
      </c>
      <c r="O1059" s="2" t="s">
        <v>707</v>
      </c>
      <c r="P1059" s="2">
        <v>45000000</v>
      </c>
      <c r="Q1059" s="2">
        <v>7.2</v>
      </c>
      <c r="R1059" s="2" t="s">
        <v>2460</v>
      </c>
      <c r="S1059" s="2"/>
      <c r="U1059" s="2" t="s">
        <v>2461</v>
      </c>
      <c r="V1059">
        <f ca="1" t="shared" si="31"/>
        <v>5.8</v>
      </c>
      <c r="AC1059" s="2"/>
      <c r="AD1059" t="str">
        <f>IFERROR(__xludf.DUMMYFUNCTION("""COMPUTED_VALUE"""),"Murder by Numbers ")</f>
        <v>Murder by Numbers </v>
      </c>
      <c r="AE1059">
        <f t="shared" si="32"/>
        <v>31874754</v>
      </c>
    </row>
    <row r="1060" customHeight="1" spans="1:31">
      <c r="A1060" s="2" t="s">
        <v>220</v>
      </c>
      <c r="B1060" s="2">
        <v>106</v>
      </c>
      <c r="C1060" s="2">
        <v>11146409</v>
      </c>
      <c r="D1060" s="2" t="s">
        <v>1378</v>
      </c>
      <c r="E1060" s="2" t="s">
        <v>12</v>
      </c>
      <c r="F1060" t="s">
        <v>17</v>
      </c>
      <c r="G1060" t="s">
        <v>40</v>
      </c>
      <c r="H1060" t="s">
        <v>24</v>
      </c>
      <c r="N1060" s="2" t="s">
        <v>18</v>
      </c>
      <c r="O1060" s="2" t="s">
        <v>19</v>
      </c>
      <c r="P1060" s="2">
        <v>45000000</v>
      </c>
      <c r="Q1060" s="2">
        <v>6</v>
      </c>
      <c r="R1060" s="2" t="s">
        <v>2462</v>
      </c>
      <c r="S1060" s="2"/>
      <c r="U1060" s="2" t="s">
        <v>2463</v>
      </c>
      <c r="V1060">
        <f ca="1" t="shared" si="31"/>
        <v>6.7</v>
      </c>
      <c r="AC1060" s="2"/>
      <c r="AD1060" t="str">
        <f>IFERROR(__xludf.DUMMYFUNCTION("""COMPUTED_VALUE"""),"Assassins ")</f>
        <v>Assassins </v>
      </c>
      <c r="AE1060">
        <f t="shared" si="32"/>
        <v>30306136</v>
      </c>
    </row>
    <row r="1061" customHeight="1" spans="1:31">
      <c r="A1061" s="2" t="s">
        <v>1259</v>
      </c>
      <c r="B1061" s="2">
        <v>160</v>
      </c>
      <c r="C1061" s="2">
        <v>7916887</v>
      </c>
      <c r="D1061" s="2" t="s">
        <v>2464</v>
      </c>
      <c r="E1061" s="2" t="s">
        <v>12</v>
      </c>
      <c r="F1061" t="s">
        <v>30</v>
      </c>
      <c r="G1061" t="s">
        <v>30</v>
      </c>
      <c r="H1061" t="s">
        <v>39</v>
      </c>
      <c r="N1061" s="2" t="s">
        <v>18</v>
      </c>
      <c r="O1061" s="2" t="s">
        <v>19</v>
      </c>
      <c r="P1061" s="2">
        <v>45000000</v>
      </c>
      <c r="Q1061" s="2">
        <v>6</v>
      </c>
      <c r="R1061" s="2" t="s">
        <v>2465</v>
      </c>
      <c r="S1061" s="2"/>
      <c r="U1061" s="2" t="s">
        <v>2466</v>
      </c>
      <c r="V1061">
        <f ca="1" t="shared" si="31"/>
        <v>5.9</v>
      </c>
      <c r="AC1061" s="2"/>
      <c r="AD1061" t="str">
        <f>IFERROR(__xludf.DUMMYFUNCTION("""COMPUTED_VALUE"""),"Hannibal Rising ")</f>
        <v>Hannibal Rising </v>
      </c>
      <c r="AE1061">
        <f t="shared" si="32"/>
        <v>27667816</v>
      </c>
    </row>
    <row r="1062" customHeight="1" spans="1:31">
      <c r="A1062" s="2" t="s">
        <v>673</v>
      </c>
      <c r="B1062" s="2">
        <v>114</v>
      </c>
      <c r="C1062" s="2">
        <v>6565495</v>
      </c>
      <c r="D1062" s="2" t="s">
        <v>103</v>
      </c>
      <c r="E1062" s="2" t="s">
        <v>30</v>
      </c>
      <c r="F1062" t="s">
        <v>40</v>
      </c>
      <c r="G1062" t="s">
        <v>40</v>
      </c>
      <c r="H1062" t="s">
        <v>17</v>
      </c>
      <c r="N1062" s="2" t="s">
        <v>722</v>
      </c>
      <c r="O1062" s="2" t="s">
        <v>343</v>
      </c>
      <c r="P1062" s="2">
        <v>45000000</v>
      </c>
      <c r="Q1062" s="2">
        <v>7</v>
      </c>
      <c r="R1062" s="2" t="s">
        <v>2467</v>
      </c>
      <c r="S1062" s="2"/>
      <c r="U1062" s="2" t="s">
        <v>2468</v>
      </c>
      <c r="V1062">
        <f ca="1" t="shared" si="31"/>
        <v>7.4</v>
      </c>
      <c r="AC1062" s="2"/>
      <c r="AD1062" t="str">
        <f>IFERROR(__xludf.DUMMYFUNCTION("""COMPUTED_VALUE"""),"The Story of Us ")</f>
        <v>The Story of Us </v>
      </c>
      <c r="AE1062">
        <f t="shared" si="32"/>
        <v>27067065</v>
      </c>
    </row>
    <row r="1063" customHeight="1" spans="1:31">
      <c r="A1063" s="2" t="s">
        <v>1435</v>
      </c>
      <c r="B1063" s="2">
        <v>99</v>
      </c>
      <c r="C1063" s="2">
        <v>15279680</v>
      </c>
      <c r="D1063" s="2" t="s">
        <v>150</v>
      </c>
      <c r="E1063" s="2" t="s">
        <v>12</v>
      </c>
      <c r="F1063" t="s">
        <v>30</v>
      </c>
      <c r="G1063" t="s">
        <v>29</v>
      </c>
      <c r="H1063" t="s">
        <v>24</v>
      </c>
      <c r="N1063" s="2" t="s">
        <v>18</v>
      </c>
      <c r="O1063" s="2" t="s">
        <v>19</v>
      </c>
      <c r="P1063" s="2">
        <v>40000000</v>
      </c>
      <c r="Q1063" s="2">
        <v>5.4</v>
      </c>
      <c r="R1063" s="2" t="s">
        <v>2469</v>
      </c>
      <c r="S1063" s="2"/>
      <c r="U1063" s="2" t="s">
        <v>2470</v>
      </c>
      <c r="V1063">
        <f ca="1" t="shared" si="31"/>
        <v>4.45</v>
      </c>
      <c r="AC1063" s="2"/>
      <c r="AD1063" t="str">
        <f>IFERROR(__xludf.DUMMYFUNCTION("""COMPUTED_VALUE"""),"The Host ")</f>
        <v>The Host </v>
      </c>
      <c r="AE1063">
        <f t="shared" si="32"/>
        <v>26616874</v>
      </c>
    </row>
    <row r="1064" customHeight="1" spans="1:31">
      <c r="A1064" s="2" t="s">
        <v>85</v>
      </c>
      <c r="B1064" s="2">
        <v>74</v>
      </c>
      <c r="C1064" s="2">
        <v>7262288</v>
      </c>
      <c r="D1064" s="2" t="s">
        <v>2471</v>
      </c>
      <c r="E1064" s="2" t="s">
        <v>40</v>
      </c>
      <c r="F1064" t="s">
        <v>40</v>
      </c>
      <c r="G1064" t="s">
        <v>24</v>
      </c>
      <c r="H1064" t="s">
        <v>17</v>
      </c>
      <c r="N1064" s="2" t="s">
        <v>18</v>
      </c>
      <c r="O1064" s="2" t="s">
        <v>19</v>
      </c>
      <c r="P1064" s="2">
        <v>40000000</v>
      </c>
      <c r="Q1064" s="2">
        <v>6.5</v>
      </c>
      <c r="R1064" s="2" t="s">
        <v>2472</v>
      </c>
      <c r="S1064" s="2"/>
      <c r="U1064" s="2" t="s">
        <v>2473</v>
      </c>
      <c r="V1064">
        <f ca="1" t="shared" si="31"/>
        <v>7.6</v>
      </c>
      <c r="AC1064" s="2"/>
      <c r="AD1064" t="str">
        <f>IFERROR(__xludf.DUMMYFUNCTION("""COMPUTED_VALUE"""),"Basic ")</f>
        <v>Basic </v>
      </c>
      <c r="AE1064">
        <f t="shared" si="32"/>
        <v>26536022</v>
      </c>
    </row>
    <row r="1065" customHeight="1" spans="1:31">
      <c r="A1065" s="2" t="s">
        <v>161</v>
      </c>
      <c r="B1065" s="2">
        <v>139</v>
      </c>
      <c r="C1065" s="2">
        <v>4584886</v>
      </c>
      <c r="D1065" s="2" t="s">
        <v>103</v>
      </c>
      <c r="E1065" s="2" t="s">
        <v>30</v>
      </c>
      <c r="F1065" t="s">
        <v>30</v>
      </c>
      <c r="G1065" t="s">
        <v>39</v>
      </c>
      <c r="H1065" t="s">
        <v>24</v>
      </c>
      <c r="N1065" s="2" t="s">
        <v>18</v>
      </c>
      <c r="O1065" s="2" t="s">
        <v>19</v>
      </c>
      <c r="P1065" s="2">
        <v>45000000</v>
      </c>
      <c r="Q1065" s="2">
        <v>6.4</v>
      </c>
      <c r="R1065" s="2" t="s">
        <v>2474</v>
      </c>
      <c r="S1065" s="2"/>
      <c r="U1065" s="2" t="s">
        <v>2475</v>
      </c>
      <c r="V1065">
        <f ca="1" t="shared" si="31"/>
        <v>6.9</v>
      </c>
      <c r="AC1065" s="2"/>
      <c r="AD1065" t="str">
        <f>IFERROR(__xludf.DUMMYFUNCTION("""COMPUTED_VALUE"""),"Blood Work ")</f>
        <v>Blood Work </v>
      </c>
      <c r="AE1065">
        <f t="shared" si="32"/>
        <v>26199407</v>
      </c>
    </row>
    <row r="1066" customHeight="1" spans="1:31">
      <c r="A1066" s="2" t="s">
        <v>1437</v>
      </c>
      <c r="B1066" s="2">
        <v>103</v>
      </c>
      <c r="C1066" s="2">
        <v>2154540</v>
      </c>
      <c r="D1066" s="2" t="s">
        <v>34</v>
      </c>
      <c r="E1066" s="2" t="s">
        <v>12</v>
      </c>
      <c r="F1066" t="s">
        <v>30</v>
      </c>
      <c r="G1066" t="s">
        <v>40</v>
      </c>
      <c r="H1066" t="s">
        <v>15</v>
      </c>
      <c r="N1066" s="2" t="s">
        <v>18</v>
      </c>
      <c r="O1066" s="2" t="s">
        <v>19</v>
      </c>
      <c r="P1066" s="2">
        <v>45000000</v>
      </c>
      <c r="Q1066" s="2">
        <v>4.9</v>
      </c>
      <c r="R1066" s="2" t="s">
        <v>2476</v>
      </c>
      <c r="S1066" s="2"/>
      <c r="U1066" s="2" t="s">
        <v>2477</v>
      </c>
      <c r="V1066">
        <f ca="1" t="shared" si="31"/>
        <v>5.5</v>
      </c>
      <c r="AC1066" s="2"/>
      <c r="AD1066" t="str">
        <f>IFERROR(__xludf.DUMMYFUNCTION("""COMPUTED_VALUE"""),"The International ")</f>
        <v>The International </v>
      </c>
      <c r="AE1066">
        <f t="shared" si="32"/>
        <v>25450409</v>
      </c>
    </row>
    <row r="1067" customHeight="1" spans="1:31">
      <c r="A1067" s="2" t="s">
        <v>1440</v>
      </c>
      <c r="B1067" s="2">
        <v>101</v>
      </c>
      <c r="C1067" s="2">
        <v>8129455</v>
      </c>
      <c r="D1067" s="2" t="s">
        <v>505</v>
      </c>
      <c r="E1067" s="2" t="s">
        <v>12</v>
      </c>
      <c r="F1067" t="s">
        <v>72</v>
      </c>
      <c r="G1067" t="s">
        <v>71</v>
      </c>
      <c r="H1067" t="s">
        <v>24</v>
      </c>
      <c r="N1067" s="2" t="s">
        <v>18</v>
      </c>
      <c r="O1067" s="2" t="s">
        <v>19</v>
      </c>
      <c r="P1067" s="2">
        <v>45000000</v>
      </c>
      <c r="Q1067" s="2">
        <v>6.3</v>
      </c>
      <c r="R1067" s="2" t="s">
        <v>2478</v>
      </c>
      <c r="S1067" s="2"/>
      <c r="U1067" s="2" t="s">
        <v>2479</v>
      </c>
      <c r="V1067">
        <f ca="1" t="shared" si="31"/>
        <v>6.8</v>
      </c>
      <c r="AC1067" s="2"/>
      <c r="AD1067" t="str">
        <f>IFERROR(__xludf.DUMMYFUNCTION("""COMPUTED_VALUE"""),"Escape from L.A. ")</f>
        <v>Escape from L.A. </v>
      </c>
      <c r="AE1067">
        <f t="shared" si="32"/>
        <v>25407149</v>
      </c>
    </row>
    <row r="1068" customHeight="1" spans="1:31">
      <c r="A1068" s="2" t="s">
        <v>1442</v>
      </c>
      <c r="B1068" s="2">
        <v>130</v>
      </c>
      <c r="C1068" s="2">
        <v>136019448</v>
      </c>
      <c r="D1068" s="2" t="s">
        <v>2480</v>
      </c>
      <c r="E1068" s="2" t="s">
        <v>59</v>
      </c>
      <c r="F1068" t="s">
        <v>13</v>
      </c>
      <c r="G1068" t="s">
        <v>17</v>
      </c>
      <c r="H1068" t="s">
        <v>24</v>
      </c>
      <c r="N1068" s="2" t="s">
        <v>18</v>
      </c>
      <c r="O1068" s="2" t="s">
        <v>19</v>
      </c>
      <c r="P1068" s="2">
        <v>44500000</v>
      </c>
      <c r="Q1068" s="2">
        <v>7.7</v>
      </c>
      <c r="R1068" s="2" t="s">
        <v>2481</v>
      </c>
      <c r="S1068" s="2"/>
      <c r="U1068" s="2" t="s">
        <v>2482</v>
      </c>
      <c r="V1068">
        <f ca="1" t="shared" si="31"/>
        <v>6.35</v>
      </c>
      <c r="AC1068" s="2"/>
      <c r="AD1068" t="str">
        <f>IFERROR(__xludf.DUMMYFUNCTION("""COMPUTED_VALUE"""),"The Iron Giant ")</f>
        <v>The Iron Giant </v>
      </c>
      <c r="AE1068">
        <f t="shared" si="32"/>
        <v>23159215</v>
      </c>
    </row>
    <row r="1069" customHeight="1" spans="1:31">
      <c r="A1069" s="2" t="s">
        <v>771</v>
      </c>
      <c r="B1069" s="2">
        <v>130</v>
      </c>
      <c r="C1069" s="2">
        <v>183875760</v>
      </c>
      <c r="D1069" s="2" t="s">
        <v>2483</v>
      </c>
      <c r="E1069" s="2" t="s">
        <v>12</v>
      </c>
      <c r="F1069" t="s">
        <v>72</v>
      </c>
      <c r="G1069" t="s">
        <v>15</v>
      </c>
      <c r="H1069" t="s">
        <v>24</v>
      </c>
      <c r="N1069" s="2" t="s">
        <v>18</v>
      </c>
      <c r="O1069" s="2" t="s">
        <v>19</v>
      </c>
      <c r="P1069" s="2">
        <v>44000000</v>
      </c>
      <c r="Q1069" s="2">
        <v>7.8</v>
      </c>
      <c r="R1069" s="2" t="s">
        <v>2484</v>
      </c>
      <c r="S1069" s="2"/>
      <c r="U1069" s="2" t="s">
        <v>2485</v>
      </c>
      <c r="V1069">
        <f ca="1" t="shared" si="31"/>
        <v>5.05</v>
      </c>
      <c r="AC1069" s="2"/>
      <c r="AD1069" t="str">
        <f>IFERROR(__xludf.DUMMYFUNCTION("""COMPUTED_VALUE"""),"The Life Aquatic with Steve Zissou ")</f>
        <v>The Life Aquatic with Steve Zissou </v>
      </c>
      <c r="AE1069">
        <f t="shared" si="32"/>
        <v>24006607</v>
      </c>
    </row>
    <row r="1070" customHeight="1" spans="1:31">
      <c r="A1070" s="2" t="s">
        <v>894</v>
      </c>
      <c r="B1070" s="2">
        <v>110</v>
      </c>
      <c r="C1070" s="2">
        <v>67061228</v>
      </c>
      <c r="D1070" s="2" t="s">
        <v>524</v>
      </c>
      <c r="E1070" s="2" t="s">
        <v>12</v>
      </c>
      <c r="F1070" t="s">
        <v>56</v>
      </c>
      <c r="G1070" t="s">
        <v>24</v>
      </c>
      <c r="H1070" t="s">
        <v>17</v>
      </c>
      <c r="N1070" s="2" t="s">
        <v>18</v>
      </c>
      <c r="O1070" s="2" t="s">
        <v>19</v>
      </c>
      <c r="P1070" s="2">
        <v>40000000</v>
      </c>
      <c r="Q1070" s="2">
        <v>5.5</v>
      </c>
      <c r="R1070" s="2" t="s">
        <v>2486</v>
      </c>
      <c r="S1070" s="2"/>
      <c r="U1070" s="2" t="s">
        <v>2487</v>
      </c>
      <c r="V1070">
        <f ca="1" t="shared" si="31"/>
        <v>6.3</v>
      </c>
      <c r="AC1070" s="2"/>
      <c r="AD1070" t="str">
        <f>IFERROR(__xludf.DUMMYFUNCTION("""COMPUTED_VALUE"""),"Free State of Jones ")</f>
        <v>Free State of Jones </v>
      </c>
      <c r="AE1070">
        <f t="shared" si="32"/>
        <v>20389828</v>
      </c>
    </row>
    <row r="1071" customHeight="1" spans="1:31">
      <c r="A1071" s="2" t="s">
        <v>889</v>
      </c>
      <c r="B1071" s="2">
        <v>147</v>
      </c>
      <c r="C1071" s="2">
        <v>53300852</v>
      </c>
      <c r="D1071" s="2" t="s">
        <v>805</v>
      </c>
      <c r="E1071" s="2" t="s">
        <v>56</v>
      </c>
      <c r="F1071" t="s">
        <v>40</v>
      </c>
      <c r="G1071" t="s">
        <v>29</v>
      </c>
      <c r="H1071" t="s">
        <v>17</v>
      </c>
      <c r="N1071" s="2" t="s">
        <v>18</v>
      </c>
      <c r="O1071" s="2" t="s">
        <v>19</v>
      </c>
      <c r="P1071" s="2">
        <v>44000000</v>
      </c>
      <c r="Q1071" s="2">
        <v>7.5</v>
      </c>
      <c r="R1071" s="2" t="s">
        <v>2488</v>
      </c>
      <c r="S1071" s="2"/>
      <c r="U1071" s="2" t="s">
        <v>2489</v>
      </c>
      <c r="V1071">
        <f ca="1" t="shared" si="31"/>
        <v>6.06666666666667</v>
      </c>
      <c r="AC1071" s="2"/>
      <c r="AD1071" t="str">
        <f>IFERROR(__xludf.DUMMYFUNCTION("""COMPUTED_VALUE"""),"The Life of David Gale ")</f>
        <v>The Life of David Gale </v>
      </c>
      <c r="AE1071">
        <f t="shared" si="32"/>
        <v>19593610</v>
      </c>
    </row>
    <row r="1072" customHeight="1" spans="1:31">
      <c r="A1072" s="2" t="s">
        <v>1437</v>
      </c>
      <c r="B1072" s="2">
        <v>96</v>
      </c>
      <c r="C1072" s="2">
        <v>150415432</v>
      </c>
      <c r="D1072" s="2" t="s">
        <v>1823</v>
      </c>
      <c r="E1072" s="2" t="s">
        <v>12</v>
      </c>
      <c r="F1072" t="s">
        <v>30</v>
      </c>
      <c r="G1072" t="s">
        <v>28</v>
      </c>
      <c r="H1072" t="s">
        <v>24</v>
      </c>
      <c r="N1072" s="2" t="s">
        <v>18</v>
      </c>
      <c r="O1072" s="2" t="s">
        <v>19</v>
      </c>
      <c r="P1072" s="2">
        <v>44000000</v>
      </c>
      <c r="Q1072" s="2">
        <v>6.4</v>
      </c>
      <c r="R1072" s="2" t="s">
        <v>2490</v>
      </c>
      <c r="S1072" s="2"/>
      <c r="U1072" s="2" t="s">
        <v>2491</v>
      </c>
      <c r="V1072">
        <f ca="1" t="shared" si="31"/>
        <v>7.75</v>
      </c>
      <c r="AC1072" s="2"/>
      <c r="AD1072" t="str">
        <f>IFERROR(__xludf.DUMMYFUNCTION("""COMPUTED_VALUE"""),"Man of the House ")</f>
        <v>Man of the House </v>
      </c>
      <c r="AE1072">
        <f t="shared" si="32"/>
        <v>19118147</v>
      </c>
    </row>
    <row r="1073" customHeight="1" spans="1:31">
      <c r="A1073" s="2" t="s">
        <v>1444</v>
      </c>
      <c r="B1073" s="2">
        <v>118</v>
      </c>
      <c r="C1073" s="2">
        <v>44834712</v>
      </c>
      <c r="D1073" s="2" t="s">
        <v>1655</v>
      </c>
      <c r="E1073" s="2" t="s">
        <v>30</v>
      </c>
      <c r="F1073" t="s">
        <v>13</v>
      </c>
      <c r="G1073" t="s">
        <v>23</v>
      </c>
      <c r="H1073" t="s">
        <v>24</v>
      </c>
      <c r="N1073" s="2" t="s">
        <v>18</v>
      </c>
      <c r="O1073" s="2" t="s">
        <v>19</v>
      </c>
      <c r="P1073" s="2">
        <v>44000000</v>
      </c>
      <c r="Q1073" s="2">
        <v>5.6</v>
      </c>
      <c r="R1073" s="2" t="s">
        <v>2492</v>
      </c>
      <c r="S1073" s="2"/>
      <c r="U1073" s="2" t="s">
        <v>2493</v>
      </c>
      <c r="V1073">
        <f ca="1" t="shared" si="31"/>
        <v>7.6</v>
      </c>
      <c r="AC1073" s="2"/>
      <c r="AD1073" t="str">
        <f>IFERROR(__xludf.DUMMYFUNCTION("""COMPUTED_VALUE"""),"Run All Night ")</f>
        <v>Run All Night </v>
      </c>
      <c r="AE1073">
        <f t="shared" si="32"/>
        <v>26442137</v>
      </c>
    </row>
    <row r="1074" customHeight="1" spans="1:31">
      <c r="A1074" s="2" t="s">
        <v>1446</v>
      </c>
      <c r="B1074" s="2">
        <v>88</v>
      </c>
      <c r="C1074" s="2">
        <v>84300000</v>
      </c>
      <c r="D1074" s="2" t="s">
        <v>2494</v>
      </c>
      <c r="E1074" s="2" t="s">
        <v>35</v>
      </c>
      <c r="F1074" t="s">
        <v>40</v>
      </c>
      <c r="G1074" t="s">
        <v>15</v>
      </c>
      <c r="H1074" t="s">
        <v>23</v>
      </c>
      <c r="N1074" s="2" t="s">
        <v>18</v>
      </c>
      <c r="O1074" s="2" t="s">
        <v>19</v>
      </c>
      <c r="P1074" s="2">
        <v>2600000</v>
      </c>
      <c r="Q1074" s="2">
        <v>7.5</v>
      </c>
      <c r="R1074" s="2" t="s">
        <v>2495</v>
      </c>
      <c r="S1074" s="2"/>
      <c r="U1074" s="2" t="s">
        <v>2496</v>
      </c>
      <c r="V1074">
        <f ca="1" t="shared" si="31"/>
        <v>4.8</v>
      </c>
      <c r="AC1074" s="2"/>
      <c r="AD1074" t="str">
        <f>IFERROR(__xludf.DUMMYFUNCTION("""COMPUTED_VALUE"""),"Eastern Promises ")</f>
        <v>Eastern Promises </v>
      </c>
      <c r="AE1074">
        <f t="shared" si="32"/>
        <v>17114786</v>
      </c>
    </row>
    <row r="1075" customHeight="1" spans="1:31">
      <c r="A1075" s="2" t="s">
        <v>1448</v>
      </c>
      <c r="B1075" s="2">
        <v>325</v>
      </c>
      <c r="C1075" s="2">
        <v>1500000</v>
      </c>
      <c r="D1075" s="2" t="s">
        <v>2497</v>
      </c>
      <c r="E1075" s="2" t="s">
        <v>13</v>
      </c>
      <c r="F1075" t="s">
        <v>14</v>
      </c>
      <c r="G1075" t="s">
        <v>24</v>
      </c>
      <c r="H1075" t="s">
        <v>28</v>
      </c>
      <c r="N1075" s="2" t="s">
        <v>18</v>
      </c>
      <c r="O1075" s="2" t="s">
        <v>19</v>
      </c>
      <c r="P1075" s="2">
        <v>44000000</v>
      </c>
      <c r="Q1075" s="2">
        <v>6.8</v>
      </c>
      <c r="R1075" s="2" t="s">
        <v>2498</v>
      </c>
      <c r="S1075" s="2"/>
      <c r="U1075" s="2" t="s">
        <v>2499</v>
      </c>
      <c r="V1075">
        <f ca="1" t="shared" si="31"/>
        <v>3.3</v>
      </c>
      <c r="AC1075" s="2"/>
      <c r="AD1075" t="str">
        <f>IFERROR(__xludf.DUMMYFUNCTION("""COMPUTED_VALUE"""),"Into the Blue ")</f>
        <v>Into the Blue </v>
      </c>
      <c r="AE1075">
        <f t="shared" si="32"/>
        <v>18472253</v>
      </c>
    </row>
    <row r="1076" customHeight="1" spans="1:31">
      <c r="A1076" s="2" t="s">
        <v>585</v>
      </c>
      <c r="B1076" s="2">
        <v>102</v>
      </c>
      <c r="C1076" s="2">
        <v>62318875</v>
      </c>
      <c r="D1076" s="2" t="s">
        <v>120</v>
      </c>
      <c r="E1076" s="2" t="s">
        <v>12</v>
      </c>
      <c r="F1076" t="s">
        <v>40</v>
      </c>
      <c r="G1076" t="s">
        <v>23</v>
      </c>
      <c r="H1076" t="s">
        <v>24</v>
      </c>
      <c r="N1076" s="2" t="s">
        <v>18</v>
      </c>
      <c r="O1076" s="2" t="s">
        <v>19</v>
      </c>
      <c r="P1076" s="2">
        <v>50000000</v>
      </c>
      <c r="Q1076" s="2">
        <v>6.8</v>
      </c>
      <c r="R1076" s="2" t="s">
        <v>2500</v>
      </c>
      <c r="S1076" s="2"/>
      <c r="U1076" s="2" t="s">
        <v>2501</v>
      </c>
      <c r="V1076">
        <f ca="1" t="shared" si="31"/>
        <v>8.2</v>
      </c>
      <c r="AC1076" s="2"/>
      <c r="AD1076" t="str">
        <f>IFERROR(__xludf.DUMMYFUNCTION("""COMPUTED_VALUE"""),"The Messenger: The Story of Joan of Arc ")</f>
        <v>The Messenger: The Story of Joan of Arc </v>
      </c>
      <c r="AE1076">
        <f t="shared" si="32"/>
        <v>14131140</v>
      </c>
    </row>
    <row r="1077" customHeight="1" spans="1:31">
      <c r="A1077" s="2" t="s">
        <v>1451</v>
      </c>
      <c r="B1077" s="2">
        <v>110</v>
      </c>
      <c r="C1077" s="2">
        <v>5773519</v>
      </c>
      <c r="D1077" s="2" t="s">
        <v>1461</v>
      </c>
      <c r="E1077" s="2" t="s">
        <v>30</v>
      </c>
      <c r="F1077" t="s">
        <v>83</v>
      </c>
      <c r="G1077" t="s">
        <v>35</v>
      </c>
      <c r="H1077" t="s">
        <v>17</v>
      </c>
      <c r="N1077" s="2" t="s">
        <v>18</v>
      </c>
      <c r="O1077" s="2" t="s">
        <v>19</v>
      </c>
      <c r="P1077" s="2">
        <v>40000000</v>
      </c>
      <c r="Q1077" s="2">
        <v>6</v>
      </c>
      <c r="R1077" s="2" t="s">
        <v>2502</v>
      </c>
      <c r="S1077" s="2"/>
      <c r="U1077" s="2" t="s">
        <v>2503</v>
      </c>
      <c r="V1077">
        <f ca="1" t="shared" si="31"/>
        <v>5.9</v>
      </c>
      <c r="AC1077" s="2"/>
      <c r="AD1077" t="str">
        <f>IFERROR(__xludf.DUMMYFUNCTION("""COMPUTED_VALUE"""),"Your Highness ")</f>
        <v>Your Highness </v>
      </c>
      <c r="AE1077">
        <f t="shared" si="32"/>
        <v>21557138</v>
      </c>
    </row>
    <row r="1078" customHeight="1" spans="1:31">
      <c r="A1078" s="2" t="s">
        <v>1453</v>
      </c>
      <c r="B1078" s="2">
        <v>136</v>
      </c>
      <c r="C1078" s="2">
        <v>51768623</v>
      </c>
      <c r="D1078" s="2" t="s">
        <v>30</v>
      </c>
      <c r="E1078" s="2" t="s">
        <v>30</v>
      </c>
      <c r="F1078" t="s">
        <v>13</v>
      </c>
      <c r="G1078" t="s">
        <v>39</v>
      </c>
      <c r="H1078" t="s">
        <v>28</v>
      </c>
      <c r="N1078" s="2" t="s">
        <v>18</v>
      </c>
      <c r="O1078" s="2" t="s">
        <v>19</v>
      </c>
      <c r="P1078" s="2">
        <v>43000000</v>
      </c>
      <c r="Q1078" s="2">
        <v>7.3</v>
      </c>
      <c r="R1078" s="2" t="s">
        <v>2504</v>
      </c>
      <c r="S1078" s="2"/>
      <c r="U1078" s="2" t="s">
        <v>2505</v>
      </c>
      <c r="V1078">
        <f ca="1" t="shared" si="31"/>
        <v>7.55</v>
      </c>
      <c r="AC1078" s="2"/>
      <c r="AD1078" t="str">
        <f>IFERROR(__xludf.DUMMYFUNCTION("""COMPUTED_VALUE"""),"Dream House ")</f>
        <v>Dream House </v>
      </c>
      <c r="AE1078">
        <f t="shared" si="32"/>
        <v>21283356</v>
      </c>
    </row>
    <row r="1079" customHeight="1" spans="1:31">
      <c r="A1079" s="2" t="s">
        <v>921</v>
      </c>
      <c r="B1079" s="2">
        <v>103</v>
      </c>
      <c r="C1079" s="2">
        <v>37035515</v>
      </c>
      <c r="D1079" s="2" t="s">
        <v>975</v>
      </c>
      <c r="E1079" s="2" t="s">
        <v>40</v>
      </c>
      <c r="F1079" t="s">
        <v>40</v>
      </c>
      <c r="G1079" t="s">
        <v>30</v>
      </c>
      <c r="H1079" t="s">
        <v>28</v>
      </c>
      <c r="N1079" s="2" t="s">
        <v>18</v>
      </c>
      <c r="O1079" s="2" t="s">
        <v>19</v>
      </c>
      <c r="P1079" s="2">
        <v>43000000</v>
      </c>
      <c r="Q1079" s="2">
        <v>6</v>
      </c>
      <c r="R1079" s="2" t="s">
        <v>2506</v>
      </c>
      <c r="S1079" s="2"/>
      <c r="U1079" s="2" t="s">
        <v>2507</v>
      </c>
      <c r="V1079">
        <f ca="1" t="shared" ref="V1079:V1142" si="33">AVERAGEIF(A963:A4748,U1079,Q964:Q4748)</f>
        <v>7.2</v>
      </c>
      <c r="AC1079" s="2"/>
      <c r="AD1079" t="str">
        <f>IFERROR(__xludf.DUMMYFUNCTION("""COMPUTED_VALUE"""),"Mad City ")</f>
        <v>Mad City </v>
      </c>
      <c r="AE1079">
        <f t="shared" ref="AE1079:AE1142" si="34">C963-B963</f>
        <v>10556081</v>
      </c>
    </row>
    <row r="1080" customHeight="1" spans="1:31">
      <c r="A1080" s="2" t="s">
        <v>421</v>
      </c>
      <c r="B1080" s="2">
        <v>103</v>
      </c>
      <c r="C1080" s="2">
        <v>24520892</v>
      </c>
      <c r="D1080" s="2" t="s">
        <v>186</v>
      </c>
      <c r="E1080" s="2" t="s">
        <v>12</v>
      </c>
      <c r="F1080" t="s">
        <v>28</v>
      </c>
      <c r="G1080" t="s">
        <v>55</v>
      </c>
      <c r="H1080" t="s">
        <v>24</v>
      </c>
      <c r="N1080" s="2" t="s">
        <v>18</v>
      </c>
      <c r="O1080" s="2" t="s">
        <v>707</v>
      </c>
      <c r="P1080" s="2">
        <v>45000000</v>
      </c>
      <c r="Q1080" s="2">
        <v>7</v>
      </c>
      <c r="R1080" s="2" t="s">
        <v>2508</v>
      </c>
      <c r="S1080" s="2"/>
      <c r="U1080" s="2" t="s">
        <v>2509</v>
      </c>
      <c r="V1080">
        <f ca="1" t="shared" si="33"/>
        <v>6.03333333333333</v>
      </c>
      <c r="AC1080" s="2"/>
      <c r="AD1080" t="str">
        <f>IFERROR(__xludf.DUMMYFUNCTION("""COMPUTED_VALUE"""),"Baby's Day Out ")</f>
        <v>Baby's Day Out </v>
      </c>
      <c r="AE1080">
        <f t="shared" si="34"/>
        <v>16671406</v>
      </c>
    </row>
    <row r="1081" customHeight="1" spans="1:31">
      <c r="A1081" s="2" t="s">
        <v>1455</v>
      </c>
      <c r="B1081" s="2">
        <v>90</v>
      </c>
      <c r="C1081" s="2">
        <v>24430272</v>
      </c>
      <c r="D1081" s="2" t="s">
        <v>607</v>
      </c>
      <c r="E1081" s="2" t="s">
        <v>40</v>
      </c>
      <c r="F1081" t="s">
        <v>56</v>
      </c>
      <c r="G1081" t="s">
        <v>14</v>
      </c>
      <c r="H1081" t="s">
        <v>24</v>
      </c>
      <c r="N1081" s="2" t="s">
        <v>18</v>
      </c>
      <c r="O1081" s="2" t="s">
        <v>19</v>
      </c>
      <c r="P1081" s="2">
        <v>43000000</v>
      </c>
      <c r="Q1081" s="2">
        <v>5.1</v>
      </c>
      <c r="R1081" s="2" t="s">
        <v>2510</v>
      </c>
      <c r="S1081" s="2"/>
      <c r="U1081" s="2" t="s">
        <v>2511</v>
      </c>
      <c r="V1081">
        <f ca="1" t="shared" si="33"/>
        <v>5.1</v>
      </c>
      <c r="AC1081" s="2"/>
      <c r="AD1081" t="str">
        <f>IFERROR(__xludf.DUMMYFUNCTION("""COMPUTED_VALUE"""),"The Scarlet Letter ")</f>
        <v>The Scarlet Letter </v>
      </c>
      <c r="AE1081">
        <f t="shared" si="34"/>
        <v>10399865</v>
      </c>
    </row>
    <row r="1082" customHeight="1" spans="1:31">
      <c r="A1082" s="2" t="s">
        <v>727</v>
      </c>
      <c r="B1082" s="2">
        <v>154</v>
      </c>
      <c r="C1082" s="2">
        <v>158348400</v>
      </c>
      <c r="D1082" s="2" t="s">
        <v>712</v>
      </c>
      <c r="E1082" s="2" t="s">
        <v>30</v>
      </c>
      <c r="F1082" t="s">
        <v>30</v>
      </c>
      <c r="G1082" t="s">
        <v>39</v>
      </c>
      <c r="H1082" t="s">
        <v>29</v>
      </c>
      <c r="N1082" s="2" t="s">
        <v>18</v>
      </c>
      <c r="O1082" s="2" t="s">
        <v>19</v>
      </c>
      <c r="P1082" s="2">
        <v>42000000</v>
      </c>
      <c r="Q1082" s="2">
        <v>6.8</v>
      </c>
      <c r="R1082" s="2" t="s">
        <v>2512</v>
      </c>
      <c r="S1082" s="2"/>
      <c r="U1082" s="2" t="s">
        <v>2513</v>
      </c>
      <c r="V1082">
        <f ca="1" t="shared" si="33"/>
        <v>7.6</v>
      </c>
      <c r="AC1082" s="2"/>
      <c r="AD1082" t="str">
        <f>IFERROR(__xludf.DUMMYFUNCTION("""COMPUTED_VALUE"""),"Fair Game ")</f>
        <v>Fair Game </v>
      </c>
      <c r="AE1082">
        <f t="shared" si="34"/>
        <v>9527984</v>
      </c>
    </row>
    <row r="1083" customHeight="1" spans="1:31">
      <c r="A1083" s="2" t="s">
        <v>1458</v>
      </c>
      <c r="B1083" s="2">
        <v>99</v>
      </c>
      <c r="C1083" s="2">
        <v>31136950</v>
      </c>
      <c r="D1083" s="2" t="s">
        <v>266</v>
      </c>
      <c r="E1083" s="2" t="s">
        <v>30</v>
      </c>
      <c r="F1083" t="s">
        <v>30</v>
      </c>
      <c r="G1083" t="s">
        <v>30</v>
      </c>
      <c r="H1083" t="s">
        <v>24</v>
      </c>
      <c r="N1083" s="2" t="s">
        <v>18</v>
      </c>
      <c r="O1083" s="2" t="s">
        <v>19</v>
      </c>
      <c r="P1083" s="2">
        <v>44000000</v>
      </c>
      <c r="Q1083" s="2">
        <v>6.5</v>
      </c>
      <c r="R1083" s="2" t="s">
        <v>2514</v>
      </c>
      <c r="S1083" s="2"/>
      <c r="U1083" s="2" t="s">
        <v>2515</v>
      </c>
      <c r="V1083">
        <f ca="1" t="shared" si="33"/>
        <v>5.7</v>
      </c>
      <c r="AC1083" s="2"/>
      <c r="AD1083" t="str">
        <f>IFERROR(__xludf.DUMMYFUNCTION("""COMPUTED_VALUE"""),"Domino ")</f>
        <v>Domino </v>
      </c>
      <c r="AE1083">
        <f t="shared" si="34"/>
        <v>10137105</v>
      </c>
    </row>
    <row r="1084" customHeight="1" spans="1:31">
      <c r="A1084" s="2" t="s">
        <v>634</v>
      </c>
      <c r="B1084" s="2">
        <v>93</v>
      </c>
      <c r="C1084" s="2">
        <v>29113588</v>
      </c>
      <c r="D1084" s="2" t="s">
        <v>150</v>
      </c>
      <c r="E1084" s="2" t="s">
        <v>12</v>
      </c>
      <c r="F1084" t="s">
        <v>30</v>
      </c>
      <c r="G1084" t="s">
        <v>15</v>
      </c>
      <c r="H1084" t="s">
        <v>24</v>
      </c>
      <c r="N1084" s="2" t="s">
        <v>18</v>
      </c>
      <c r="O1084" s="2" t="s">
        <v>19</v>
      </c>
      <c r="P1084" s="2">
        <v>40000000</v>
      </c>
      <c r="Q1084" s="2">
        <v>6.6</v>
      </c>
      <c r="R1084" s="2" t="s">
        <v>2516</v>
      </c>
      <c r="S1084" s="2"/>
      <c r="U1084" s="2" t="s">
        <v>2517</v>
      </c>
      <c r="V1084">
        <f ca="1" t="shared" si="33"/>
        <v>4.65</v>
      </c>
      <c r="AC1084" s="2"/>
      <c r="AD1084" t="str">
        <f>IFERROR(__xludf.DUMMYFUNCTION("""COMPUTED_VALUE"""),"Jade ")</f>
        <v>Jade </v>
      </c>
      <c r="AE1084">
        <f t="shared" si="34"/>
        <v>9794910</v>
      </c>
    </row>
    <row r="1085" customHeight="1" spans="1:31">
      <c r="A1085" s="2" t="s">
        <v>711</v>
      </c>
      <c r="B1085" s="2">
        <v>109</v>
      </c>
      <c r="C1085" s="2">
        <v>138447667</v>
      </c>
      <c r="D1085" s="2" t="s">
        <v>635</v>
      </c>
      <c r="E1085" s="2" t="s">
        <v>12</v>
      </c>
      <c r="F1085" t="s">
        <v>28</v>
      </c>
      <c r="G1085" t="s">
        <v>24</v>
      </c>
      <c r="H1085" t="s">
        <v>24</v>
      </c>
      <c r="N1085" s="2" t="s">
        <v>18</v>
      </c>
      <c r="O1085" s="2" t="s">
        <v>19</v>
      </c>
      <c r="P1085" s="2">
        <v>42000000</v>
      </c>
      <c r="Q1085" s="2">
        <v>7.2</v>
      </c>
      <c r="R1085" s="2" t="s">
        <v>2518</v>
      </c>
      <c r="S1085" s="2"/>
      <c r="U1085" s="2" t="s">
        <v>2519</v>
      </c>
      <c r="V1085">
        <f ca="1" t="shared" si="33"/>
        <v>6</v>
      </c>
      <c r="AC1085" s="2"/>
      <c r="AD1085" t="str">
        <f>IFERROR(__xludf.DUMMYFUNCTION("""COMPUTED_VALUE"""),"Gamer ")</f>
        <v>Gamer </v>
      </c>
      <c r="AE1085">
        <f t="shared" si="34"/>
        <v>20488484</v>
      </c>
    </row>
    <row r="1086" customHeight="1" spans="1:31">
      <c r="A1086" s="2" t="s">
        <v>1392</v>
      </c>
      <c r="B1086" s="2">
        <v>124</v>
      </c>
      <c r="C1086" s="2">
        <v>116006080</v>
      </c>
      <c r="D1086" s="2" t="s">
        <v>521</v>
      </c>
      <c r="E1086" s="2" t="s">
        <v>40</v>
      </c>
      <c r="F1086" t="s">
        <v>40</v>
      </c>
      <c r="G1086" t="s">
        <v>30</v>
      </c>
      <c r="H1086" t="s">
        <v>24</v>
      </c>
      <c r="N1086" s="2" t="s">
        <v>18</v>
      </c>
      <c r="O1086" s="2" t="s">
        <v>31</v>
      </c>
      <c r="P1086" s="2">
        <v>42000000</v>
      </c>
      <c r="Q1086" s="2">
        <v>7</v>
      </c>
      <c r="R1086" s="2" t="s">
        <v>2520</v>
      </c>
      <c r="S1086" s="2"/>
      <c r="U1086" s="2" t="s">
        <v>2521</v>
      </c>
      <c r="V1086">
        <f ca="1" t="shared" si="33"/>
        <v>6.6</v>
      </c>
      <c r="AC1086" s="2"/>
      <c r="AD1086" t="str">
        <f>IFERROR(__xludf.DUMMYFUNCTION("""COMPUTED_VALUE"""),"Beautiful Creatures ")</f>
        <v>Beautiful Creatures </v>
      </c>
      <c r="AE1086">
        <f t="shared" si="34"/>
        <v>19445093</v>
      </c>
    </row>
    <row r="1087" customHeight="1" spans="1:31">
      <c r="A1087" s="2" t="s">
        <v>1200</v>
      </c>
      <c r="B1087" s="2">
        <v>84</v>
      </c>
      <c r="C1087" s="2">
        <v>106793915</v>
      </c>
      <c r="D1087" s="2" t="s">
        <v>333</v>
      </c>
      <c r="E1087" s="2" t="s">
        <v>13</v>
      </c>
      <c r="F1087" t="s">
        <v>15</v>
      </c>
      <c r="G1087" t="s">
        <v>24</v>
      </c>
      <c r="H1087" t="s">
        <v>17</v>
      </c>
      <c r="N1087" s="2" t="s">
        <v>18</v>
      </c>
      <c r="O1087" s="2" t="s">
        <v>31</v>
      </c>
      <c r="P1087" s="2">
        <v>45000000</v>
      </c>
      <c r="Q1087" s="2">
        <v>7</v>
      </c>
      <c r="R1087" s="2" t="s">
        <v>2522</v>
      </c>
      <c r="S1087" s="2"/>
      <c r="U1087" s="2" t="s">
        <v>2523</v>
      </c>
      <c r="V1087">
        <f ca="1" t="shared" si="33"/>
        <v>7.2</v>
      </c>
      <c r="AC1087" s="2"/>
      <c r="AD1087" t="str">
        <f>IFERROR(__xludf.DUMMYFUNCTION("""COMPUTED_VALUE"""),"Death to Smoochy ")</f>
        <v>Death to Smoochy </v>
      </c>
      <c r="AE1087">
        <f t="shared" si="34"/>
        <v>8355706</v>
      </c>
    </row>
    <row r="1088" customHeight="1" spans="1:31">
      <c r="A1088" s="2" t="s">
        <v>1460</v>
      </c>
      <c r="B1088" s="2">
        <v>90</v>
      </c>
      <c r="C1088" s="2">
        <v>87856565</v>
      </c>
      <c r="D1088" s="2" t="s">
        <v>607</v>
      </c>
      <c r="E1088" s="2" t="s">
        <v>40</v>
      </c>
      <c r="F1088" t="s">
        <v>17</v>
      </c>
      <c r="G1088" t="s">
        <v>17</v>
      </c>
      <c r="H1088" t="s">
        <v>24</v>
      </c>
      <c r="N1088" s="2" t="s">
        <v>18</v>
      </c>
      <c r="O1088" s="2" t="s">
        <v>19</v>
      </c>
      <c r="P1088" s="2">
        <v>42000000</v>
      </c>
      <c r="Q1088" s="2">
        <v>5.9</v>
      </c>
      <c r="R1088" s="2" t="s">
        <v>2524</v>
      </c>
      <c r="S1088" s="2"/>
      <c r="U1088" s="2" t="s">
        <v>2525</v>
      </c>
      <c r="V1088">
        <f ca="1" t="shared" si="33"/>
        <v>2.8</v>
      </c>
      <c r="AC1088" s="2"/>
      <c r="AD1088" t="str">
        <f>IFERROR(__xludf.DUMMYFUNCTION("""COMPUTED_VALUE"""),"Zoolander 2 ")</f>
        <v>Zoolander 2 </v>
      </c>
      <c r="AE1088">
        <f t="shared" si="34"/>
        <v>28837013</v>
      </c>
    </row>
    <row r="1089" customHeight="1" spans="1:31">
      <c r="A1089" s="2" t="s">
        <v>1463</v>
      </c>
      <c r="B1089" s="2">
        <v>117</v>
      </c>
      <c r="C1089" s="2">
        <v>70100000</v>
      </c>
      <c r="D1089" s="2" t="s">
        <v>521</v>
      </c>
      <c r="E1089" s="2" t="s">
        <v>40</v>
      </c>
      <c r="F1089" t="s">
        <v>13</v>
      </c>
      <c r="G1089" t="s">
        <v>14</v>
      </c>
      <c r="H1089" t="s">
        <v>24</v>
      </c>
      <c r="N1089" s="2" t="s">
        <v>18</v>
      </c>
      <c r="O1089" s="2" t="s">
        <v>19</v>
      </c>
      <c r="P1089" s="2">
        <v>40000000</v>
      </c>
      <c r="Q1089" s="2">
        <v>5.4</v>
      </c>
      <c r="R1089" s="2" t="s">
        <v>2526</v>
      </c>
      <c r="S1089" s="2"/>
      <c r="U1089" s="2" t="s">
        <v>2527</v>
      </c>
      <c r="V1089">
        <f ca="1" t="shared" si="33"/>
        <v>6.6</v>
      </c>
      <c r="AC1089" s="2"/>
      <c r="AD1089" t="str">
        <f>IFERROR(__xludf.DUMMYFUNCTION("""COMPUTED_VALUE"""),"The Big Bounce ")</f>
        <v>The Big Bounce </v>
      </c>
      <c r="AE1089">
        <f t="shared" si="34"/>
        <v>6471306</v>
      </c>
    </row>
    <row r="1090" customHeight="1" spans="1:31">
      <c r="A1090" s="2" t="s">
        <v>369</v>
      </c>
      <c r="B1090" s="2">
        <v>123</v>
      </c>
      <c r="C1090" s="2">
        <v>159578352</v>
      </c>
      <c r="D1090" s="2" t="s">
        <v>635</v>
      </c>
      <c r="E1090" s="2" t="s">
        <v>12</v>
      </c>
      <c r="F1090" t="s">
        <v>30</v>
      </c>
      <c r="G1090" t="s">
        <v>40</v>
      </c>
      <c r="H1090" t="s">
        <v>24</v>
      </c>
      <c r="N1090" s="2" t="s">
        <v>18</v>
      </c>
      <c r="O1090" s="2" t="s">
        <v>19</v>
      </c>
      <c r="P1090" s="2">
        <v>43000000</v>
      </c>
      <c r="Q1090" s="2">
        <v>6.6</v>
      </c>
      <c r="R1090" s="2" t="s">
        <v>2528</v>
      </c>
      <c r="S1090" s="2"/>
      <c r="U1090" s="2" t="s">
        <v>2529</v>
      </c>
      <c r="V1090">
        <f ca="1" t="shared" si="33"/>
        <v>6.62</v>
      </c>
      <c r="AC1090" s="2"/>
      <c r="AD1090" t="str">
        <f>IFERROR(__xludf.DUMMYFUNCTION("""COMPUTED_VALUE"""),"What Planet Are You From? ")</f>
        <v>What Planet Are You From? </v>
      </c>
      <c r="AE1090">
        <f t="shared" si="34"/>
        <v>6291515</v>
      </c>
    </row>
    <row r="1091" customHeight="1" spans="1:31">
      <c r="A1091" s="2" t="s">
        <v>1465</v>
      </c>
      <c r="B1091" s="2">
        <v>251</v>
      </c>
      <c r="C1091" s="2">
        <v>57750000</v>
      </c>
      <c r="D1091" s="2" t="s">
        <v>2530</v>
      </c>
      <c r="E1091" s="2" t="s">
        <v>59</v>
      </c>
      <c r="F1091" t="s">
        <v>23</v>
      </c>
      <c r="G1091" t="s">
        <v>29</v>
      </c>
      <c r="H1091" t="s">
        <v>29</v>
      </c>
      <c r="N1091" s="2" t="s">
        <v>18</v>
      </c>
      <c r="O1091" s="2" t="s">
        <v>31</v>
      </c>
      <c r="P1091" s="2">
        <v>31115000</v>
      </c>
      <c r="Q1091" s="2">
        <v>7</v>
      </c>
      <c r="R1091" s="2" t="s">
        <v>2531</v>
      </c>
      <c r="S1091" s="2"/>
      <c r="U1091" s="2" t="s">
        <v>2532</v>
      </c>
      <c r="V1091">
        <f ca="1" t="shared" si="33"/>
        <v>6.2</v>
      </c>
      <c r="AC1091" s="2"/>
      <c r="AD1091" t="str">
        <f>IFERROR(__xludf.DUMMYFUNCTION("""COMPUTED_VALUE"""),"Drive Angry ")</f>
        <v>Drive Angry </v>
      </c>
      <c r="AE1091">
        <f t="shared" si="34"/>
        <v>10706682</v>
      </c>
    </row>
    <row r="1092" customHeight="1" spans="1:31">
      <c r="A1092" s="2" t="s">
        <v>588</v>
      </c>
      <c r="B1092" s="2">
        <v>105</v>
      </c>
      <c r="C1092" s="2">
        <v>45290318</v>
      </c>
      <c r="D1092" s="2" t="s">
        <v>1279</v>
      </c>
      <c r="E1092" s="2" t="s">
        <v>12</v>
      </c>
      <c r="F1092" t="s">
        <v>59</v>
      </c>
      <c r="G1092" t="s">
        <v>14</v>
      </c>
      <c r="H1092" t="s">
        <v>17</v>
      </c>
      <c r="N1092" s="2" t="s">
        <v>18</v>
      </c>
      <c r="O1092" s="2" t="s">
        <v>19</v>
      </c>
      <c r="P1092" s="2">
        <v>42000000</v>
      </c>
      <c r="Q1092" s="2">
        <v>6.5</v>
      </c>
      <c r="R1092" s="2" t="s">
        <v>2533</v>
      </c>
      <c r="S1092" s="2"/>
      <c r="U1092" s="2" t="s">
        <v>2534</v>
      </c>
      <c r="V1092">
        <f ca="1" t="shared" si="33"/>
        <v>7.3</v>
      </c>
      <c r="AC1092" s="2"/>
      <c r="AD1092" t="str">
        <f>IFERROR(__xludf.DUMMYFUNCTION("""COMPUTED_VALUE"""),"Street Fighter: The Legend of Chun-Li ")</f>
        <v>Street Fighter: The Legend of Chun-Li </v>
      </c>
      <c r="AE1092">
        <f t="shared" si="34"/>
        <v>8742165</v>
      </c>
    </row>
    <row r="1093" customHeight="1" spans="1:31">
      <c r="A1093" s="2" t="s">
        <v>1317</v>
      </c>
      <c r="B1093" s="2">
        <v>115</v>
      </c>
      <c r="C1093" s="2">
        <v>41543207</v>
      </c>
      <c r="D1093" s="2" t="s">
        <v>814</v>
      </c>
      <c r="E1093" s="2" t="s">
        <v>56</v>
      </c>
      <c r="F1093" t="s">
        <v>30</v>
      </c>
      <c r="G1093" t="s">
        <v>30</v>
      </c>
      <c r="H1093" t="s">
        <v>17</v>
      </c>
      <c r="N1093" s="2" t="s">
        <v>18</v>
      </c>
      <c r="O1093" s="2" t="s">
        <v>19</v>
      </c>
      <c r="P1093" s="2">
        <v>42000000</v>
      </c>
      <c r="Q1093" s="2">
        <v>6.3</v>
      </c>
      <c r="R1093" s="2" t="s">
        <v>2535</v>
      </c>
      <c r="S1093" s="2"/>
      <c r="U1093" s="2" t="s">
        <v>2536</v>
      </c>
      <c r="V1093">
        <f ca="1" t="shared" si="33"/>
        <v>5.1</v>
      </c>
      <c r="AC1093" s="2"/>
      <c r="AD1093" t="str">
        <f>IFERROR(__xludf.DUMMYFUNCTION("""COMPUTED_VALUE"""),"The One ")</f>
        <v>The One </v>
      </c>
      <c r="AE1093">
        <f t="shared" si="34"/>
        <v>43905661</v>
      </c>
    </row>
    <row r="1094" customHeight="1" spans="1:31">
      <c r="A1094" s="2" t="s">
        <v>1467</v>
      </c>
      <c r="B1094" s="2">
        <v>122</v>
      </c>
      <c r="C1094" s="2">
        <v>41252428</v>
      </c>
      <c r="D1094" s="2" t="s">
        <v>521</v>
      </c>
      <c r="E1094" s="2" t="s">
        <v>40</v>
      </c>
      <c r="F1094" t="s">
        <v>28</v>
      </c>
      <c r="G1094" t="s">
        <v>72</v>
      </c>
      <c r="H1094" t="s">
        <v>24</v>
      </c>
      <c r="N1094" s="2" t="s">
        <v>18</v>
      </c>
      <c r="O1094" s="2" t="s">
        <v>19</v>
      </c>
      <c r="P1094" s="2">
        <v>42000000</v>
      </c>
      <c r="Q1094" s="2">
        <v>6.5</v>
      </c>
      <c r="R1094" s="2" t="s">
        <v>2537</v>
      </c>
      <c r="S1094" s="2"/>
      <c r="U1094" s="2" t="s">
        <v>2538</v>
      </c>
      <c r="V1094">
        <f ca="1" t="shared" si="33"/>
        <v>5.5</v>
      </c>
      <c r="AC1094" s="2"/>
      <c r="AD1094" t="str">
        <f>IFERROR(__xludf.DUMMYFUNCTION("""COMPUTED_VALUE"""),"The Adventures of Ford Fairlane ")</f>
        <v>The Adventures of Ford Fairlane </v>
      </c>
      <c r="AE1094">
        <f t="shared" si="34"/>
        <v>21413398</v>
      </c>
    </row>
    <row r="1095" customHeight="1" spans="1:31">
      <c r="A1095" s="2" t="s">
        <v>1470</v>
      </c>
      <c r="B1095" s="2">
        <v>119</v>
      </c>
      <c r="C1095" s="2">
        <v>35228696</v>
      </c>
      <c r="D1095" s="2" t="s">
        <v>2539</v>
      </c>
      <c r="E1095" s="2" t="s">
        <v>30</v>
      </c>
      <c r="F1095" t="s">
        <v>30</v>
      </c>
      <c r="G1095" t="s">
        <v>15</v>
      </c>
      <c r="H1095" t="s">
        <v>24</v>
      </c>
      <c r="N1095" s="2" t="s">
        <v>18</v>
      </c>
      <c r="O1095" s="2" t="s">
        <v>19</v>
      </c>
      <c r="P1095" s="2">
        <v>32000000</v>
      </c>
      <c r="Q1095" s="2">
        <v>6.5</v>
      </c>
      <c r="R1095" s="2" t="s">
        <v>2540</v>
      </c>
      <c r="S1095" s="2"/>
      <c r="U1095" s="2" t="s">
        <v>2541</v>
      </c>
      <c r="V1095">
        <f ca="1" t="shared" si="33"/>
        <v>5.9</v>
      </c>
      <c r="AC1095" s="2"/>
      <c r="AD1095" t="str">
        <f>IFERROR(__xludf.DUMMYFUNCTION("""COMPUTED_VALUE"""),"Traffic ")</f>
        <v>Traffic </v>
      </c>
      <c r="AE1095">
        <f t="shared" si="34"/>
        <v>124107286</v>
      </c>
    </row>
    <row r="1096" customHeight="1" spans="1:31">
      <c r="A1096" s="2" t="s">
        <v>1002</v>
      </c>
      <c r="B1096" s="2">
        <v>81</v>
      </c>
      <c r="C1096" s="2">
        <v>59992760</v>
      </c>
      <c r="D1096" s="2" t="s">
        <v>40</v>
      </c>
      <c r="E1096" s="2" t="s">
        <v>40</v>
      </c>
      <c r="F1096" t="s">
        <v>30</v>
      </c>
      <c r="G1096" t="s">
        <v>24</v>
      </c>
      <c r="H1096" t="s">
        <v>16</v>
      </c>
      <c r="N1096" s="2" t="s">
        <v>18</v>
      </c>
      <c r="O1096" s="2" t="s">
        <v>19</v>
      </c>
      <c r="P1096" s="2">
        <v>42000000</v>
      </c>
      <c r="Q1096" s="2">
        <v>5.8</v>
      </c>
      <c r="R1096" s="2" t="s">
        <v>2542</v>
      </c>
      <c r="S1096" s="2"/>
      <c r="U1096" s="2" t="s">
        <v>2543</v>
      </c>
      <c r="V1096">
        <f ca="1" t="shared" si="33"/>
        <v>6.6</v>
      </c>
      <c r="AC1096" s="2"/>
      <c r="AD1096" t="str">
        <f>IFERROR(__xludf.DUMMYFUNCTION("""COMPUTED_VALUE"""),"Indiana Jones and the Last Crusade ")</f>
        <v>Indiana Jones and the Last Crusade </v>
      </c>
      <c r="AE1096">
        <f t="shared" si="34"/>
        <v>197171679</v>
      </c>
    </row>
    <row r="1097" customHeight="1" spans="1:31">
      <c r="A1097" s="2" t="s">
        <v>1472</v>
      </c>
      <c r="B1097" s="2">
        <v>133</v>
      </c>
      <c r="C1097" s="2">
        <v>34667015</v>
      </c>
      <c r="D1097" s="2" t="s">
        <v>27</v>
      </c>
      <c r="E1097" s="2" t="s">
        <v>12</v>
      </c>
      <c r="F1097" t="s">
        <v>28</v>
      </c>
      <c r="G1097" t="s">
        <v>17</v>
      </c>
      <c r="H1097" t="s">
        <v>72</v>
      </c>
      <c r="N1097" s="2" t="s">
        <v>18</v>
      </c>
      <c r="O1097" s="2" t="s">
        <v>31</v>
      </c>
      <c r="P1097" s="2">
        <v>32000000</v>
      </c>
      <c r="Q1097" s="2">
        <v>6.6</v>
      </c>
      <c r="R1097" s="2" t="s">
        <v>2544</v>
      </c>
      <c r="S1097" s="2"/>
      <c r="U1097" s="2" t="s">
        <v>2545</v>
      </c>
      <c r="V1097">
        <f ca="1" t="shared" si="33"/>
        <v>6.5</v>
      </c>
      <c r="AC1097" s="2"/>
      <c r="AD1097" t="str">
        <f>IFERROR(__xludf.DUMMYFUNCTION("""COMPUTED_VALUE"""),"Chappie ")</f>
        <v>Chappie </v>
      </c>
      <c r="AE1097">
        <f t="shared" si="34"/>
        <v>31569148</v>
      </c>
    </row>
    <row r="1098" customHeight="1" spans="1:31">
      <c r="A1098" s="2" t="s">
        <v>1474</v>
      </c>
      <c r="B1098" s="2">
        <v>100</v>
      </c>
      <c r="C1098" s="2">
        <v>37652565</v>
      </c>
      <c r="D1098" s="2" t="s">
        <v>1036</v>
      </c>
      <c r="E1098" s="2" t="s">
        <v>14</v>
      </c>
      <c r="F1098" t="s">
        <v>40</v>
      </c>
      <c r="G1098" t="s">
        <v>17</v>
      </c>
      <c r="H1098" t="s">
        <v>30</v>
      </c>
      <c r="N1098" s="2" t="s">
        <v>18</v>
      </c>
      <c r="O1098" s="2" t="s">
        <v>19</v>
      </c>
      <c r="P1098" s="2">
        <v>42000000</v>
      </c>
      <c r="Q1098" s="2">
        <v>5.4</v>
      </c>
      <c r="R1098" s="2" t="s">
        <v>2546</v>
      </c>
      <c r="S1098" s="2"/>
      <c r="U1098" s="2" t="s">
        <v>2547</v>
      </c>
      <c r="V1098">
        <f ca="1" t="shared" si="33"/>
        <v>7.8</v>
      </c>
      <c r="AC1098" s="2"/>
      <c r="AD1098" t="str">
        <f>IFERROR(__xludf.DUMMYFUNCTION("""COMPUTED_VALUE"""),"The Bone Collector ")</f>
        <v>The Bone Collector </v>
      </c>
      <c r="AE1098">
        <f t="shared" si="34"/>
        <v>66487972</v>
      </c>
    </row>
    <row r="1099" customHeight="1" spans="1:31">
      <c r="A1099" s="2" t="s">
        <v>1476</v>
      </c>
      <c r="B1099" s="2">
        <v>120</v>
      </c>
      <c r="C1099" s="2">
        <v>24375436</v>
      </c>
      <c r="D1099" s="2" t="s">
        <v>186</v>
      </c>
      <c r="E1099" s="2" t="s">
        <v>12</v>
      </c>
      <c r="F1099" t="s">
        <v>56</v>
      </c>
      <c r="G1099" t="s">
        <v>28</v>
      </c>
      <c r="H1099" t="s">
        <v>39</v>
      </c>
      <c r="N1099" s="2" t="s">
        <v>18</v>
      </c>
      <c r="O1099" s="2" t="s">
        <v>19</v>
      </c>
      <c r="P1099" s="2">
        <v>42000000</v>
      </c>
      <c r="Q1099" s="2">
        <v>6.1</v>
      </c>
      <c r="R1099" s="2" t="s">
        <v>2548</v>
      </c>
      <c r="S1099" s="2"/>
      <c r="U1099" s="2" t="s">
        <v>2549</v>
      </c>
      <c r="V1099">
        <f ca="1" t="shared" si="33"/>
        <v>6.85</v>
      </c>
      <c r="AC1099" s="2"/>
      <c r="AD1099" t="str">
        <f>IFERROR(__xludf.DUMMYFUNCTION("""COMPUTED_VALUE"""),"Panic Room ")</f>
        <v>Panic Room </v>
      </c>
      <c r="AE1099">
        <f t="shared" si="34"/>
        <v>95308255</v>
      </c>
    </row>
    <row r="1100" customHeight="1" spans="1:31">
      <c r="A1100" s="2" t="s">
        <v>1478</v>
      </c>
      <c r="B1100" s="2">
        <v>104</v>
      </c>
      <c r="C1100" s="2">
        <v>20915465</v>
      </c>
      <c r="D1100" s="2" t="s">
        <v>2445</v>
      </c>
      <c r="E1100" s="2" t="s">
        <v>13</v>
      </c>
      <c r="F1100" t="s">
        <v>72</v>
      </c>
      <c r="G1100" t="s">
        <v>28</v>
      </c>
      <c r="H1100" t="s">
        <v>15</v>
      </c>
      <c r="N1100" s="2" t="s">
        <v>18</v>
      </c>
      <c r="O1100" s="2" t="s">
        <v>31</v>
      </c>
      <c r="P1100" s="2">
        <v>42000000</v>
      </c>
      <c r="Q1100" s="2">
        <v>4</v>
      </c>
      <c r="R1100" s="2" t="s">
        <v>2550</v>
      </c>
      <c r="S1100" s="2"/>
      <c r="U1100" s="2" t="s">
        <v>2551</v>
      </c>
      <c r="V1100">
        <f ca="1" t="shared" si="33"/>
        <v>7.4</v>
      </c>
      <c r="AC1100" s="2"/>
      <c r="AD1100" t="str">
        <f>IFERROR(__xludf.DUMMYFUNCTION("""COMPUTED_VALUE"""),"Three Kings ")</f>
        <v>Three Kings </v>
      </c>
      <c r="AE1100">
        <f t="shared" si="34"/>
        <v>60651922</v>
      </c>
    </row>
    <row r="1101" customHeight="1" spans="1:31">
      <c r="A1101" s="2" t="s">
        <v>1332</v>
      </c>
      <c r="B1101" s="2">
        <v>122</v>
      </c>
      <c r="C1101" s="2">
        <v>24127895</v>
      </c>
      <c r="D1101" s="2" t="s">
        <v>805</v>
      </c>
      <c r="E1101" s="2" t="s">
        <v>56</v>
      </c>
      <c r="F1101" t="s">
        <v>30</v>
      </c>
      <c r="G1101" t="s">
        <v>14</v>
      </c>
      <c r="H1101" t="s">
        <v>17</v>
      </c>
      <c r="N1101" s="2" t="s">
        <v>18</v>
      </c>
      <c r="O1101" s="2" t="s">
        <v>19</v>
      </c>
      <c r="P1101" s="2">
        <v>50000000</v>
      </c>
      <c r="Q1101" s="2">
        <v>7.6</v>
      </c>
      <c r="R1101" s="2" t="s">
        <v>2552</v>
      </c>
      <c r="S1101" s="2"/>
      <c r="U1101" s="2" t="s">
        <v>2553</v>
      </c>
      <c r="V1101">
        <f ca="1" t="shared" si="33"/>
        <v>6.5</v>
      </c>
      <c r="AC1101" s="2"/>
      <c r="AD1101" t="str">
        <f>IFERROR(__xludf.DUMMYFUNCTION("""COMPUTED_VALUE"""),"Child 44 ")</f>
        <v>Child 44 </v>
      </c>
      <c r="AE1101">
        <f t="shared" si="34"/>
        <v>1205998</v>
      </c>
    </row>
    <row r="1102" customHeight="1" spans="1:31">
      <c r="A1102" s="2" t="s">
        <v>673</v>
      </c>
      <c r="B1102" s="2">
        <v>80</v>
      </c>
      <c r="C1102" s="2">
        <v>84961</v>
      </c>
      <c r="D1102" s="2" t="s">
        <v>486</v>
      </c>
      <c r="E1102" s="2" t="s">
        <v>12</v>
      </c>
      <c r="F1102" t="s">
        <v>30</v>
      </c>
      <c r="G1102" t="s">
        <v>30</v>
      </c>
      <c r="H1102" t="s">
        <v>39</v>
      </c>
      <c r="N1102" s="2" t="s">
        <v>722</v>
      </c>
      <c r="O1102" s="2" t="s">
        <v>343</v>
      </c>
      <c r="P1102" s="2">
        <v>31000000</v>
      </c>
      <c r="Q1102" s="2">
        <v>7.9</v>
      </c>
      <c r="R1102" s="2" t="s">
        <v>2554</v>
      </c>
      <c r="S1102" s="2"/>
      <c r="U1102" s="2" t="s">
        <v>2555</v>
      </c>
      <c r="V1102">
        <f ca="1" t="shared" si="33"/>
        <v>5</v>
      </c>
      <c r="AC1102" s="2"/>
      <c r="AD1102" t="str">
        <f>IFERROR(__xludf.DUMMYFUNCTION("""COMPUTED_VALUE"""),"Rat Race ")</f>
        <v>Rat Race </v>
      </c>
      <c r="AE1102">
        <f t="shared" si="34"/>
        <v>56607111</v>
      </c>
    </row>
    <row r="1103" customHeight="1" spans="1:31">
      <c r="A1103" s="2" t="s">
        <v>1481</v>
      </c>
      <c r="B1103" s="2">
        <v>91</v>
      </c>
      <c r="C1103" s="2">
        <v>26404753</v>
      </c>
      <c r="D1103" s="2" t="s">
        <v>559</v>
      </c>
      <c r="E1103" s="2" t="s">
        <v>12</v>
      </c>
      <c r="F1103" t="s">
        <v>30</v>
      </c>
      <c r="G1103" t="s">
        <v>15</v>
      </c>
      <c r="H1103" t="s">
        <v>16</v>
      </c>
      <c r="N1103" s="2" t="s">
        <v>18</v>
      </c>
      <c r="O1103" s="2" t="s">
        <v>19</v>
      </c>
      <c r="P1103" s="2">
        <v>40000000</v>
      </c>
      <c r="Q1103" s="2">
        <v>5.3</v>
      </c>
      <c r="R1103" s="2" t="s">
        <v>2556</v>
      </c>
      <c r="S1103" s="2"/>
      <c r="U1103" s="2" t="s">
        <v>2557</v>
      </c>
      <c r="V1103">
        <f ca="1" t="shared" si="33"/>
        <v>6.5</v>
      </c>
      <c r="AC1103" s="2"/>
      <c r="AD1103" t="str">
        <f>IFERROR(__xludf.DUMMYFUNCTION("""COMPUTED_VALUE"""),"K-PAX ")</f>
        <v>K-PAX </v>
      </c>
      <c r="AE1103">
        <f t="shared" si="34"/>
        <v>50173070</v>
      </c>
    </row>
    <row r="1104" customHeight="1" spans="1:31">
      <c r="A1104" s="2" t="s">
        <v>1483</v>
      </c>
      <c r="B1104" s="2">
        <v>112</v>
      </c>
      <c r="C1104" s="2">
        <v>6105175</v>
      </c>
      <c r="D1104" s="2" t="s">
        <v>40</v>
      </c>
      <c r="E1104" s="2" t="s">
        <v>40</v>
      </c>
      <c r="F1104" t="s">
        <v>30</v>
      </c>
      <c r="G1104" t="s">
        <v>14</v>
      </c>
      <c r="H1104" t="s">
        <v>24</v>
      </c>
      <c r="N1104" s="2" t="s">
        <v>18</v>
      </c>
      <c r="O1104" s="2" t="s">
        <v>19</v>
      </c>
      <c r="P1104" s="2">
        <v>44000000</v>
      </c>
      <c r="Q1104" s="2">
        <v>6.6</v>
      </c>
      <c r="R1104" s="2" t="s">
        <v>2558</v>
      </c>
      <c r="S1104" s="2"/>
      <c r="U1104" s="2" t="s">
        <v>2559</v>
      </c>
      <c r="V1104">
        <f ca="1" t="shared" si="33"/>
        <v>6.2</v>
      </c>
      <c r="AC1104" s="2"/>
      <c r="AD1104" t="str">
        <f>IFERROR(__xludf.DUMMYFUNCTION("""COMPUTED_VALUE"""),"Kate &amp; Leopold ")</f>
        <v>Kate &amp; Leopold </v>
      </c>
      <c r="AE1104">
        <f t="shared" si="34"/>
        <v>47095330</v>
      </c>
    </row>
    <row r="1105" customHeight="1" spans="1:31">
      <c r="A1105" s="2" t="s">
        <v>1486</v>
      </c>
      <c r="B1105" s="2">
        <v>100</v>
      </c>
      <c r="C1105" s="2">
        <v>5664251</v>
      </c>
      <c r="D1105" s="2" t="s">
        <v>2560</v>
      </c>
      <c r="E1105" s="2" t="s">
        <v>12</v>
      </c>
      <c r="F1105" t="s">
        <v>30</v>
      </c>
      <c r="G1105" t="s">
        <v>39</v>
      </c>
      <c r="H1105" t="s">
        <v>15</v>
      </c>
      <c r="N1105" s="2" t="s">
        <v>18</v>
      </c>
      <c r="O1105" s="2" t="s">
        <v>90</v>
      </c>
      <c r="P1105" s="2">
        <v>45000000</v>
      </c>
      <c r="Q1105" s="2">
        <v>6.3</v>
      </c>
      <c r="R1105" s="2" t="s">
        <v>2561</v>
      </c>
      <c r="S1105" s="2"/>
      <c r="U1105" s="2" t="s">
        <v>2562</v>
      </c>
      <c r="V1105">
        <f ca="1" t="shared" si="33"/>
        <v>6.4</v>
      </c>
      <c r="AC1105" s="2"/>
      <c r="AD1105" t="str">
        <f>IFERROR(__xludf.DUMMYFUNCTION("""COMPUTED_VALUE"""),"Bedazzled ")</f>
        <v>Bedazzled </v>
      </c>
      <c r="AE1105">
        <f t="shared" si="34"/>
        <v>37879903</v>
      </c>
    </row>
    <row r="1106" customHeight="1" spans="1:31">
      <c r="A1106" s="2" t="s">
        <v>1096</v>
      </c>
      <c r="B1106" s="2">
        <v>105</v>
      </c>
      <c r="C1106" s="2">
        <v>1260917</v>
      </c>
      <c r="D1106" s="2" t="s">
        <v>635</v>
      </c>
      <c r="E1106" s="2" t="s">
        <v>12</v>
      </c>
      <c r="F1106" t="s">
        <v>40</v>
      </c>
      <c r="G1106" t="s">
        <v>24</v>
      </c>
      <c r="H1106" t="s">
        <v>17</v>
      </c>
      <c r="N1106" s="2" t="s">
        <v>1125</v>
      </c>
      <c r="O1106" s="2" t="s">
        <v>707</v>
      </c>
      <c r="P1106" s="2">
        <v>27000000</v>
      </c>
      <c r="Q1106" s="2">
        <v>7.2</v>
      </c>
      <c r="R1106" s="2" t="s">
        <v>2563</v>
      </c>
      <c r="S1106" s="2"/>
      <c r="U1106" s="2" t="s">
        <v>2564</v>
      </c>
      <c r="V1106">
        <f ca="1" t="shared" si="33"/>
        <v>7.7</v>
      </c>
      <c r="AC1106" s="2"/>
      <c r="AD1106" t="str">
        <f>IFERROR(__xludf.DUMMYFUNCTION("""COMPUTED_VALUE"""),"The Cotton Club ")</f>
        <v>The Cotton Club </v>
      </c>
      <c r="AE1106">
        <f t="shared" si="34"/>
        <v>25899877</v>
      </c>
    </row>
    <row r="1107" customHeight="1" spans="1:31">
      <c r="A1107" s="2" t="s">
        <v>1227</v>
      </c>
      <c r="B1107" s="2">
        <v>110</v>
      </c>
      <c r="C1107" s="2">
        <v>116724075</v>
      </c>
      <c r="D1107" s="2" t="s">
        <v>2565</v>
      </c>
      <c r="E1107" s="2" t="s">
        <v>30</v>
      </c>
      <c r="F1107" t="s">
        <v>13</v>
      </c>
      <c r="G1107" t="s">
        <v>40</v>
      </c>
      <c r="H1107" t="s">
        <v>24</v>
      </c>
      <c r="N1107" s="2" t="s">
        <v>18</v>
      </c>
      <c r="O1107" s="2" t="s">
        <v>19</v>
      </c>
      <c r="P1107" s="2">
        <v>41000000</v>
      </c>
      <c r="Q1107" s="2">
        <v>7</v>
      </c>
      <c r="R1107" s="2" t="s">
        <v>2566</v>
      </c>
      <c r="S1107" s="2"/>
      <c r="U1107" s="2" t="s">
        <v>2567</v>
      </c>
      <c r="V1107">
        <f ca="1" t="shared" si="33"/>
        <v>6.15</v>
      </c>
      <c r="AC1107" s="2"/>
      <c r="AD1107" t="str">
        <f>IFERROR(__xludf.DUMMYFUNCTION("""COMPUTED_VALUE"""),"3:10 to Yuma ")</f>
        <v>3:10 to Yuma </v>
      </c>
      <c r="AE1107">
        <f t="shared" si="34"/>
        <v>53573966</v>
      </c>
    </row>
    <row r="1108" customHeight="1" spans="1:31">
      <c r="A1108" s="2" t="s">
        <v>1261</v>
      </c>
      <c r="B1108" s="2">
        <v>144</v>
      </c>
      <c r="C1108" s="2">
        <v>56083966</v>
      </c>
      <c r="D1108" s="2" t="s">
        <v>51</v>
      </c>
      <c r="E1108" s="2" t="s">
        <v>12</v>
      </c>
      <c r="F1108" t="s">
        <v>30</v>
      </c>
      <c r="G1108" t="s">
        <v>15</v>
      </c>
      <c r="H1108" t="s">
        <v>24</v>
      </c>
      <c r="N1108" s="2" t="s">
        <v>18</v>
      </c>
      <c r="O1108" s="2" t="s">
        <v>19</v>
      </c>
      <c r="P1108" s="2">
        <v>65000000</v>
      </c>
      <c r="Q1108" s="2">
        <v>6.9</v>
      </c>
      <c r="R1108" s="2" t="s">
        <v>2568</v>
      </c>
      <c r="S1108" s="2"/>
      <c r="U1108" s="2" t="s">
        <v>2569</v>
      </c>
      <c r="V1108">
        <f ca="1" t="shared" si="33"/>
        <v>8.4</v>
      </c>
      <c r="AC1108" s="2"/>
      <c r="AD1108" t="str">
        <f>IFERROR(__xludf.DUMMYFUNCTION("""COMPUTED_VALUE"""),"Taken 3 ")</f>
        <v>Taken 3 </v>
      </c>
      <c r="AE1108">
        <f t="shared" si="34"/>
        <v>89253225</v>
      </c>
    </row>
    <row r="1109" customHeight="1" spans="1:31">
      <c r="A1109" s="2" t="s">
        <v>1488</v>
      </c>
      <c r="B1109" s="2">
        <v>108</v>
      </c>
      <c r="C1109" s="2">
        <v>22108977</v>
      </c>
      <c r="D1109" s="2" t="s">
        <v>469</v>
      </c>
      <c r="E1109" s="2" t="s">
        <v>12</v>
      </c>
      <c r="F1109" t="s">
        <v>24</v>
      </c>
      <c r="G1109" t="s">
        <v>24</v>
      </c>
      <c r="H1109" t="s">
        <v>83</v>
      </c>
      <c r="N1109" s="2" t="s">
        <v>18</v>
      </c>
      <c r="O1109" s="2" t="s">
        <v>1554</v>
      </c>
      <c r="P1109" s="2">
        <v>41000000</v>
      </c>
      <c r="Q1109" s="2">
        <v>5.2</v>
      </c>
      <c r="R1109" s="2" t="s">
        <v>2570</v>
      </c>
      <c r="S1109" s="2"/>
      <c r="U1109" s="2" t="s">
        <v>2571</v>
      </c>
      <c r="V1109">
        <f ca="1" t="shared" si="33"/>
        <v>7.275</v>
      </c>
      <c r="AC1109" s="2"/>
      <c r="AD1109" t="str">
        <f>IFERROR(__xludf.DUMMYFUNCTION("""COMPUTED_VALUE"""),"Out of Sight ")</f>
        <v>Out of Sight </v>
      </c>
      <c r="AE1109">
        <f t="shared" si="34"/>
        <v>37339402</v>
      </c>
    </row>
    <row r="1110" customHeight="1" spans="1:31">
      <c r="A1110" s="2" t="s">
        <v>352</v>
      </c>
      <c r="B1110" s="2">
        <v>107</v>
      </c>
      <c r="C1110" s="2">
        <v>293501675</v>
      </c>
      <c r="D1110" s="2" t="s">
        <v>712</v>
      </c>
      <c r="E1110" s="2" t="s">
        <v>30</v>
      </c>
      <c r="F1110" t="s">
        <v>30</v>
      </c>
      <c r="G1110" t="s">
        <v>24</v>
      </c>
      <c r="H1110" t="s">
        <v>15</v>
      </c>
      <c r="N1110" s="2" t="s">
        <v>18</v>
      </c>
      <c r="O1110" s="2" t="s">
        <v>19</v>
      </c>
      <c r="P1110" s="2">
        <v>40000000</v>
      </c>
      <c r="Q1110" s="2">
        <v>8.1</v>
      </c>
      <c r="R1110" s="2" t="s">
        <v>2572</v>
      </c>
      <c r="S1110" s="2"/>
      <c r="U1110" s="2" t="s">
        <v>2573</v>
      </c>
      <c r="V1110">
        <f ca="1" t="shared" si="33"/>
        <v>6.1</v>
      </c>
      <c r="AC1110" s="2"/>
      <c r="AD1110" t="str">
        <f>IFERROR(__xludf.DUMMYFUNCTION("""COMPUTED_VALUE"""),"The Cable Guy ")</f>
        <v>The Cable Guy </v>
      </c>
      <c r="AE1110">
        <f t="shared" si="34"/>
        <v>60154335</v>
      </c>
    </row>
    <row r="1111" customHeight="1" spans="1:31">
      <c r="A1111" s="2" t="s">
        <v>1490</v>
      </c>
      <c r="B1111" s="2">
        <v>102</v>
      </c>
      <c r="C1111" s="2">
        <v>18600911</v>
      </c>
      <c r="D1111" s="2" t="s">
        <v>150</v>
      </c>
      <c r="E1111" s="2" t="s">
        <v>12</v>
      </c>
      <c r="F1111" t="s">
        <v>17</v>
      </c>
      <c r="G1111" t="s">
        <v>56</v>
      </c>
      <c r="H1111" t="s">
        <v>24</v>
      </c>
      <c r="N1111" s="2" t="s">
        <v>18</v>
      </c>
      <c r="O1111" s="2" t="s">
        <v>19</v>
      </c>
      <c r="P1111" s="2">
        <v>42000000</v>
      </c>
      <c r="Q1111" s="2">
        <v>6.6</v>
      </c>
      <c r="R1111" s="2" t="s">
        <v>2574</v>
      </c>
      <c r="S1111" s="2"/>
      <c r="U1111" s="2" t="s">
        <v>2575</v>
      </c>
      <c r="V1111">
        <f ca="1" t="shared" si="33"/>
        <v>8.1</v>
      </c>
      <c r="AC1111" s="2"/>
      <c r="AD1111" t="str">
        <f>IFERROR(__xludf.DUMMYFUNCTION("""COMPUTED_VALUE"""),"Dick Tracy ")</f>
        <v>Dick Tracy </v>
      </c>
      <c r="AE1111">
        <f t="shared" si="34"/>
        <v>103738621</v>
      </c>
    </row>
    <row r="1112" customHeight="1" spans="1:31">
      <c r="A1112" s="2" t="s">
        <v>1044</v>
      </c>
      <c r="B1112" s="2">
        <v>100</v>
      </c>
      <c r="C1112" s="2">
        <v>7204138</v>
      </c>
      <c r="D1112" s="2" t="s">
        <v>40</v>
      </c>
      <c r="E1112" s="2" t="s">
        <v>40</v>
      </c>
      <c r="F1112" t="s">
        <v>30</v>
      </c>
      <c r="G1112" t="s">
        <v>17</v>
      </c>
      <c r="H1112" t="s">
        <v>17</v>
      </c>
      <c r="N1112" s="2" t="s">
        <v>18</v>
      </c>
      <c r="O1112" s="2" t="s">
        <v>19</v>
      </c>
      <c r="P1112" s="2">
        <v>41000000</v>
      </c>
      <c r="Q1112" s="2">
        <v>6.2</v>
      </c>
      <c r="R1112" s="2" t="s">
        <v>2576</v>
      </c>
      <c r="S1112" s="2"/>
      <c r="U1112" s="2" t="s">
        <v>2577</v>
      </c>
      <c r="V1112">
        <f ca="1" t="shared" si="33"/>
        <v>7.35</v>
      </c>
      <c r="AC1112" s="2"/>
      <c r="AD1112" t="str">
        <f>IFERROR(__xludf.DUMMYFUNCTION("""COMPUTED_VALUE"""),"The Thomas Crown Affair ")</f>
        <v>The Thomas Crown Affair </v>
      </c>
      <c r="AE1112">
        <f t="shared" si="34"/>
        <v>69304151</v>
      </c>
    </row>
    <row r="1113" customHeight="1" spans="1:31">
      <c r="A1113" s="2" t="s">
        <v>1492</v>
      </c>
      <c r="B1113" s="2">
        <v>126</v>
      </c>
      <c r="C1113" s="2">
        <v>90800000</v>
      </c>
      <c r="D1113" s="2" t="s">
        <v>2578</v>
      </c>
      <c r="E1113" s="2" t="s">
        <v>12</v>
      </c>
      <c r="F1113" t="s">
        <v>55</v>
      </c>
      <c r="G1113" t="s">
        <v>17</v>
      </c>
      <c r="H1113" t="s">
        <v>24</v>
      </c>
      <c r="N1113" s="2" t="s">
        <v>18</v>
      </c>
      <c r="O1113" s="2" t="s">
        <v>19</v>
      </c>
      <c r="P1113" s="2">
        <v>8000000</v>
      </c>
      <c r="Q1113" s="2">
        <v>7.2</v>
      </c>
      <c r="R1113" s="2" t="s">
        <v>2579</v>
      </c>
      <c r="S1113" s="2"/>
      <c r="U1113" s="2" t="s">
        <v>2580</v>
      </c>
      <c r="V1113">
        <f ca="1" t="shared" si="33"/>
        <v>6.33333333333333</v>
      </c>
      <c r="AC1113" s="2"/>
      <c r="AD1113" t="str">
        <f>IFERROR(__xludf.DUMMYFUNCTION("""COMPUTED_VALUE"""),"Riding in Cars with Boys ")</f>
        <v>Riding in Cars with Boys </v>
      </c>
      <c r="AE1113">
        <f t="shared" si="34"/>
        <v>29781321</v>
      </c>
    </row>
    <row r="1114" customHeight="1" spans="1:31">
      <c r="A1114" s="2" t="s">
        <v>1091</v>
      </c>
      <c r="B1114" s="2">
        <v>138</v>
      </c>
      <c r="C1114" s="2">
        <v>150117807</v>
      </c>
      <c r="D1114" s="2" t="s">
        <v>718</v>
      </c>
      <c r="E1114" s="2" t="s">
        <v>56</v>
      </c>
      <c r="F1114" t="s">
        <v>56</v>
      </c>
      <c r="G1114" t="s">
        <v>39</v>
      </c>
      <c r="H1114" t="s">
        <v>24</v>
      </c>
      <c r="N1114" s="2" t="s">
        <v>18</v>
      </c>
      <c r="O1114" s="2" t="s">
        <v>19</v>
      </c>
      <c r="P1114" s="2">
        <v>40000000</v>
      </c>
      <c r="Q1114" s="2">
        <v>7.3</v>
      </c>
      <c r="R1114" s="2" t="s">
        <v>2581</v>
      </c>
      <c r="S1114" s="2"/>
      <c r="U1114" s="2" t="s">
        <v>2582</v>
      </c>
      <c r="V1114">
        <f ca="1" t="shared" si="33"/>
        <v>6</v>
      </c>
      <c r="AC1114" s="2"/>
      <c r="AD1114" t="str">
        <f>IFERROR(__xludf.DUMMYFUNCTION("""COMPUTED_VALUE"""),"Happily N'Ever After ")</f>
        <v>Happily N'Ever After </v>
      </c>
      <c r="AE1114">
        <f t="shared" si="34"/>
        <v>15519766</v>
      </c>
    </row>
    <row r="1115" customHeight="1" spans="1:31">
      <c r="A1115" s="2" t="s">
        <v>1494</v>
      </c>
      <c r="B1115" s="2">
        <v>108</v>
      </c>
      <c r="C1115" s="2">
        <v>163947053</v>
      </c>
      <c r="D1115" s="2" t="s">
        <v>521</v>
      </c>
      <c r="E1115" s="2" t="s">
        <v>40</v>
      </c>
      <c r="F1115" t="s">
        <v>40</v>
      </c>
      <c r="G1115" t="s">
        <v>29</v>
      </c>
      <c r="H1115" t="s">
        <v>30</v>
      </c>
      <c r="N1115" s="2" t="s">
        <v>18</v>
      </c>
      <c r="O1115" s="2" t="s">
        <v>19</v>
      </c>
      <c r="P1115" s="2">
        <v>40000000</v>
      </c>
      <c r="Q1115" s="2">
        <v>6.7</v>
      </c>
      <c r="R1115" s="2" t="s">
        <v>2583</v>
      </c>
      <c r="S1115" s="2"/>
      <c r="U1115" s="2" t="s">
        <v>2584</v>
      </c>
      <c r="V1115">
        <f ca="1" t="shared" si="33"/>
        <v>6.7</v>
      </c>
      <c r="AC1115" s="2"/>
      <c r="AD1115" t="str">
        <f>IFERROR(__xludf.DUMMYFUNCTION("""COMPUTED_VALUE"""),"Mary Reilly ")</f>
        <v>Mary Reilly </v>
      </c>
      <c r="AE1115">
        <f t="shared" si="34"/>
        <v>5599892</v>
      </c>
    </row>
    <row r="1116" customHeight="1" spans="1:31">
      <c r="A1116" s="2" t="s">
        <v>1496</v>
      </c>
      <c r="B1116" s="2">
        <v>105</v>
      </c>
      <c r="C1116" s="2">
        <v>116735231</v>
      </c>
      <c r="D1116" s="2" t="s">
        <v>846</v>
      </c>
      <c r="E1116" s="2" t="s">
        <v>56</v>
      </c>
      <c r="F1116" t="s">
        <v>30</v>
      </c>
      <c r="G1116" t="s">
        <v>24</v>
      </c>
      <c r="H1116" t="s">
        <v>30</v>
      </c>
      <c r="N1116" s="2" t="s">
        <v>18</v>
      </c>
      <c r="O1116" s="2" t="s">
        <v>19</v>
      </c>
      <c r="P1116" s="2">
        <v>70000000</v>
      </c>
      <c r="Q1116" s="2">
        <v>6.4</v>
      </c>
      <c r="R1116" s="2" t="s">
        <v>2585</v>
      </c>
      <c r="S1116" s="2"/>
      <c r="U1116" s="2" t="s">
        <v>2586</v>
      </c>
      <c r="V1116">
        <f ca="1" t="shared" si="33"/>
        <v>6.53333333333333</v>
      </c>
      <c r="AC1116" s="2"/>
      <c r="AD1116" t="str">
        <f>IFERROR(__xludf.DUMMYFUNCTION("""COMPUTED_VALUE"""),"My Best Friend's Wedding ")</f>
        <v>My Best Friend's Wedding </v>
      </c>
      <c r="AE1116">
        <f t="shared" si="34"/>
        <v>126805007</v>
      </c>
    </row>
    <row r="1117" customHeight="1" spans="1:31">
      <c r="A1117" s="2" t="s">
        <v>178</v>
      </c>
      <c r="B1117" s="2">
        <v>108</v>
      </c>
      <c r="C1117" s="2">
        <v>118500000</v>
      </c>
      <c r="D1117" s="2" t="s">
        <v>690</v>
      </c>
      <c r="E1117" s="2" t="s">
        <v>13</v>
      </c>
      <c r="F1117" t="s">
        <v>17</v>
      </c>
      <c r="G1117" t="s">
        <v>55</v>
      </c>
      <c r="H1117" t="s">
        <v>28</v>
      </c>
      <c r="N1117" s="2" t="s">
        <v>18</v>
      </c>
      <c r="O1117" s="2" t="s">
        <v>19</v>
      </c>
      <c r="P1117" s="2">
        <v>40000000</v>
      </c>
      <c r="Q1117" s="2">
        <v>7.8</v>
      </c>
      <c r="R1117" s="2" t="s">
        <v>2587</v>
      </c>
      <c r="S1117" s="2"/>
      <c r="U1117" s="2" t="s">
        <v>2588</v>
      </c>
      <c r="V1117">
        <f ca="1" t="shared" si="33"/>
        <v>4</v>
      </c>
      <c r="AC1117" s="2"/>
      <c r="AD1117" t="str">
        <f>IFERROR(__xludf.DUMMYFUNCTION("""COMPUTED_VALUE"""),"America's Sweethearts ")</f>
        <v>America's Sweethearts </v>
      </c>
      <c r="AE1117">
        <f t="shared" si="34"/>
        <v>93607571</v>
      </c>
    </row>
    <row r="1118" customHeight="1" spans="1:31">
      <c r="A1118" s="2" t="s">
        <v>685</v>
      </c>
      <c r="B1118" s="2">
        <v>89</v>
      </c>
      <c r="C1118" s="2">
        <v>126546825</v>
      </c>
      <c r="D1118" s="2" t="s">
        <v>1094</v>
      </c>
      <c r="E1118" s="2" t="s">
        <v>12</v>
      </c>
      <c r="F1118" t="s">
        <v>55</v>
      </c>
      <c r="G1118" t="s">
        <v>28</v>
      </c>
      <c r="H1118" t="s">
        <v>15</v>
      </c>
      <c r="N1118" s="2" t="s">
        <v>18</v>
      </c>
      <c r="O1118" s="2" t="s">
        <v>707</v>
      </c>
      <c r="P1118" s="2">
        <v>40000000</v>
      </c>
      <c r="Q1118" s="2">
        <v>6.4</v>
      </c>
      <c r="R1118" s="2" t="s">
        <v>2589</v>
      </c>
      <c r="S1118" s="2"/>
      <c r="U1118" s="2" t="s">
        <v>2590</v>
      </c>
      <c r="V1118">
        <f ca="1" t="shared" si="33"/>
        <v>6.2</v>
      </c>
      <c r="AC1118" s="2"/>
      <c r="AD1118" t="str">
        <f>IFERROR(__xludf.DUMMYFUNCTION("""COMPUTED_VALUE"""),"Insomnia ")</f>
        <v>Insomnia </v>
      </c>
      <c r="AE1118">
        <f t="shared" si="34"/>
        <v>67263064</v>
      </c>
    </row>
    <row r="1119" customHeight="1" spans="1:31">
      <c r="A1119" s="2" t="s">
        <v>1498</v>
      </c>
      <c r="B1119" s="2">
        <v>129</v>
      </c>
      <c r="C1119" s="2">
        <v>166147885</v>
      </c>
      <c r="D1119" s="2" t="s">
        <v>103</v>
      </c>
      <c r="E1119" s="2" t="s">
        <v>30</v>
      </c>
      <c r="F1119" t="s">
        <v>30</v>
      </c>
      <c r="G1119" t="s">
        <v>24</v>
      </c>
      <c r="H1119" t="s">
        <v>55</v>
      </c>
      <c r="N1119" s="2" t="s">
        <v>18</v>
      </c>
      <c r="O1119" s="2" t="s">
        <v>19</v>
      </c>
      <c r="P1119" s="2">
        <v>40000000</v>
      </c>
      <c r="Q1119" s="2">
        <v>4.1</v>
      </c>
      <c r="R1119" s="2" t="s">
        <v>2591</v>
      </c>
      <c r="S1119" s="2"/>
      <c r="U1119" s="2" t="s">
        <v>2592</v>
      </c>
      <c r="V1119">
        <f ca="1" t="shared" si="33"/>
        <v>7.15</v>
      </c>
      <c r="AC1119" s="2"/>
      <c r="AD1119" t="str">
        <f>IFERROR(__xludf.DUMMYFUNCTION("""COMPUTED_VALUE"""),"Star Trek: First Contact ")</f>
        <v>Star Trek: First Contact </v>
      </c>
      <c r="AE1119">
        <f t="shared" si="34"/>
        <v>92000916</v>
      </c>
    </row>
    <row r="1120" customHeight="1" spans="1:31">
      <c r="A1120" s="2" t="s">
        <v>1225</v>
      </c>
      <c r="B1120" s="2">
        <v>84</v>
      </c>
      <c r="C1120" s="2">
        <v>111760631</v>
      </c>
      <c r="D1120" s="2" t="s">
        <v>1192</v>
      </c>
      <c r="E1120" s="2" t="s">
        <v>12</v>
      </c>
      <c r="F1120" t="s">
        <v>30</v>
      </c>
      <c r="G1120" t="s">
        <v>30</v>
      </c>
      <c r="H1120" t="s">
        <v>39</v>
      </c>
      <c r="N1120" s="2" t="s">
        <v>18</v>
      </c>
      <c r="O1120" s="2" t="s">
        <v>19</v>
      </c>
      <c r="P1120" s="2">
        <v>38000000</v>
      </c>
      <c r="Q1120" s="2">
        <v>4.1</v>
      </c>
      <c r="R1120" s="2" t="s">
        <v>2593</v>
      </c>
      <c r="S1120" s="2"/>
      <c r="U1120" s="2" t="s">
        <v>2594</v>
      </c>
      <c r="V1120">
        <f ca="1" t="shared" si="33"/>
        <v>6.2</v>
      </c>
      <c r="AC1120" s="2"/>
      <c r="AD1120" t="str">
        <f>IFERROR(__xludf.DUMMYFUNCTION("""COMPUTED_VALUE"""),"Jonah Hex ")</f>
        <v>Jonah Hex </v>
      </c>
      <c r="AE1120">
        <f t="shared" si="34"/>
        <v>10539333</v>
      </c>
    </row>
    <row r="1121" customHeight="1" spans="1:31">
      <c r="A1121" s="2" t="s">
        <v>490</v>
      </c>
      <c r="B1121" s="2">
        <v>149</v>
      </c>
      <c r="C1121" s="2">
        <v>108706165</v>
      </c>
      <c r="D1121" s="2" t="s">
        <v>805</v>
      </c>
      <c r="E1121" s="2" t="s">
        <v>56</v>
      </c>
      <c r="F1121" t="s">
        <v>13</v>
      </c>
      <c r="G1121" t="s">
        <v>24</v>
      </c>
      <c r="H1121" t="s">
        <v>17</v>
      </c>
      <c r="N1121" s="2" t="s">
        <v>18</v>
      </c>
      <c r="O1121" s="2" t="s">
        <v>19</v>
      </c>
      <c r="P1121" s="2">
        <v>40000000</v>
      </c>
      <c r="Q1121" s="2">
        <v>7.4</v>
      </c>
      <c r="R1121" s="2" t="s">
        <v>2595</v>
      </c>
      <c r="S1121" s="2"/>
      <c r="U1121" s="2" t="s">
        <v>2596</v>
      </c>
      <c r="V1121">
        <f ca="1" t="shared" si="33"/>
        <v>4.1</v>
      </c>
      <c r="AC1121" s="2"/>
      <c r="AD1121" t="str">
        <f>IFERROR(__xludf.DUMMYFUNCTION("""COMPUTED_VALUE"""),"Courage Under Fire ")</f>
        <v>Courage Under Fire </v>
      </c>
      <c r="AE1121">
        <f t="shared" si="34"/>
        <v>58918385</v>
      </c>
    </row>
    <row r="1122" customHeight="1" spans="1:31">
      <c r="A1122" s="2" t="s">
        <v>315</v>
      </c>
      <c r="B1122" s="2">
        <v>94</v>
      </c>
      <c r="C1122" s="2">
        <v>138614544</v>
      </c>
      <c r="D1122" s="2" t="s">
        <v>1201</v>
      </c>
      <c r="E1122" s="2" t="s">
        <v>40</v>
      </c>
      <c r="F1122" t="s">
        <v>72</v>
      </c>
      <c r="G1122" t="s">
        <v>30</v>
      </c>
      <c r="H1122" t="s">
        <v>24</v>
      </c>
      <c r="N1122" s="2" t="s">
        <v>18</v>
      </c>
      <c r="O1122" s="2" t="s">
        <v>19</v>
      </c>
      <c r="P1122" s="2">
        <v>40000000</v>
      </c>
      <c r="Q1122" s="2">
        <v>5.8</v>
      </c>
      <c r="R1122" s="2" t="s">
        <v>2597</v>
      </c>
      <c r="S1122" s="2"/>
      <c r="U1122" s="2" t="s">
        <v>2598</v>
      </c>
      <c r="V1122">
        <f ca="1" t="shared" si="33"/>
        <v>6.7</v>
      </c>
      <c r="AC1122" s="2"/>
      <c r="AD1122" t="str">
        <f>IFERROR(__xludf.DUMMYFUNCTION("""COMPUTED_VALUE"""),"Liar Liar ")</f>
        <v>Liar Liar </v>
      </c>
      <c r="AE1122">
        <f t="shared" si="34"/>
        <v>181395294</v>
      </c>
    </row>
    <row r="1123" customHeight="1" spans="1:31">
      <c r="A1123" s="2" t="s">
        <v>107</v>
      </c>
      <c r="B1123" s="2">
        <v>121</v>
      </c>
      <c r="C1123" s="2">
        <v>125069696</v>
      </c>
      <c r="D1123" s="2" t="s">
        <v>2599</v>
      </c>
      <c r="E1123" s="2" t="s">
        <v>12</v>
      </c>
      <c r="F1123" t="s">
        <v>13</v>
      </c>
      <c r="G1123" t="s">
        <v>23</v>
      </c>
      <c r="H1123" t="s">
        <v>24</v>
      </c>
      <c r="N1123" s="2" t="s">
        <v>18</v>
      </c>
      <c r="O1123" s="2" t="s">
        <v>19</v>
      </c>
      <c r="P1123" s="2">
        <v>40000000</v>
      </c>
      <c r="Q1123" s="2">
        <v>7.6</v>
      </c>
      <c r="R1123" s="2" t="s">
        <v>2600</v>
      </c>
      <c r="S1123" s="2"/>
      <c r="U1123" s="2" t="s">
        <v>2601</v>
      </c>
      <c r="V1123">
        <f ca="1" t="shared" si="33"/>
        <v>6.4</v>
      </c>
      <c r="AC1123" s="2"/>
      <c r="AD1123" t="str">
        <f>IFERROR(__xludf.DUMMYFUNCTION("""COMPUTED_VALUE"""),"The Infiltrator ")</f>
        <v>The Infiltrator </v>
      </c>
      <c r="AE1123">
        <f t="shared" si="34"/>
        <v>14946102</v>
      </c>
    </row>
    <row r="1124" customHeight="1" spans="1:31">
      <c r="A1124" s="2" t="s">
        <v>1373</v>
      </c>
      <c r="B1124" s="2">
        <v>128</v>
      </c>
      <c r="C1124" s="2">
        <v>107458785</v>
      </c>
      <c r="D1124" s="2" t="s">
        <v>2602</v>
      </c>
      <c r="E1124" s="2" t="s">
        <v>40</v>
      </c>
      <c r="F1124" t="s">
        <v>30</v>
      </c>
      <c r="G1124" t="s">
        <v>30</v>
      </c>
      <c r="H1124" t="s">
        <v>16</v>
      </c>
      <c r="N1124" s="2" t="s">
        <v>18</v>
      </c>
      <c r="O1124" s="2" t="s">
        <v>19</v>
      </c>
      <c r="P1124" s="2">
        <v>40000000</v>
      </c>
      <c r="Q1124" s="2">
        <v>7.2</v>
      </c>
      <c r="R1124" s="2" t="s">
        <v>2603</v>
      </c>
      <c r="S1124" s="2"/>
      <c r="U1124" s="2" t="s">
        <v>2604</v>
      </c>
      <c r="V1124">
        <f ca="1" t="shared" si="33"/>
        <v>6.3</v>
      </c>
      <c r="AC1124" s="2"/>
      <c r="AD1124" t="str">
        <f>IFERROR(__xludf.DUMMYFUNCTION("""COMPUTED_VALUE"""),"The Flintstones ")</f>
        <v>The Flintstones </v>
      </c>
      <c r="AE1124">
        <f t="shared" si="34"/>
        <v>130512824</v>
      </c>
    </row>
    <row r="1125" customHeight="1" spans="1:31">
      <c r="A1125" s="2" t="s">
        <v>149</v>
      </c>
      <c r="B1125" s="2">
        <v>134</v>
      </c>
      <c r="C1125" s="2">
        <v>102310175</v>
      </c>
      <c r="D1125" s="2" t="s">
        <v>1189</v>
      </c>
      <c r="E1125" s="2" t="s">
        <v>72</v>
      </c>
      <c r="F1125" t="s">
        <v>28</v>
      </c>
      <c r="G1125" t="s">
        <v>14</v>
      </c>
      <c r="H1125" t="s">
        <v>24</v>
      </c>
      <c r="N1125" s="2" t="s">
        <v>18</v>
      </c>
      <c r="O1125" s="2" t="s">
        <v>19</v>
      </c>
      <c r="P1125" s="2">
        <v>40000000</v>
      </c>
      <c r="Q1125" s="2">
        <v>7.8</v>
      </c>
      <c r="R1125" s="2" t="s">
        <v>2605</v>
      </c>
      <c r="S1125" s="2"/>
      <c r="U1125" s="2" t="s">
        <v>2606</v>
      </c>
      <c r="V1125">
        <f ca="1" t="shared" si="33"/>
        <v>7.3</v>
      </c>
      <c r="AC1125" s="2"/>
      <c r="AD1125" t="str">
        <f>IFERROR(__xludf.DUMMYFUNCTION("""COMPUTED_VALUE"""),"Taken 2 ")</f>
        <v>Taken 2 </v>
      </c>
      <c r="AE1125">
        <f t="shared" si="34"/>
        <v>139852873</v>
      </c>
    </row>
    <row r="1126" customHeight="1" spans="1:31">
      <c r="A1126" s="2" t="s">
        <v>265</v>
      </c>
      <c r="B1126" s="2">
        <v>120</v>
      </c>
      <c r="C1126" s="2">
        <v>96917897</v>
      </c>
      <c r="D1126" s="2" t="s">
        <v>562</v>
      </c>
      <c r="E1126" s="2" t="s">
        <v>59</v>
      </c>
      <c r="F1126" t="s">
        <v>28</v>
      </c>
      <c r="G1126" t="s">
        <v>17</v>
      </c>
      <c r="H1126" t="s">
        <v>24</v>
      </c>
      <c r="N1126" s="2" t="s">
        <v>18</v>
      </c>
      <c r="O1126" s="2" t="s">
        <v>19</v>
      </c>
      <c r="P1126" s="2">
        <v>40000000</v>
      </c>
      <c r="Q1126" s="2">
        <v>7.7</v>
      </c>
      <c r="R1126" s="2" t="s">
        <v>2607</v>
      </c>
      <c r="S1126" s="2"/>
      <c r="U1126" s="2" t="s">
        <v>2608</v>
      </c>
      <c r="V1126">
        <f ca="1" t="shared" si="33"/>
        <v>6.85</v>
      </c>
      <c r="AC1126" s="2"/>
      <c r="AD1126" t="str">
        <f>IFERROR(__xludf.DUMMYFUNCTION("""COMPUTED_VALUE"""),"Scary Movie 3 ")</f>
        <v>Scary Movie 3 </v>
      </c>
      <c r="AE1126">
        <f t="shared" si="34"/>
        <v>109999998</v>
      </c>
    </row>
    <row r="1127" customHeight="1" spans="1:31">
      <c r="A1127" s="2" t="s">
        <v>1500</v>
      </c>
      <c r="B1127" s="2">
        <v>129</v>
      </c>
      <c r="C1127" s="2">
        <v>93952276</v>
      </c>
      <c r="D1127" s="2" t="s">
        <v>521</v>
      </c>
      <c r="E1127" s="2" t="s">
        <v>40</v>
      </c>
      <c r="F1127" t="s">
        <v>56</v>
      </c>
      <c r="G1127" t="s">
        <v>15</v>
      </c>
      <c r="H1127" t="s">
        <v>24</v>
      </c>
      <c r="N1127" s="2" t="s">
        <v>18</v>
      </c>
      <c r="O1127" s="2" t="s">
        <v>19</v>
      </c>
      <c r="P1127" s="2">
        <v>40000000</v>
      </c>
      <c r="Q1127" s="2">
        <v>6.4</v>
      </c>
      <c r="R1127" s="2" t="s">
        <v>2609</v>
      </c>
      <c r="S1127" s="2"/>
      <c r="U1127" s="2" t="s">
        <v>2610</v>
      </c>
      <c r="V1127">
        <f ca="1" t="shared" si="33"/>
        <v>7.6</v>
      </c>
      <c r="AC1127" s="2"/>
      <c r="AD1127" t="str">
        <f>IFERROR(__xludf.DUMMYFUNCTION("""COMPUTED_VALUE"""),"Miss Congeniality ")</f>
        <v>Miss Congeniality </v>
      </c>
      <c r="AE1127">
        <f t="shared" si="34"/>
        <v>106807558</v>
      </c>
    </row>
    <row r="1128" customHeight="1" spans="1:31">
      <c r="A1128" s="2" t="s">
        <v>1385</v>
      </c>
      <c r="B1128" s="2">
        <v>89</v>
      </c>
      <c r="C1128" s="2">
        <v>90703745</v>
      </c>
      <c r="D1128" s="2" t="s">
        <v>40</v>
      </c>
      <c r="E1128" s="2" t="s">
        <v>40</v>
      </c>
      <c r="F1128" t="s">
        <v>35</v>
      </c>
      <c r="G1128" t="s">
        <v>28</v>
      </c>
      <c r="H1128" t="s">
        <v>15</v>
      </c>
      <c r="N1128" s="2" t="s">
        <v>18</v>
      </c>
      <c r="O1128" s="2" t="s">
        <v>19</v>
      </c>
      <c r="P1128" s="2">
        <v>45000000</v>
      </c>
      <c r="Q1128" s="2">
        <v>5.1</v>
      </c>
      <c r="R1128" s="2" t="s">
        <v>2611</v>
      </c>
      <c r="S1128" s="2"/>
      <c r="U1128" s="2" t="s">
        <v>2612</v>
      </c>
      <c r="V1128">
        <f ca="1" t="shared" si="33"/>
        <v>6.4</v>
      </c>
      <c r="AC1128" s="2"/>
      <c r="AD1128" t="str">
        <f>IFERROR(__xludf.DUMMYFUNCTION("""COMPUTED_VALUE"""),"Journey to the Center of the Earth ")</f>
        <v>Journey to the Center of the Earth </v>
      </c>
      <c r="AE1128">
        <f t="shared" si="34"/>
        <v>101701967</v>
      </c>
    </row>
    <row r="1129" customHeight="1" spans="1:31">
      <c r="A1129" s="2" t="s">
        <v>1502</v>
      </c>
      <c r="B1129" s="2">
        <v>116</v>
      </c>
      <c r="C1129" s="2">
        <v>89138076</v>
      </c>
      <c r="D1129" s="2" t="s">
        <v>2613</v>
      </c>
      <c r="E1129" s="2" t="s">
        <v>72</v>
      </c>
      <c r="F1129" t="s">
        <v>13</v>
      </c>
      <c r="G1129" t="s">
        <v>29</v>
      </c>
      <c r="H1129" t="s">
        <v>17</v>
      </c>
      <c r="N1129" s="2" t="s">
        <v>18</v>
      </c>
      <c r="O1129" s="2" t="s">
        <v>19</v>
      </c>
      <c r="P1129" s="2">
        <v>40000000</v>
      </c>
      <c r="Q1129" s="2">
        <v>5.5</v>
      </c>
      <c r="R1129" s="2" t="s">
        <v>2614</v>
      </c>
      <c r="S1129" s="2"/>
      <c r="U1129" s="2" t="s">
        <v>2615</v>
      </c>
      <c r="V1129">
        <f ca="1" t="shared" si="33"/>
        <v>5.7</v>
      </c>
      <c r="AC1129" s="2"/>
      <c r="AD1129" t="str">
        <f>IFERROR(__xludf.DUMMYFUNCTION("""COMPUTED_VALUE"""),"The Princess Diaries 2: Royal Engagement ")</f>
        <v>The Princess Diaries 2: Royal Engagement </v>
      </c>
      <c r="AE1129">
        <f t="shared" si="34"/>
        <v>95149322</v>
      </c>
    </row>
    <row r="1130" customHeight="1" spans="1:31">
      <c r="A1130" s="2" t="s">
        <v>178</v>
      </c>
      <c r="B1130" s="2">
        <v>118</v>
      </c>
      <c r="C1130" s="2">
        <v>87666629</v>
      </c>
      <c r="D1130" s="2" t="s">
        <v>2616</v>
      </c>
      <c r="E1130" s="2" t="s">
        <v>13</v>
      </c>
      <c r="F1130" t="s">
        <v>13</v>
      </c>
      <c r="G1130" t="s">
        <v>15</v>
      </c>
      <c r="H1130" t="s">
        <v>39</v>
      </c>
      <c r="N1130" s="2" t="s">
        <v>18</v>
      </c>
      <c r="O1130" s="2" t="s">
        <v>19</v>
      </c>
      <c r="P1130" s="2">
        <v>40000000</v>
      </c>
      <c r="Q1130" s="2">
        <v>7.4</v>
      </c>
      <c r="R1130" s="2" t="s">
        <v>2617</v>
      </c>
      <c r="S1130" s="2"/>
      <c r="U1130" s="2" t="s">
        <v>2618</v>
      </c>
      <c r="V1130">
        <f ca="1" t="shared" si="33"/>
        <v>5.25</v>
      </c>
      <c r="AC1130" s="2"/>
      <c r="AD1130" t="str">
        <f>IFERROR(__xludf.DUMMYFUNCTION("""COMPUTED_VALUE"""),"The Pelican Brief ")</f>
        <v>The Pelican Brief </v>
      </c>
      <c r="AE1130">
        <f t="shared" si="34"/>
        <v>100767915</v>
      </c>
    </row>
    <row r="1131" customHeight="1" spans="1:31">
      <c r="A1131" s="2" t="s">
        <v>1505</v>
      </c>
      <c r="B1131" s="2">
        <v>107</v>
      </c>
      <c r="C1131" s="2">
        <v>90353764</v>
      </c>
      <c r="D1131" s="2" t="s">
        <v>383</v>
      </c>
      <c r="E1131" s="2" t="s">
        <v>40</v>
      </c>
      <c r="F1131" t="s">
        <v>13</v>
      </c>
      <c r="G1131" t="s">
        <v>40</v>
      </c>
      <c r="H1131" t="s">
        <v>17</v>
      </c>
      <c r="N1131" s="2" t="s">
        <v>18</v>
      </c>
      <c r="O1131" s="2" t="s">
        <v>19</v>
      </c>
      <c r="P1131" s="2">
        <v>40000000</v>
      </c>
      <c r="Q1131" s="2">
        <v>6</v>
      </c>
      <c r="R1131" s="2" t="s">
        <v>2619</v>
      </c>
      <c r="S1131" s="2"/>
      <c r="U1131" s="2" t="s">
        <v>2620</v>
      </c>
      <c r="V1131">
        <f ca="1" t="shared" si="33"/>
        <v>6.2</v>
      </c>
      <c r="AC1131" s="2"/>
      <c r="AD1131" t="str">
        <f>IFERROR(__xludf.DUMMYFUNCTION("""COMPUTED_VALUE"""),"The Client ")</f>
        <v>The Client </v>
      </c>
      <c r="AE1131">
        <f t="shared" si="34"/>
        <v>92115092</v>
      </c>
    </row>
    <row r="1132" customHeight="1" spans="1:31">
      <c r="A1132" s="2" t="s">
        <v>1218</v>
      </c>
      <c r="B1132" s="2">
        <v>155</v>
      </c>
      <c r="C1132" s="2">
        <v>82522790</v>
      </c>
      <c r="D1132" s="2" t="s">
        <v>2621</v>
      </c>
      <c r="E1132" s="2" t="s">
        <v>14</v>
      </c>
      <c r="F1132" t="s">
        <v>56</v>
      </c>
      <c r="G1132" t="s">
        <v>30</v>
      </c>
      <c r="H1132" t="s">
        <v>55</v>
      </c>
      <c r="N1132" s="2" t="s">
        <v>18</v>
      </c>
      <c r="O1132" s="2" t="s">
        <v>19</v>
      </c>
      <c r="P1132" s="2">
        <v>40000000</v>
      </c>
      <c r="Q1132" s="2">
        <v>7.5</v>
      </c>
      <c r="R1132" s="2" t="s">
        <v>2622</v>
      </c>
      <c r="S1132" s="2"/>
      <c r="U1132" s="2" t="s">
        <v>2623</v>
      </c>
      <c r="V1132">
        <f ca="1" t="shared" si="33"/>
        <v>7</v>
      </c>
      <c r="AC1132" s="2"/>
      <c r="AD1132" t="str">
        <f>IFERROR(__xludf.DUMMYFUNCTION("""COMPUTED_VALUE"""),"The Bucket List ")</f>
        <v>The Bucket List </v>
      </c>
      <c r="AE1132">
        <f t="shared" si="34"/>
        <v>93451959</v>
      </c>
    </row>
    <row r="1133" customHeight="1" spans="1:31">
      <c r="A1133" s="2" t="s">
        <v>995</v>
      </c>
      <c r="B1133" s="2">
        <v>123</v>
      </c>
      <c r="C1133" s="2">
        <v>94125426</v>
      </c>
      <c r="D1133" s="2" t="s">
        <v>2624</v>
      </c>
      <c r="E1133" s="2" t="s">
        <v>59</v>
      </c>
      <c r="F1133" t="s">
        <v>24</v>
      </c>
      <c r="G1133" t="s">
        <v>23</v>
      </c>
      <c r="H1133" t="s">
        <v>30</v>
      </c>
      <c r="N1133" s="2" t="s">
        <v>18</v>
      </c>
      <c r="O1133" s="2" t="s">
        <v>19</v>
      </c>
      <c r="P1133" s="2">
        <v>40000000</v>
      </c>
      <c r="Q1133" s="2">
        <v>7</v>
      </c>
      <c r="R1133" s="2" t="s">
        <v>2625</v>
      </c>
      <c r="S1133" s="2"/>
      <c r="U1133" s="2" t="s">
        <v>2626</v>
      </c>
      <c r="V1133">
        <f ca="1" t="shared" si="33"/>
        <v>6.45</v>
      </c>
      <c r="AC1133" s="2"/>
      <c r="AD1133" t="str">
        <f>IFERROR(__xludf.DUMMYFUNCTION("""COMPUTED_VALUE"""),"Patriot Games ")</f>
        <v>Patriot Games </v>
      </c>
      <c r="AE1133">
        <f t="shared" si="34"/>
        <v>83287246</v>
      </c>
    </row>
    <row r="1134" customHeight="1" spans="1:31">
      <c r="A1134" s="2" t="s">
        <v>1261</v>
      </c>
      <c r="B1134" s="2">
        <v>128</v>
      </c>
      <c r="C1134" s="2">
        <v>95001343</v>
      </c>
      <c r="D1134" s="2" t="s">
        <v>592</v>
      </c>
      <c r="E1134" s="2" t="s">
        <v>59</v>
      </c>
      <c r="F1134" t="s">
        <v>14</v>
      </c>
      <c r="G1134" t="s">
        <v>24</v>
      </c>
      <c r="H1134" t="s">
        <v>15</v>
      </c>
      <c r="N1134" s="2" t="s">
        <v>18</v>
      </c>
      <c r="O1134" s="2" t="s">
        <v>19</v>
      </c>
      <c r="P1134" s="2">
        <v>40000000</v>
      </c>
      <c r="Q1134" s="2">
        <v>7.5</v>
      </c>
      <c r="R1134" s="2" t="s">
        <v>2627</v>
      </c>
      <c r="S1134" s="2"/>
      <c r="U1134" s="2" t="s">
        <v>2628</v>
      </c>
      <c r="V1134">
        <f ca="1" t="shared" si="33"/>
        <v>6.7</v>
      </c>
      <c r="AC1134" s="2"/>
      <c r="AD1134" t="str">
        <f>IFERROR(__xludf.DUMMYFUNCTION("""COMPUTED_VALUE"""),"Monster-in-Law ")</f>
        <v>Monster-in-Law </v>
      </c>
      <c r="AE1134">
        <f t="shared" si="34"/>
        <v>82931200</v>
      </c>
    </row>
    <row r="1135" customHeight="1" spans="1:31">
      <c r="A1135" s="2" t="s">
        <v>801</v>
      </c>
      <c r="B1135" s="2">
        <v>139</v>
      </c>
      <c r="C1135" s="2">
        <v>81292135</v>
      </c>
      <c r="D1135" s="2" t="s">
        <v>805</v>
      </c>
      <c r="E1135" s="2" t="s">
        <v>56</v>
      </c>
      <c r="F1135" t="s">
        <v>28</v>
      </c>
      <c r="G1135" t="s">
        <v>17</v>
      </c>
      <c r="H1135" t="s">
        <v>29</v>
      </c>
      <c r="N1135" s="2" t="s">
        <v>18</v>
      </c>
      <c r="O1135" s="2" t="s">
        <v>19</v>
      </c>
      <c r="P1135" s="2">
        <v>40000000</v>
      </c>
      <c r="Q1135" s="2">
        <v>7.3</v>
      </c>
      <c r="R1135" s="2" t="s">
        <v>2629</v>
      </c>
      <c r="S1135" s="2"/>
      <c r="U1135" s="2" t="s">
        <v>2630</v>
      </c>
      <c r="V1135">
        <f ca="1" t="shared" si="33"/>
        <v>6.36666666666667</v>
      </c>
      <c r="AC1135" s="2"/>
      <c r="AD1135" t="str">
        <f>IFERROR(__xludf.DUMMYFUNCTION("""COMPUTED_VALUE"""),"Prisoners ")</f>
        <v>Prisoners </v>
      </c>
      <c r="AE1135">
        <f t="shared" si="34"/>
        <v>60962725</v>
      </c>
    </row>
    <row r="1136" customHeight="1" spans="1:31">
      <c r="A1136" s="2" t="s">
        <v>956</v>
      </c>
      <c r="B1136" s="2">
        <v>109</v>
      </c>
      <c r="C1136" s="2">
        <v>86208010</v>
      </c>
      <c r="D1136" s="2" t="s">
        <v>40</v>
      </c>
      <c r="E1136" s="2" t="s">
        <v>40</v>
      </c>
      <c r="F1136" t="s">
        <v>30</v>
      </c>
      <c r="G1136" t="s">
        <v>39</v>
      </c>
      <c r="H1136" t="s">
        <v>40</v>
      </c>
      <c r="N1136" s="2" t="s">
        <v>18</v>
      </c>
      <c r="O1136" s="2" t="s">
        <v>19</v>
      </c>
      <c r="P1136" s="2">
        <v>35000000</v>
      </c>
      <c r="Q1136" s="2">
        <v>5.7</v>
      </c>
      <c r="R1136" s="2" t="s">
        <v>2631</v>
      </c>
      <c r="S1136" s="2"/>
      <c r="U1136" s="2" t="s">
        <v>2632</v>
      </c>
      <c r="V1136">
        <f ca="1" t="shared" si="33"/>
        <v>6.6</v>
      </c>
      <c r="AC1136" s="2"/>
      <c r="AD1136" t="str">
        <f>IFERROR(__xludf.DUMMYFUNCTION("""COMPUTED_VALUE"""),"Training Day ")</f>
        <v>Training Day </v>
      </c>
      <c r="AE1136">
        <f t="shared" si="34"/>
        <v>76260914</v>
      </c>
    </row>
    <row r="1137" customHeight="1" spans="1:31">
      <c r="A1137" s="2" t="s">
        <v>1264</v>
      </c>
      <c r="B1137" s="2">
        <v>120</v>
      </c>
      <c r="C1137" s="2">
        <v>81593527</v>
      </c>
      <c r="D1137" s="2" t="s">
        <v>1297</v>
      </c>
      <c r="E1137" s="2" t="s">
        <v>13</v>
      </c>
      <c r="F1137" t="s">
        <v>17</v>
      </c>
      <c r="G1137" t="s">
        <v>55</v>
      </c>
      <c r="H1137" t="s">
        <v>24</v>
      </c>
      <c r="N1137" s="2" t="s">
        <v>18</v>
      </c>
      <c r="O1137" s="2" t="s">
        <v>19</v>
      </c>
      <c r="P1137" s="2">
        <v>40000000</v>
      </c>
      <c r="Q1137" s="2">
        <v>7.3</v>
      </c>
      <c r="R1137" s="2" t="s">
        <v>2633</v>
      </c>
      <c r="S1137" s="2"/>
      <c r="U1137" s="2" t="s">
        <v>2634</v>
      </c>
      <c r="V1137">
        <f ca="1" t="shared" si="33"/>
        <v>5.4</v>
      </c>
      <c r="AC1137" s="2"/>
      <c r="AD1137" t="str">
        <f>IFERROR(__xludf.DUMMYFUNCTION("""COMPUTED_VALUE"""),"Galaxy Quest ")</f>
        <v>Galaxy Quest </v>
      </c>
      <c r="AE1137">
        <f t="shared" si="34"/>
        <v>71423624</v>
      </c>
    </row>
    <row r="1138" customHeight="1" spans="1:31">
      <c r="A1138" s="2" t="s">
        <v>758</v>
      </c>
      <c r="B1138" s="2">
        <v>121</v>
      </c>
      <c r="C1138" s="2">
        <v>75274748</v>
      </c>
      <c r="D1138" s="2" t="s">
        <v>975</v>
      </c>
      <c r="E1138" s="2" t="s">
        <v>40</v>
      </c>
      <c r="F1138" t="s">
        <v>30</v>
      </c>
      <c r="G1138" t="s">
        <v>56</v>
      </c>
      <c r="H1138" t="s">
        <v>72</v>
      </c>
      <c r="N1138" s="2" t="s">
        <v>18</v>
      </c>
      <c r="O1138" s="2" t="s">
        <v>19</v>
      </c>
      <c r="P1138" s="2">
        <v>35000000</v>
      </c>
      <c r="Q1138" s="2">
        <v>7.2</v>
      </c>
      <c r="R1138" s="2" t="s">
        <v>2635</v>
      </c>
      <c r="S1138" s="2"/>
      <c r="U1138" s="2" t="s">
        <v>2636</v>
      </c>
      <c r="V1138">
        <f ca="1" t="shared" si="33"/>
        <v>5</v>
      </c>
      <c r="AC1138" s="2"/>
      <c r="AD1138" t="str">
        <f>IFERROR(__xludf.DUMMYFUNCTION("""COMPUTED_VALUE"""),"Scary Movie 2 ")</f>
        <v>Scary Movie 2 </v>
      </c>
      <c r="AE1138">
        <f t="shared" si="34"/>
        <v>71277337</v>
      </c>
    </row>
    <row r="1139" customHeight="1" spans="1:31">
      <c r="A1139" s="2" t="s">
        <v>497</v>
      </c>
      <c r="B1139" s="2">
        <v>102</v>
      </c>
      <c r="C1139" s="2">
        <v>90835030</v>
      </c>
      <c r="D1139" s="2" t="s">
        <v>811</v>
      </c>
      <c r="E1139" s="2" t="s">
        <v>12</v>
      </c>
      <c r="F1139" t="s">
        <v>30</v>
      </c>
      <c r="G1139" t="s">
        <v>56</v>
      </c>
      <c r="H1139" t="s">
        <v>39</v>
      </c>
      <c r="N1139" s="2" t="s">
        <v>18</v>
      </c>
      <c r="O1139" s="2" t="s">
        <v>19</v>
      </c>
      <c r="P1139" s="2">
        <v>40000000</v>
      </c>
      <c r="Q1139" s="2">
        <v>5.9</v>
      </c>
      <c r="R1139" s="2" t="s">
        <v>2637</v>
      </c>
      <c r="S1139" s="2"/>
      <c r="U1139" s="2" t="s">
        <v>2638</v>
      </c>
      <c r="V1139">
        <f ca="1" t="shared" si="33"/>
        <v>8</v>
      </c>
      <c r="AC1139" s="2"/>
      <c r="AD1139" t="str">
        <f>IFERROR(__xludf.DUMMYFUNCTION("""COMPUTED_VALUE"""),"The Muppets ")</f>
        <v>The Muppets </v>
      </c>
      <c r="AE1139">
        <f t="shared" si="34"/>
        <v>88625819</v>
      </c>
    </row>
    <row r="1140" customHeight="1" spans="1:31">
      <c r="A1140" s="2" t="s">
        <v>591</v>
      </c>
      <c r="B1140" s="2">
        <v>117</v>
      </c>
      <c r="C1140" s="2">
        <v>72455275</v>
      </c>
      <c r="D1140" s="2" t="s">
        <v>2639</v>
      </c>
      <c r="E1140" s="2" t="s">
        <v>12</v>
      </c>
      <c r="F1140" t="s">
        <v>28</v>
      </c>
      <c r="G1140" t="s">
        <v>40</v>
      </c>
      <c r="H1140" t="s">
        <v>17</v>
      </c>
      <c r="N1140" s="2" t="s">
        <v>18</v>
      </c>
      <c r="O1140" s="2" t="s">
        <v>19</v>
      </c>
      <c r="P1140" s="2">
        <v>40000000</v>
      </c>
      <c r="Q1140" s="2">
        <v>7.8</v>
      </c>
      <c r="R1140" s="2" t="s">
        <v>2640</v>
      </c>
      <c r="S1140" s="2"/>
      <c r="U1140" s="2" t="s">
        <v>2641</v>
      </c>
      <c r="V1140">
        <f ca="1" t="shared" si="33"/>
        <v>7.45</v>
      </c>
      <c r="AC1140" s="2"/>
      <c r="AD1140" t="str">
        <f>IFERROR(__xludf.DUMMYFUNCTION("""COMPUTED_VALUE"""),"Blade ")</f>
        <v>Blade </v>
      </c>
      <c r="AE1140">
        <f t="shared" si="34"/>
        <v>70000955</v>
      </c>
    </row>
    <row r="1141" customHeight="1" spans="1:31">
      <c r="A1141" s="2" t="s">
        <v>1012</v>
      </c>
      <c r="B1141" s="2">
        <v>178</v>
      </c>
      <c r="C1141" s="2">
        <v>75305995</v>
      </c>
      <c r="D1141" s="2" t="s">
        <v>1747</v>
      </c>
      <c r="E1141" s="2" t="s">
        <v>59</v>
      </c>
      <c r="F1141" t="s">
        <v>55</v>
      </c>
      <c r="G1141" t="s">
        <v>72</v>
      </c>
      <c r="H1141" t="s">
        <v>16</v>
      </c>
      <c r="N1141" s="2" t="s">
        <v>18</v>
      </c>
      <c r="O1141" s="2" t="s">
        <v>19</v>
      </c>
      <c r="P1141" s="2">
        <v>40000000</v>
      </c>
      <c r="Q1141" s="2">
        <v>7.7</v>
      </c>
      <c r="R1141" s="2" t="s">
        <v>2642</v>
      </c>
      <c r="S1141" s="2"/>
      <c r="U1141" s="2" t="s">
        <v>2643</v>
      </c>
      <c r="V1141">
        <f ca="1" t="shared" si="33"/>
        <v>5.84</v>
      </c>
      <c r="AC1141" s="2"/>
      <c r="AD1141" t="str">
        <f>IFERROR(__xludf.DUMMYFUNCTION("""COMPUTED_VALUE"""),"Coach Carter ")</f>
        <v>Coach Carter </v>
      </c>
      <c r="AE1141">
        <f t="shared" si="34"/>
        <v>67252956</v>
      </c>
    </row>
    <row r="1142" customHeight="1" spans="1:31">
      <c r="A1142" s="2" t="s">
        <v>1021</v>
      </c>
      <c r="B1142" s="2">
        <v>147</v>
      </c>
      <c r="C1142" s="2">
        <v>74098862</v>
      </c>
      <c r="D1142" s="2" t="s">
        <v>557</v>
      </c>
      <c r="E1142" s="2" t="s">
        <v>56</v>
      </c>
      <c r="F1142" t="s">
        <v>30</v>
      </c>
      <c r="G1142" t="s">
        <v>17</v>
      </c>
      <c r="H1142" t="s">
        <v>28</v>
      </c>
      <c r="N1142" s="2" t="s">
        <v>18</v>
      </c>
      <c r="O1142" s="2" t="s">
        <v>19</v>
      </c>
      <c r="P1142" s="2">
        <v>40000000</v>
      </c>
      <c r="Q1142" s="2">
        <v>8.1</v>
      </c>
      <c r="R1142" s="2" t="s">
        <v>2644</v>
      </c>
      <c r="S1142" s="2"/>
      <c r="U1142" s="2" t="s">
        <v>2645</v>
      </c>
      <c r="V1142">
        <f ca="1" t="shared" si="33"/>
        <v>5</v>
      </c>
      <c r="AC1142" s="2"/>
      <c r="AD1142" t="str">
        <f>IFERROR(__xludf.DUMMYFUNCTION("""COMPUTED_VALUE"""),"Changing Lanes ")</f>
        <v>Changing Lanes </v>
      </c>
      <c r="AE1142">
        <f t="shared" si="34"/>
        <v>66790157</v>
      </c>
    </row>
    <row r="1143" customHeight="1" spans="1:31">
      <c r="A1143" s="2" t="s">
        <v>784</v>
      </c>
      <c r="B1143" s="2">
        <v>90</v>
      </c>
      <c r="C1143" s="2">
        <v>72266306</v>
      </c>
      <c r="D1143" s="2" t="s">
        <v>814</v>
      </c>
      <c r="E1143" s="2" t="s">
        <v>56</v>
      </c>
      <c r="F1143" t="s">
        <v>72</v>
      </c>
      <c r="G1143" t="s">
        <v>56</v>
      </c>
      <c r="H1143" t="s">
        <v>24</v>
      </c>
      <c r="N1143" s="2" t="s">
        <v>18</v>
      </c>
      <c r="O1143" s="2" t="s">
        <v>19</v>
      </c>
      <c r="P1143" s="2">
        <v>40000000</v>
      </c>
      <c r="Q1143" s="2">
        <v>6.6</v>
      </c>
      <c r="R1143" s="2" t="s">
        <v>2646</v>
      </c>
      <c r="S1143" s="2"/>
      <c r="U1143" s="2" t="s">
        <v>2647</v>
      </c>
      <c r="V1143">
        <f ca="1" t="shared" ref="V1143:V1206" si="35">AVERAGEIF(A1027:A4812,U1143,Q1028:Q4812)</f>
        <v>6.9</v>
      </c>
      <c r="AC1143" s="2"/>
      <c r="AD1143" t="str">
        <f>IFERROR(__xludf.DUMMYFUNCTION("""COMPUTED_VALUE"""),"Anaconda ")</f>
        <v>Anaconda </v>
      </c>
      <c r="AE1143">
        <f t="shared" ref="AE1143:AE1206" si="36">C1027-B1027</f>
        <v>65557900</v>
      </c>
    </row>
    <row r="1144" customHeight="1" spans="1:31">
      <c r="A1144" s="2" t="s">
        <v>1460</v>
      </c>
      <c r="B1144" s="2">
        <v>105</v>
      </c>
      <c r="C1144" s="2">
        <v>71347010</v>
      </c>
      <c r="D1144" s="2" t="s">
        <v>607</v>
      </c>
      <c r="E1144" s="2" t="s">
        <v>40</v>
      </c>
      <c r="F1144" t="s">
        <v>23</v>
      </c>
      <c r="G1144" t="s">
        <v>28</v>
      </c>
      <c r="H1144" t="s">
        <v>14</v>
      </c>
      <c r="N1144" s="2" t="s">
        <v>18</v>
      </c>
      <c r="O1144" s="2" t="s">
        <v>19</v>
      </c>
      <c r="P1144" s="2">
        <v>40000000</v>
      </c>
      <c r="Q1144" s="2">
        <v>7.1</v>
      </c>
      <c r="R1144" s="2" t="s">
        <v>2648</v>
      </c>
      <c r="S1144" s="2"/>
      <c r="U1144" s="2" t="s">
        <v>2649</v>
      </c>
      <c r="V1144">
        <f ca="1" t="shared" si="35"/>
        <v>8</v>
      </c>
      <c r="AC1144" s="2"/>
      <c r="AD1144" t="str">
        <f>IFERROR(__xludf.DUMMYFUNCTION("""COMPUTED_VALUE"""),"Coyote Ugly ")</f>
        <v>Coyote Ugly </v>
      </c>
      <c r="AE1144">
        <f t="shared" si="36"/>
        <v>60786162</v>
      </c>
    </row>
    <row r="1145" customHeight="1" spans="1:31">
      <c r="A1145" s="2" t="s">
        <v>956</v>
      </c>
      <c r="B1145" s="2">
        <v>114</v>
      </c>
      <c r="C1145" s="2">
        <v>70836296</v>
      </c>
      <c r="D1145" s="2" t="s">
        <v>959</v>
      </c>
      <c r="E1145" s="2" t="s">
        <v>40</v>
      </c>
      <c r="F1145" t="s">
        <v>17</v>
      </c>
      <c r="G1145" t="s">
        <v>30</v>
      </c>
      <c r="H1145" t="s">
        <v>72</v>
      </c>
      <c r="N1145" s="2" t="s">
        <v>18</v>
      </c>
      <c r="O1145" s="2" t="s">
        <v>19</v>
      </c>
      <c r="P1145" s="2">
        <v>40000000</v>
      </c>
      <c r="Q1145" s="2">
        <v>5.9</v>
      </c>
      <c r="R1145" s="2" t="s">
        <v>2650</v>
      </c>
      <c r="S1145" s="2"/>
      <c r="U1145" s="2" t="s">
        <v>2651</v>
      </c>
      <c r="V1145">
        <f ca="1" t="shared" si="35"/>
        <v>6.8</v>
      </c>
      <c r="AC1145" s="2"/>
      <c r="AD1145" t="str">
        <f>IFERROR(__xludf.DUMMYFUNCTION("""COMPUTED_VALUE"""),"Love Actually ")</f>
        <v>Love Actually </v>
      </c>
      <c r="AE1145">
        <f t="shared" si="36"/>
        <v>59364976</v>
      </c>
    </row>
    <row r="1146" customHeight="1" spans="1:31">
      <c r="A1146" s="2" t="s">
        <v>291</v>
      </c>
      <c r="B1146" s="2">
        <v>206</v>
      </c>
      <c r="C1146" s="2">
        <v>70405498</v>
      </c>
      <c r="D1146" s="2" t="s">
        <v>1097</v>
      </c>
      <c r="E1146" s="2" t="s">
        <v>30</v>
      </c>
      <c r="F1146" t="s">
        <v>40</v>
      </c>
      <c r="G1146" t="s">
        <v>39</v>
      </c>
      <c r="H1146" t="s">
        <v>24</v>
      </c>
      <c r="N1146" s="2" t="s">
        <v>18</v>
      </c>
      <c r="O1146" s="2" t="s">
        <v>707</v>
      </c>
      <c r="P1146" s="2">
        <v>40000000</v>
      </c>
      <c r="Q1146" s="2">
        <v>8</v>
      </c>
      <c r="R1146" s="2" t="s">
        <v>2652</v>
      </c>
      <c r="S1146" s="2"/>
      <c r="U1146" s="2" t="s">
        <v>2653</v>
      </c>
      <c r="V1146">
        <f ca="1" t="shared" si="35"/>
        <v>6.2</v>
      </c>
      <c r="AC1146" s="2"/>
      <c r="AD1146" t="str">
        <f>IFERROR(__xludf.DUMMYFUNCTION("""COMPUTED_VALUE"""),"A Bug's Life ")</f>
        <v>A Bug's Life </v>
      </c>
      <c r="AE1146">
        <f t="shared" si="36"/>
        <v>162792582</v>
      </c>
    </row>
    <row r="1147" customHeight="1" spans="1:31">
      <c r="A1147" s="2" t="s">
        <v>1507</v>
      </c>
      <c r="B1147" s="2">
        <v>99</v>
      </c>
      <c r="C1147" s="2">
        <v>70163652</v>
      </c>
      <c r="D1147" s="2" t="s">
        <v>383</v>
      </c>
      <c r="E1147" s="2" t="s">
        <v>40</v>
      </c>
      <c r="F1147" t="s">
        <v>30</v>
      </c>
      <c r="G1147" t="s">
        <v>24</v>
      </c>
      <c r="H1147" t="s">
        <v>17</v>
      </c>
      <c r="N1147" s="2" t="s">
        <v>18</v>
      </c>
      <c r="O1147" s="2" t="s">
        <v>19</v>
      </c>
      <c r="P1147" s="2">
        <v>40000000</v>
      </c>
      <c r="Q1147" s="2">
        <v>4.6</v>
      </c>
      <c r="R1147" s="2" t="s">
        <v>2654</v>
      </c>
      <c r="S1147" s="2"/>
      <c r="U1147" s="2" t="s">
        <v>2655</v>
      </c>
      <c r="V1147">
        <f ca="1" t="shared" si="35"/>
        <v>6.275</v>
      </c>
      <c r="AC1147" s="2"/>
      <c r="AD1147" t="str">
        <f>IFERROR(__xludf.DUMMYFUNCTION("""COMPUTED_VALUE"""),"From Hell ")</f>
        <v>From Hell </v>
      </c>
      <c r="AE1147">
        <f t="shared" si="36"/>
        <v>31598186</v>
      </c>
    </row>
    <row r="1148" customHeight="1" spans="1:31">
      <c r="A1148" s="2" t="s">
        <v>21</v>
      </c>
      <c r="B1148" s="2">
        <v>123</v>
      </c>
      <c r="C1148" s="2">
        <v>66808615</v>
      </c>
      <c r="D1148" s="2" t="s">
        <v>2656</v>
      </c>
      <c r="E1148" s="2" t="s">
        <v>13</v>
      </c>
      <c r="F1148" t="s">
        <v>28</v>
      </c>
      <c r="G1148" t="s">
        <v>17</v>
      </c>
      <c r="N1148" s="2" t="s">
        <v>18</v>
      </c>
      <c r="O1148" s="2" t="s">
        <v>19</v>
      </c>
      <c r="P1148" s="2">
        <v>34000000</v>
      </c>
      <c r="Q1148" s="2">
        <v>6.1</v>
      </c>
      <c r="R1148" s="2" t="s">
        <v>2657</v>
      </c>
      <c r="S1148" s="2"/>
      <c r="U1148" s="2" t="s">
        <v>2658</v>
      </c>
      <c r="V1148">
        <f ca="1" t="shared" si="35"/>
        <v>6.6</v>
      </c>
      <c r="AC1148" s="2"/>
      <c r="AD1148" t="str">
        <f>IFERROR(__xludf.DUMMYFUNCTION("""COMPUTED_VALUE"""),"The Specialist ")</f>
        <v>The Specialist </v>
      </c>
      <c r="AE1148">
        <f t="shared" si="36"/>
        <v>57362471</v>
      </c>
    </row>
    <row r="1149" customHeight="1" spans="1:31">
      <c r="A1149" s="2" t="s">
        <v>1458</v>
      </c>
      <c r="B1149" s="2">
        <v>102</v>
      </c>
      <c r="C1149" s="2">
        <v>64149837</v>
      </c>
      <c r="D1149" s="2" t="s">
        <v>2659</v>
      </c>
      <c r="E1149" s="2" t="s">
        <v>40</v>
      </c>
      <c r="F1149" t="s">
        <v>24</v>
      </c>
      <c r="G1149" t="s">
        <v>14</v>
      </c>
      <c r="N1149" s="2" t="s">
        <v>18</v>
      </c>
      <c r="O1149" s="2" t="s">
        <v>19</v>
      </c>
      <c r="P1149" s="2">
        <v>20000000</v>
      </c>
      <c r="Q1149" s="2">
        <v>6.4</v>
      </c>
      <c r="R1149" s="2" t="s">
        <v>2660</v>
      </c>
      <c r="S1149" s="2"/>
      <c r="U1149" s="2" t="s">
        <v>2661</v>
      </c>
      <c r="V1149">
        <f ca="1" t="shared" si="35"/>
        <v>7.5</v>
      </c>
      <c r="AC1149" s="2"/>
      <c r="AD1149" t="str">
        <f>IFERROR(__xludf.DUMMYFUNCTION("""COMPUTED_VALUE"""),"Tin Cup ")</f>
        <v>Tin Cup </v>
      </c>
      <c r="AE1149">
        <f t="shared" si="36"/>
        <v>53854453</v>
      </c>
    </row>
    <row r="1150" customHeight="1" spans="1:31">
      <c r="A1150" s="2" t="s">
        <v>1509</v>
      </c>
      <c r="B1150" s="2">
        <v>109</v>
      </c>
      <c r="C1150" s="2">
        <v>83906114</v>
      </c>
      <c r="D1150" s="2" t="s">
        <v>607</v>
      </c>
      <c r="E1150" s="2" t="s">
        <v>40</v>
      </c>
      <c r="F1150" t="s">
        <v>30</v>
      </c>
      <c r="G1150" t="s">
        <v>24</v>
      </c>
      <c r="N1150" s="2" t="s">
        <v>18</v>
      </c>
      <c r="O1150" s="2" t="s">
        <v>19</v>
      </c>
      <c r="P1150" s="2">
        <v>40000000</v>
      </c>
      <c r="Q1150" s="2">
        <v>6</v>
      </c>
      <c r="R1150" s="2" t="s">
        <v>2662</v>
      </c>
      <c r="S1150" s="2"/>
      <c r="U1150" s="2" t="s">
        <v>2663</v>
      </c>
      <c r="V1150">
        <f ca="1" t="shared" si="35"/>
        <v>7.6</v>
      </c>
      <c r="AC1150" s="2"/>
      <c r="AD1150" t="str">
        <f>IFERROR(__xludf.DUMMYFUNCTION("""COMPUTED_VALUE"""),"Kicking &amp; Screaming ")</f>
        <v>Kicking &amp; Screaming </v>
      </c>
      <c r="AE1150">
        <f t="shared" si="36"/>
        <v>52580800</v>
      </c>
    </row>
    <row r="1151" customHeight="1" spans="1:31">
      <c r="A1151" s="2" t="s">
        <v>1407</v>
      </c>
      <c r="B1151" s="2">
        <v>82</v>
      </c>
      <c r="C1151" s="2">
        <v>66466372</v>
      </c>
      <c r="D1151" s="2" t="s">
        <v>72</v>
      </c>
      <c r="E1151" s="2" t="s">
        <v>72</v>
      </c>
      <c r="F1151" t="s">
        <v>30</v>
      </c>
      <c r="G1151" t="s">
        <v>14</v>
      </c>
      <c r="N1151" s="2" t="s">
        <v>18</v>
      </c>
      <c r="O1151" s="2" t="s">
        <v>19</v>
      </c>
      <c r="P1151" s="2">
        <v>40000000</v>
      </c>
      <c r="Q1151" s="2">
        <v>5.2</v>
      </c>
      <c r="R1151" s="2" t="s">
        <v>2664</v>
      </c>
      <c r="S1151" s="2"/>
      <c r="U1151" s="2" t="s">
        <v>2665</v>
      </c>
      <c r="V1151">
        <f ca="1" t="shared" si="35"/>
        <v>8</v>
      </c>
      <c r="AC1151" s="2"/>
      <c r="AD1151" t="str">
        <f>IFERROR(__xludf.DUMMYFUNCTION("""COMPUTED_VALUE"""),"The Hitchhiker's Guide to the Galaxy ")</f>
        <v>The Hitchhiker's Guide to the Galaxy </v>
      </c>
      <c r="AE1151">
        <f t="shared" si="36"/>
        <v>51019003</v>
      </c>
    </row>
    <row r="1152" customHeight="1" spans="1:31">
      <c r="A1152" s="2" t="s">
        <v>166</v>
      </c>
      <c r="B1152" s="2">
        <v>142</v>
      </c>
      <c r="C1152" s="2">
        <v>72306065</v>
      </c>
      <c r="D1152" s="2" t="s">
        <v>1097</v>
      </c>
      <c r="E1152" s="2" t="s">
        <v>30</v>
      </c>
      <c r="F1152" t="s">
        <v>56</v>
      </c>
      <c r="G1152" t="s">
        <v>17</v>
      </c>
      <c r="N1152" s="2" t="s">
        <v>18</v>
      </c>
      <c r="O1152" s="2" t="s">
        <v>19</v>
      </c>
      <c r="P1152" s="2">
        <v>40000000</v>
      </c>
      <c r="Q1152" s="2">
        <v>7.6</v>
      </c>
      <c r="R1152" s="2" t="s">
        <v>2666</v>
      </c>
      <c r="S1152" s="2"/>
      <c r="U1152" s="2" t="s">
        <v>2667</v>
      </c>
      <c r="V1152">
        <f ca="1" t="shared" si="35"/>
        <v>6.35</v>
      </c>
      <c r="AC1152" s="2"/>
      <c r="AD1152" t="str">
        <f>IFERROR(__xludf.DUMMYFUNCTION("""COMPUTED_VALUE"""),"Fat Albert ")</f>
        <v>Fat Albert </v>
      </c>
      <c r="AE1152">
        <f t="shared" si="36"/>
        <v>48114463</v>
      </c>
    </row>
    <row r="1153" customHeight="1" spans="1:31">
      <c r="A1153" s="2" t="s">
        <v>702</v>
      </c>
      <c r="B1153" s="2">
        <v>106</v>
      </c>
      <c r="C1153" s="2">
        <v>59068786</v>
      </c>
      <c r="D1153" s="2" t="s">
        <v>706</v>
      </c>
      <c r="E1153" s="2" t="s">
        <v>12</v>
      </c>
      <c r="F1153" t="s">
        <v>30</v>
      </c>
      <c r="G1153" t="s">
        <v>23</v>
      </c>
      <c r="N1153" s="2" t="s">
        <v>18</v>
      </c>
      <c r="O1153" s="2" t="s">
        <v>19</v>
      </c>
      <c r="P1153" s="2">
        <v>40000000</v>
      </c>
      <c r="Q1153" s="2">
        <v>6.4</v>
      </c>
      <c r="R1153" s="2" t="s">
        <v>2668</v>
      </c>
      <c r="S1153" s="2"/>
      <c r="U1153" s="2" t="s">
        <v>2669</v>
      </c>
      <c r="V1153">
        <f ca="1" t="shared" si="35"/>
        <v>6.46</v>
      </c>
      <c r="AC1153" s="2"/>
      <c r="AD1153" t="str">
        <f>IFERROR(__xludf.DUMMYFUNCTION("""COMPUTED_VALUE"""),"Resident Evil: Extinction ")</f>
        <v>Resident Evil: Extinction </v>
      </c>
      <c r="AE1153">
        <f t="shared" si="36"/>
        <v>50648585</v>
      </c>
    </row>
    <row r="1154" customHeight="1" spans="1:31">
      <c r="A1154" s="2" t="s">
        <v>606</v>
      </c>
      <c r="B1154" s="2">
        <v>106</v>
      </c>
      <c r="C1154" s="2">
        <v>57887882</v>
      </c>
      <c r="D1154" s="2" t="s">
        <v>521</v>
      </c>
      <c r="E1154" s="2" t="s">
        <v>40</v>
      </c>
      <c r="F1154" t="s">
        <v>30</v>
      </c>
      <c r="G1154" t="s">
        <v>14</v>
      </c>
      <c r="N1154" s="2" t="s">
        <v>18</v>
      </c>
      <c r="O1154" s="2" t="s">
        <v>19</v>
      </c>
      <c r="P1154" s="2">
        <v>50000000</v>
      </c>
      <c r="Q1154" s="2">
        <v>6.1</v>
      </c>
      <c r="R1154" s="2" t="s">
        <v>2670</v>
      </c>
      <c r="S1154" s="2"/>
      <c r="U1154" s="2" t="s">
        <v>2671</v>
      </c>
      <c r="V1154">
        <f ca="1" t="shared" si="35"/>
        <v>6.3</v>
      </c>
      <c r="AC1154" s="2"/>
      <c r="AD1154" t="str">
        <f>IFERROR(__xludf.DUMMYFUNCTION("""COMPUTED_VALUE"""),"Blended ")</f>
        <v>Blended </v>
      </c>
      <c r="AE1154">
        <f t="shared" si="36"/>
        <v>46280390</v>
      </c>
    </row>
    <row r="1155" customHeight="1" spans="1:31">
      <c r="A1155" s="2" t="s">
        <v>845</v>
      </c>
      <c r="B1155" s="2">
        <v>108</v>
      </c>
      <c r="C1155" s="2">
        <v>53955614</v>
      </c>
      <c r="D1155" s="2" t="s">
        <v>1192</v>
      </c>
      <c r="E1155" s="2" t="s">
        <v>12</v>
      </c>
      <c r="F1155" t="s">
        <v>71</v>
      </c>
      <c r="G1155" t="s">
        <v>39</v>
      </c>
      <c r="N1155" s="2" t="s">
        <v>18</v>
      </c>
      <c r="O1155" s="2" t="s">
        <v>19</v>
      </c>
      <c r="P1155" s="2">
        <v>40000000</v>
      </c>
      <c r="Q1155" s="2">
        <v>6.1</v>
      </c>
      <c r="R1155" s="2" t="s">
        <v>2672</v>
      </c>
      <c r="S1155" s="2"/>
      <c r="U1155" s="2" t="s">
        <v>2673</v>
      </c>
      <c r="V1155">
        <f ca="1" t="shared" si="35"/>
        <v>6.5</v>
      </c>
      <c r="AC1155" s="2"/>
      <c r="AD1155" t="str">
        <f>IFERROR(__xludf.DUMMYFUNCTION("""COMPUTED_VALUE"""),"Last Holiday ")</f>
        <v>Last Holiday </v>
      </c>
      <c r="AE1155">
        <f t="shared" si="36"/>
        <v>38360083</v>
      </c>
    </row>
    <row r="1156" customHeight="1" spans="1:31">
      <c r="A1156" s="2" t="s">
        <v>1512</v>
      </c>
      <c r="B1156" s="2">
        <v>98</v>
      </c>
      <c r="C1156" s="2">
        <v>54967359</v>
      </c>
      <c r="D1156" s="2" t="s">
        <v>2379</v>
      </c>
      <c r="E1156" s="2" t="s">
        <v>12</v>
      </c>
      <c r="F1156" t="s">
        <v>13</v>
      </c>
      <c r="G1156" t="s">
        <v>24</v>
      </c>
      <c r="N1156" s="2" t="s">
        <v>18</v>
      </c>
      <c r="O1156" s="2" t="s">
        <v>19</v>
      </c>
      <c r="P1156" s="2">
        <v>40000000</v>
      </c>
      <c r="Q1156" s="2">
        <v>5.2</v>
      </c>
      <c r="R1156" s="2" t="s">
        <v>2674</v>
      </c>
      <c r="S1156" s="2"/>
      <c r="U1156" s="2" t="s">
        <v>2675</v>
      </c>
      <c r="V1156">
        <f ca="1" t="shared" si="35"/>
        <v>7.2</v>
      </c>
      <c r="AC1156" s="2"/>
      <c r="AD1156" t="str">
        <f>IFERROR(__xludf.DUMMYFUNCTION("""COMPUTED_VALUE"""),"The River Wild ")</f>
        <v>The River Wild </v>
      </c>
      <c r="AE1156">
        <f t="shared" si="36"/>
        <v>46815637</v>
      </c>
    </row>
    <row r="1157" customHeight="1" spans="1:31">
      <c r="A1157" s="2" t="s">
        <v>218</v>
      </c>
      <c r="B1157" s="2">
        <v>131</v>
      </c>
      <c r="C1157" s="2">
        <v>54228104</v>
      </c>
      <c r="D1157" s="2" t="s">
        <v>2676</v>
      </c>
      <c r="E1157" s="2" t="s">
        <v>12</v>
      </c>
      <c r="F1157" t="s">
        <v>30</v>
      </c>
      <c r="G1157" t="s">
        <v>56</v>
      </c>
      <c r="N1157" s="2" t="s">
        <v>18</v>
      </c>
      <c r="O1157" s="2" t="s">
        <v>31</v>
      </c>
      <c r="P1157" s="2">
        <v>35000000</v>
      </c>
      <c r="Q1157" s="2">
        <v>7.7</v>
      </c>
      <c r="R1157" s="2" t="s">
        <v>2677</v>
      </c>
      <c r="S1157" s="2"/>
      <c r="U1157" s="2" t="s">
        <v>2678</v>
      </c>
      <c r="V1157">
        <f ca="1" t="shared" si="35"/>
        <v>6.9</v>
      </c>
      <c r="AC1157" s="2"/>
      <c r="AD1157" t="str">
        <f>IFERROR(__xludf.DUMMYFUNCTION("""COMPUTED_VALUE"""),"The Indian in the Cupboard ")</f>
        <v>The Indian in the Cupboard </v>
      </c>
      <c r="AE1157">
        <f t="shared" si="36"/>
        <v>35617503</v>
      </c>
    </row>
    <row r="1158" customHeight="1" spans="1:31">
      <c r="A1158" s="2" t="s">
        <v>1382</v>
      </c>
      <c r="B1158" s="2">
        <v>118</v>
      </c>
      <c r="C1158" s="2">
        <v>57981889</v>
      </c>
      <c r="D1158" s="2" t="s">
        <v>805</v>
      </c>
      <c r="E1158" s="2" t="s">
        <v>56</v>
      </c>
      <c r="F1158" t="s">
        <v>30</v>
      </c>
      <c r="G1158" t="s">
        <v>24</v>
      </c>
      <c r="N1158" s="2" t="s">
        <v>18</v>
      </c>
      <c r="O1158" s="2" t="s">
        <v>19</v>
      </c>
      <c r="P1158" s="2">
        <v>40000000</v>
      </c>
      <c r="Q1158" s="2">
        <v>7.3</v>
      </c>
      <c r="R1158" s="2" t="s">
        <v>2679</v>
      </c>
      <c r="S1158" s="2"/>
      <c r="U1158" s="2" t="s">
        <v>2680</v>
      </c>
      <c r="V1158">
        <f ca="1" t="shared" si="35"/>
        <v>6.2</v>
      </c>
      <c r="AC1158" s="2"/>
      <c r="AD1158" t="str">
        <f>IFERROR(__xludf.DUMMYFUNCTION("""COMPUTED_VALUE"""),"Savages ")</f>
        <v>Savages </v>
      </c>
      <c r="AE1158">
        <f t="shared" si="36"/>
        <v>47307409</v>
      </c>
    </row>
    <row r="1159" customHeight="1" spans="1:31">
      <c r="A1159" s="2" t="s">
        <v>1274</v>
      </c>
      <c r="B1159" s="2">
        <v>113</v>
      </c>
      <c r="C1159" s="2">
        <v>61094903</v>
      </c>
      <c r="D1159" s="2" t="s">
        <v>433</v>
      </c>
      <c r="E1159" s="2" t="s">
        <v>12</v>
      </c>
      <c r="F1159" t="s">
        <v>56</v>
      </c>
      <c r="G1159" t="s">
        <v>30</v>
      </c>
      <c r="N1159" s="2" t="s">
        <v>18</v>
      </c>
      <c r="O1159" s="2" t="s">
        <v>31</v>
      </c>
      <c r="P1159" s="2">
        <v>30000000</v>
      </c>
      <c r="Q1159" s="2">
        <v>6.9</v>
      </c>
      <c r="R1159" s="2" t="s">
        <v>2681</v>
      </c>
      <c r="S1159" s="2"/>
      <c r="U1159" s="2" t="s">
        <v>2682</v>
      </c>
      <c r="V1159">
        <f ca="1" t="shared" si="35"/>
        <v>6.1</v>
      </c>
      <c r="AC1159" s="2"/>
      <c r="AD1159" t="str">
        <f>IFERROR(__xludf.DUMMYFUNCTION("""COMPUTED_VALUE"""),"Cellular ")</f>
        <v>Cellular </v>
      </c>
      <c r="AE1159">
        <f t="shared" si="36"/>
        <v>32003526</v>
      </c>
    </row>
    <row r="1160" customHeight="1" spans="1:31">
      <c r="A1160" s="2" t="s">
        <v>33</v>
      </c>
      <c r="B1160" s="2">
        <v>130</v>
      </c>
      <c r="C1160" s="2">
        <v>53082743</v>
      </c>
      <c r="D1160" s="2" t="s">
        <v>840</v>
      </c>
      <c r="E1160" s="2" t="s">
        <v>30</v>
      </c>
      <c r="F1160" t="s">
        <v>13</v>
      </c>
      <c r="G1160" t="s">
        <v>30</v>
      </c>
      <c r="N1160" s="2" t="s">
        <v>18</v>
      </c>
      <c r="O1160" s="2" t="s">
        <v>19</v>
      </c>
      <c r="P1160" s="2">
        <v>40000000</v>
      </c>
      <c r="Q1160" s="2">
        <v>8.5</v>
      </c>
      <c r="R1160" s="2" t="s">
        <v>2683</v>
      </c>
      <c r="S1160" s="2"/>
      <c r="U1160" s="2" t="s">
        <v>2684</v>
      </c>
      <c r="V1160">
        <f ca="1" t="shared" si="35"/>
        <v>5.1</v>
      </c>
      <c r="AC1160" s="2"/>
      <c r="AD1160" t="str">
        <f>IFERROR(__xludf.DUMMYFUNCTION("""COMPUTED_VALUE"""),"Johnny English ")</f>
        <v>Johnny English </v>
      </c>
      <c r="AE1160">
        <f t="shared" si="36"/>
        <v>27972323</v>
      </c>
    </row>
    <row r="1161" customHeight="1" spans="1:31">
      <c r="A1161" s="2" t="s">
        <v>1162</v>
      </c>
      <c r="B1161" s="2">
        <v>116</v>
      </c>
      <c r="C1161" s="2">
        <v>54414716</v>
      </c>
      <c r="D1161" s="2" t="s">
        <v>383</v>
      </c>
      <c r="E1161" s="2" t="s">
        <v>40</v>
      </c>
      <c r="F1161" t="s">
        <v>16</v>
      </c>
      <c r="G1161" t="s">
        <v>39</v>
      </c>
      <c r="N1161" s="2" t="s">
        <v>18</v>
      </c>
      <c r="O1161" s="2" t="s">
        <v>19</v>
      </c>
      <c r="P1161" s="2">
        <v>42000000</v>
      </c>
      <c r="Q1161" s="2">
        <v>6.3</v>
      </c>
      <c r="R1161" s="2" t="s">
        <v>2685</v>
      </c>
      <c r="S1161" s="2"/>
      <c r="U1161" s="2" t="s">
        <v>2686</v>
      </c>
      <c r="V1161">
        <f ca="1" t="shared" si="35"/>
        <v>4.5</v>
      </c>
      <c r="AC1161" s="2"/>
      <c r="AD1161" t="str">
        <f>IFERROR(__xludf.DUMMYFUNCTION("""COMPUTED_VALUE"""),"The Ant Bully ")</f>
        <v>The Ant Bully </v>
      </c>
      <c r="AE1161">
        <f t="shared" si="36"/>
        <v>28133071</v>
      </c>
    </row>
    <row r="1162" customHeight="1" spans="1:31">
      <c r="A1162" s="2" t="s">
        <v>1514</v>
      </c>
      <c r="B1162" s="2">
        <v>89</v>
      </c>
      <c r="C1162" s="2">
        <v>57011847</v>
      </c>
      <c r="D1162" s="2" t="s">
        <v>248</v>
      </c>
      <c r="E1162" s="2" t="s">
        <v>13</v>
      </c>
      <c r="F1162" t="s">
        <v>30</v>
      </c>
      <c r="G1162" t="s">
        <v>24</v>
      </c>
      <c r="N1162" s="2" t="s">
        <v>18</v>
      </c>
      <c r="O1162" s="2" t="s">
        <v>19</v>
      </c>
      <c r="P1162" s="2">
        <v>40000000</v>
      </c>
      <c r="Q1162" s="2">
        <v>5.9</v>
      </c>
      <c r="R1162" s="2" t="s">
        <v>2687</v>
      </c>
      <c r="S1162" s="2"/>
      <c r="U1162" s="2" t="s">
        <v>2688</v>
      </c>
      <c r="V1162">
        <f ca="1" t="shared" si="35"/>
        <v>6.36666666666667</v>
      </c>
      <c r="AC1162" s="2"/>
      <c r="AD1162" t="str">
        <f>IFERROR(__xludf.DUMMYFUNCTION("""COMPUTED_VALUE"""),"Dune ")</f>
        <v>Dune </v>
      </c>
      <c r="AE1162">
        <f t="shared" si="36"/>
        <v>27399823</v>
      </c>
    </row>
    <row r="1163" customHeight="1" spans="1:31">
      <c r="A1163" s="2" t="s">
        <v>914</v>
      </c>
      <c r="B1163" s="2">
        <v>139</v>
      </c>
      <c r="C1163" s="2">
        <v>50859889</v>
      </c>
      <c r="D1163" s="2" t="s">
        <v>276</v>
      </c>
      <c r="E1163" s="2" t="s">
        <v>12</v>
      </c>
      <c r="F1163" t="s">
        <v>15</v>
      </c>
      <c r="G1163" t="s">
        <v>24</v>
      </c>
      <c r="N1163" s="2" t="s">
        <v>2689</v>
      </c>
      <c r="O1163" s="2" t="s">
        <v>19</v>
      </c>
      <c r="P1163" s="2">
        <v>40000000</v>
      </c>
      <c r="Q1163" s="2">
        <v>7.8</v>
      </c>
      <c r="R1163" s="2" t="s">
        <v>2690</v>
      </c>
      <c r="S1163" s="2"/>
      <c r="U1163" s="2" t="s">
        <v>2691</v>
      </c>
      <c r="V1163">
        <f ca="1" t="shared" si="35"/>
        <v>8.1</v>
      </c>
      <c r="AC1163" s="2"/>
      <c r="AD1163" t="str">
        <f>IFERROR(__xludf.DUMMYFUNCTION("""COMPUTED_VALUE"""),"Across the Universe ")</f>
        <v>Across the Universe </v>
      </c>
      <c r="AE1163">
        <f t="shared" si="36"/>
        <v>24343540</v>
      </c>
    </row>
    <row r="1164" customHeight="1" spans="1:31">
      <c r="A1164" s="2" t="s">
        <v>1472</v>
      </c>
      <c r="B1164" s="2">
        <v>130</v>
      </c>
      <c r="C1164" s="2">
        <v>51185897</v>
      </c>
      <c r="D1164" s="2" t="s">
        <v>27</v>
      </c>
      <c r="E1164" s="2" t="s">
        <v>12</v>
      </c>
      <c r="F1164" t="s">
        <v>13</v>
      </c>
      <c r="G1164" t="s">
        <v>71</v>
      </c>
      <c r="N1164" s="2" t="s">
        <v>18</v>
      </c>
      <c r="O1164" s="2" t="s">
        <v>31</v>
      </c>
      <c r="P1164" s="2">
        <v>30000000</v>
      </c>
      <c r="Q1164" s="2">
        <v>6.7</v>
      </c>
      <c r="R1164" s="2" t="s">
        <v>2692</v>
      </c>
      <c r="S1164" s="2"/>
      <c r="U1164" s="2" t="s">
        <v>2693</v>
      </c>
      <c r="V1164">
        <f ca="1" t="shared" si="35"/>
        <v>6.8</v>
      </c>
      <c r="AC1164" s="2"/>
      <c r="AD1164" t="str">
        <f>IFERROR(__xludf.DUMMYFUNCTION("""COMPUTED_VALUE"""),"Revolutionary Road ")</f>
        <v>Revolutionary Road </v>
      </c>
      <c r="AE1164">
        <f t="shared" si="36"/>
        <v>22877689</v>
      </c>
    </row>
    <row r="1165" customHeight="1" spans="1:31">
      <c r="A1165" s="2" t="s">
        <v>1516</v>
      </c>
      <c r="B1165" s="2">
        <v>107</v>
      </c>
      <c r="C1165" s="2">
        <v>52000688</v>
      </c>
      <c r="D1165" s="2" t="s">
        <v>108</v>
      </c>
      <c r="E1165" s="2" t="s">
        <v>12</v>
      </c>
      <c r="F1165" t="s">
        <v>30</v>
      </c>
      <c r="G1165" t="s">
        <v>15</v>
      </c>
      <c r="N1165" s="2" t="s">
        <v>18</v>
      </c>
      <c r="O1165" s="2" t="s">
        <v>19</v>
      </c>
      <c r="P1165" s="2">
        <v>40000000</v>
      </c>
      <c r="Q1165" s="2">
        <v>6.4</v>
      </c>
      <c r="R1165" s="2" t="s">
        <v>2694</v>
      </c>
      <c r="S1165" s="2"/>
      <c r="U1165" s="2" t="s">
        <v>2695</v>
      </c>
      <c r="V1165">
        <f ca="1" t="shared" si="35"/>
        <v>8.3</v>
      </c>
      <c r="AC1165" s="2"/>
      <c r="AD1165" t="str">
        <f>IFERROR(__xludf.DUMMYFUNCTION("""COMPUTED_VALUE"""),"16 Blocks ")</f>
        <v>16 Blocks </v>
      </c>
      <c r="AE1165">
        <f t="shared" si="36"/>
        <v>36883437</v>
      </c>
    </row>
    <row r="1166" customHeight="1" spans="1:31">
      <c r="A1166" s="2" t="s">
        <v>816</v>
      </c>
      <c r="B1166" s="2">
        <v>116</v>
      </c>
      <c r="C1166" s="2">
        <v>49851591</v>
      </c>
      <c r="D1166" s="2" t="s">
        <v>1733</v>
      </c>
      <c r="E1166" s="2" t="s">
        <v>40</v>
      </c>
      <c r="F1166" t="s">
        <v>17</v>
      </c>
      <c r="G1166" t="s">
        <v>14</v>
      </c>
      <c r="N1166" s="2" t="s">
        <v>18</v>
      </c>
      <c r="O1166" s="2" t="s">
        <v>19</v>
      </c>
      <c r="P1166" s="2">
        <v>40000000</v>
      </c>
      <c r="Q1166" s="2">
        <v>5.9</v>
      </c>
      <c r="R1166" s="2" t="s">
        <v>2696</v>
      </c>
      <c r="S1166" s="2"/>
      <c r="U1166" s="2" t="s">
        <v>2697</v>
      </c>
      <c r="V1166">
        <f ca="1" t="shared" si="35"/>
        <v>7.2</v>
      </c>
      <c r="AC1166" s="2"/>
      <c r="AD1166" t="str">
        <f>IFERROR(__xludf.DUMMYFUNCTION("""COMPUTED_VALUE"""),"Babylon A.D. ")</f>
        <v>Babylon A.D. </v>
      </c>
      <c r="AE1166">
        <f t="shared" si="36"/>
        <v>22531597</v>
      </c>
    </row>
    <row r="1167" customHeight="1" spans="1:31">
      <c r="A1167" s="2" t="s">
        <v>1144</v>
      </c>
      <c r="B1167" s="2">
        <v>96</v>
      </c>
      <c r="C1167" s="2">
        <v>47781388</v>
      </c>
      <c r="D1167" s="2" t="s">
        <v>328</v>
      </c>
      <c r="E1167" s="2" t="s">
        <v>28</v>
      </c>
      <c r="F1167" t="s">
        <v>24</v>
      </c>
      <c r="G1167" t="s">
        <v>14</v>
      </c>
      <c r="N1167" s="2" t="s">
        <v>18</v>
      </c>
      <c r="O1167" s="2" t="s">
        <v>19</v>
      </c>
      <c r="P1167" s="2">
        <v>40000000</v>
      </c>
      <c r="Q1167" s="2">
        <v>6.6</v>
      </c>
      <c r="R1167" s="2" t="s">
        <v>2698</v>
      </c>
      <c r="S1167" s="2"/>
      <c r="U1167" s="2" t="s">
        <v>2699</v>
      </c>
      <c r="V1167">
        <f ca="1" t="shared" si="35"/>
        <v>7.2</v>
      </c>
      <c r="AC1167" s="2"/>
      <c r="AD1167" t="str">
        <f>IFERROR(__xludf.DUMMYFUNCTION("""COMPUTED_VALUE"""),"The Glimmer Man ")</f>
        <v>The Glimmer Man </v>
      </c>
      <c r="AE1167">
        <f t="shared" si="36"/>
        <v>20400822</v>
      </c>
    </row>
    <row r="1168" customHeight="1" spans="1:31">
      <c r="A1168" s="2" t="s">
        <v>1518</v>
      </c>
      <c r="B1168" s="2">
        <v>99</v>
      </c>
      <c r="C1168" s="2">
        <v>52320979</v>
      </c>
      <c r="D1168" s="2" t="s">
        <v>266</v>
      </c>
      <c r="E1168" s="2" t="s">
        <v>30</v>
      </c>
      <c r="F1168" t="s">
        <v>30</v>
      </c>
      <c r="G1168" t="s">
        <v>23</v>
      </c>
      <c r="N1168" s="2" t="s">
        <v>18</v>
      </c>
      <c r="O1168" s="2" t="s">
        <v>19</v>
      </c>
      <c r="P1168" s="2">
        <v>40000000</v>
      </c>
      <c r="Q1168" s="2">
        <v>6.8</v>
      </c>
      <c r="R1168" s="2" t="s">
        <v>2700</v>
      </c>
      <c r="S1168" s="2"/>
      <c r="U1168" s="2" t="s">
        <v>2701</v>
      </c>
      <c r="V1168">
        <f ca="1" t="shared" si="35"/>
        <v>6.3</v>
      </c>
      <c r="AC1168" s="2"/>
      <c r="AD1168" t="str">
        <f>IFERROR(__xludf.DUMMYFUNCTION("""COMPUTED_VALUE"""),"Multiplicity ")</f>
        <v>Multiplicity </v>
      </c>
      <c r="AE1168">
        <f t="shared" si="36"/>
        <v>20101744</v>
      </c>
    </row>
    <row r="1169" customHeight="1" spans="1:31">
      <c r="A1169" s="2" t="s">
        <v>1142</v>
      </c>
      <c r="B1169" s="2">
        <v>104</v>
      </c>
      <c r="C1169" s="2">
        <v>47806295</v>
      </c>
      <c r="D1169" s="2" t="s">
        <v>1189</v>
      </c>
      <c r="E1169" s="2" t="s">
        <v>72</v>
      </c>
      <c r="F1169" t="s">
        <v>30</v>
      </c>
      <c r="G1169" t="s">
        <v>24</v>
      </c>
      <c r="N1169" s="2" t="s">
        <v>18</v>
      </c>
      <c r="O1169" s="2" t="s">
        <v>19</v>
      </c>
      <c r="P1169" s="2">
        <v>43000000</v>
      </c>
      <c r="Q1169" s="2">
        <v>6.5</v>
      </c>
      <c r="R1169" s="2" t="s">
        <v>2702</v>
      </c>
      <c r="S1169" s="2"/>
      <c r="U1169" s="2" t="s">
        <v>2703</v>
      </c>
      <c r="V1169">
        <f ca="1" t="shared" si="35"/>
        <v>6.55</v>
      </c>
      <c r="AC1169" s="2"/>
      <c r="AD1169" t="str">
        <f>IFERROR(__xludf.DUMMYFUNCTION("""COMPUTED_VALUE"""),"Aliens in the Attic ")</f>
        <v>Aliens in the Attic </v>
      </c>
      <c r="AE1169">
        <f t="shared" si="36"/>
        <v>25200326</v>
      </c>
    </row>
    <row r="1170" customHeight="1" spans="1:31">
      <c r="A1170" s="2" t="s">
        <v>1520</v>
      </c>
      <c r="B1170" s="2">
        <v>105</v>
      </c>
      <c r="C1170" s="2">
        <v>51853450</v>
      </c>
      <c r="D1170" s="2" t="s">
        <v>1961</v>
      </c>
      <c r="E1170" s="2" t="s">
        <v>40</v>
      </c>
      <c r="F1170" t="s">
        <v>56</v>
      </c>
      <c r="G1170" t="s">
        <v>30</v>
      </c>
      <c r="N1170" s="2" t="s">
        <v>18</v>
      </c>
      <c r="O1170" s="2" t="s">
        <v>19</v>
      </c>
      <c r="P1170" s="2">
        <v>25000000</v>
      </c>
      <c r="Q1170" s="2">
        <v>6.6</v>
      </c>
      <c r="R1170" s="2" t="s">
        <v>2704</v>
      </c>
      <c r="S1170" s="2"/>
      <c r="U1170" s="2" t="s">
        <v>2705</v>
      </c>
      <c r="V1170">
        <f ca="1" t="shared" si="35"/>
        <v>6.575</v>
      </c>
      <c r="AC1170" s="2"/>
      <c r="AD1170" t="str">
        <f>IFERROR(__xludf.DUMMYFUNCTION("""COMPUTED_VALUE"""),"The Pledge ")</f>
        <v>The Pledge </v>
      </c>
      <c r="AE1170">
        <f t="shared" si="36"/>
        <v>19719806</v>
      </c>
    </row>
    <row r="1171" customHeight="1" spans="1:31">
      <c r="A1171" s="2" t="s">
        <v>1522</v>
      </c>
      <c r="B1171" s="2">
        <v>101</v>
      </c>
      <c r="C1171" s="2">
        <v>46012734</v>
      </c>
      <c r="D1171" s="2" t="s">
        <v>607</v>
      </c>
      <c r="E1171" s="2" t="s">
        <v>40</v>
      </c>
      <c r="F1171" t="s">
        <v>35</v>
      </c>
      <c r="G1171" t="s">
        <v>17</v>
      </c>
      <c r="N1171" s="2" t="s">
        <v>18</v>
      </c>
      <c r="O1171" s="2" t="s">
        <v>19</v>
      </c>
      <c r="P1171" s="2">
        <v>40000000</v>
      </c>
      <c r="Q1171" s="2">
        <v>5.8</v>
      </c>
      <c r="R1171" s="2" t="s">
        <v>2706</v>
      </c>
      <c r="S1171" s="2"/>
      <c r="U1171" s="2" t="s">
        <v>2707</v>
      </c>
      <c r="V1171">
        <f ca="1" t="shared" si="35"/>
        <v>6.9</v>
      </c>
      <c r="AC1171" s="2"/>
      <c r="AD1171" t="str">
        <f>IFERROR(__xludf.DUMMYFUNCTION("""COMPUTED_VALUE"""),"The Producers ")</f>
        <v>The Producers </v>
      </c>
      <c r="AE1171">
        <f t="shared" si="36"/>
        <v>19377593</v>
      </c>
    </row>
    <row r="1172" customHeight="1" spans="1:31">
      <c r="A1172" s="2" t="s">
        <v>1000</v>
      </c>
      <c r="B1172" s="2">
        <v>134</v>
      </c>
      <c r="C1172" s="2">
        <v>47034272</v>
      </c>
      <c r="D1172" s="2" t="s">
        <v>2708</v>
      </c>
      <c r="E1172" s="2" t="s">
        <v>59</v>
      </c>
      <c r="F1172" t="s">
        <v>30</v>
      </c>
      <c r="G1172" t="s">
        <v>15</v>
      </c>
      <c r="N1172" s="2" t="s">
        <v>18</v>
      </c>
      <c r="O1172" s="2" t="s">
        <v>19</v>
      </c>
      <c r="P1172" s="2">
        <v>40000000</v>
      </c>
      <c r="Q1172" s="2">
        <v>6.9</v>
      </c>
      <c r="R1172" s="2" t="s">
        <v>2709</v>
      </c>
      <c r="S1172" s="2"/>
      <c r="U1172" s="2" t="s">
        <v>2710</v>
      </c>
      <c r="V1172">
        <f ca="1" t="shared" si="35"/>
        <v>5.7</v>
      </c>
      <c r="AC1172" s="2"/>
      <c r="AD1172" t="str">
        <f>IFERROR(__xludf.DUMMYFUNCTION("""COMPUTED_VALUE"""),"The Phantom ")</f>
        <v>The Phantom </v>
      </c>
      <c r="AE1172">
        <f t="shared" si="36"/>
        <v>17300789</v>
      </c>
    </row>
    <row r="1173" customHeight="1" spans="1:31">
      <c r="A1173" s="2" t="s">
        <v>1218</v>
      </c>
      <c r="B1173" s="2">
        <v>135</v>
      </c>
      <c r="C1173" s="2">
        <v>45856732</v>
      </c>
      <c r="D1173" s="2" t="s">
        <v>805</v>
      </c>
      <c r="E1173" s="2" t="s">
        <v>56</v>
      </c>
      <c r="F1173" t="s">
        <v>17</v>
      </c>
      <c r="G1173" t="s">
        <v>56</v>
      </c>
      <c r="N1173" s="2" t="s">
        <v>18</v>
      </c>
      <c r="O1173" s="2" t="s">
        <v>19</v>
      </c>
      <c r="P1173" s="2">
        <v>40000000</v>
      </c>
      <c r="Q1173" s="2">
        <v>7.1</v>
      </c>
      <c r="R1173" s="2" t="s">
        <v>2711</v>
      </c>
      <c r="S1173" s="2"/>
      <c r="U1173" s="2" t="s">
        <v>2712</v>
      </c>
      <c r="V1173">
        <f ca="1" t="shared" si="35"/>
        <v>7.45</v>
      </c>
      <c r="AC1173" s="2"/>
      <c r="AD1173" t="str">
        <f>IFERROR(__xludf.DUMMYFUNCTION("""COMPUTED_VALUE"""),"All the Pretty Horses ")</f>
        <v>All the Pretty Horses </v>
      </c>
      <c r="AE1173">
        <f t="shared" si="36"/>
        <v>15526905</v>
      </c>
    </row>
    <row r="1174" customHeight="1" spans="1:31">
      <c r="A1174" s="2" t="s">
        <v>1418</v>
      </c>
      <c r="B1174" s="2">
        <v>98</v>
      </c>
      <c r="C1174" s="2">
        <v>59588068</v>
      </c>
      <c r="D1174" s="2" t="s">
        <v>1189</v>
      </c>
      <c r="E1174" s="2" t="s">
        <v>72</v>
      </c>
      <c r="F1174" t="s">
        <v>40</v>
      </c>
      <c r="G1174" t="s">
        <v>72</v>
      </c>
      <c r="N1174" s="2" t="s">
        <v>18</v>
      </c>
      <c r="O1174" s="2" t="s">
        <v>19</v>
      </c>
      <c r="P1174" s="2">
        <v>40000000</v>
      </c>
      <c r="Q1174" s="2">
        <v>5.8</v>
      </c>
      <c r="R1174" s="2" t="s">
        <v>2713</v>
      </c>
      <c r="S1174" s="2"/>
      <c r="U1174" s="2" t="s">
        <v>2714</v>
      </c>
      <c r="V1174">
        <f ca="1" t="shared" si="35"/>
        <v>7</v>
      </c>
      <c r="AC1174" s="2"/>
      <c r="AD1174" t="str">
        <f>IFERROR(__xludf.DUMMYFUNCTION("""COMPUTED_VALUE"""),"Nixon ")</f>
        <v>Nixon </v>
      </c>
      <c r="AE1174">
        <f t="shared" si="36"/>
        <v>13560748</v>
      </c>
    </row>
    <row r="1175" customHeight="1" spans="1:31">
      <c r="A1175" s="2" t="s">
        <v>166</v>
      </c>
      <c r="B1175" s="2">
        <v>155</v>
      </c>
      <c r="C1175" s="2">
        <v>44175394</v>
      </c>
      <c r="D1175" s="2" t="s">
        <v>2715</v>
      </c>
      <c r="E1175" s="2" t="s">
        <v>30</v>
      </c>
      <c r="F1175" t="s">
        <v>24</v>
      </c>
      <c r="G1175" t="s">
        <v>28</v>
      </c>
      <c r="N1175" s="2" t="s">
        <v>18</v>
      </c>
      <c r="O1175" s="2" t="s">
        <v>19</v>
      </c>
      <c r="P1175" s="2">
        <v>36000000</v>
      </c>
      <c r="Q1175" s="2">
        <v>7.2</v>
      </c>
      <c r="R1175" s="2" t="s">
        <v>2716</v>
      </c>
      <c r="S1175" s="2"/>
      <c r="U1175" s="2" t="s">
        <v>2717</v>
      </c>
      <c r="V1175">
        <f ca="1" t="shared" si="35"/>
        <v>5.4</v>
      </c>
      <c r="AC1175" s="2"/>
      <c r="AD1175" t="str">
        <f>IFERROR(__xludf.DUMMYFUNCTION("""COMPUTED_VALUE"""),"The Ghost Writer ")</f>
        <v>The Ghost Writer </v>
      </c>
      <c r="AE1175">
        <f t="shared" si="36"/>
        <v>15523040</v>
      </c>
    </row>
    <row r="1176" customHeight="1" spans="1:31">
      <c r="A1176" s="2" t="s">
        <v>485</v>
      </c>
      <c r="B1176" s="2">
        <v>106</v>
      </c>
      <c r="C1176" s="2">
        <v>45500797</v>
      </c>
      <c r="D1176" s="2" t="s">
        <v>887</v>
      </c>
      <c r="E1176" s="2" t="s">
        <v>13</v>
      </c>
      <c r="F1176" t="s">
        <v>30</v>
      </c>
      <c r="G1176" t="s">
        <v>24</v>
      </c>
      <c r="N1176" s="2" t="s">
        <v>18</v>
      </c>
      <c r="O1176" s="2" t="s">
        <v>19</v>
      </c>
      <c r="P1176" s="2">
        <v>40000000</v>
      </c>
      <c r="Q1176" s="2">
        <v>6</v>
      </c>
      <c r="R1176" s="2" t="s">
        <v>2718</v>
      </c>
      <c r="S1176" s="2"/>
      <c r="U1176" s="2" t="s">
        <v>2719</v>
      </c>
      <c r="V1176">
        <f ca="1" t="shared" si="35"/>
        <v>7.6</v>
      </c>
      <c r="AC1176" s="2"/>
      <c r="AD1176" t="str">
        <f>IFERROR(__xludf.DUMMYFUNCTION("""COMPUTED_VALUE"""),"Deep Rising ")</f>
        <v>Deep Rising </v>
      </c>
      <c r="AE1176">
        <f t="shared" si="36"/>
        <v>11146303</v>
      </c>
    </row>
    <row r="1177" customHeight="1" spans="1:31">
      <c r="A1177" s="2" t="s">
        <v>1524</v>
      </c>
      <c r="B1177" s="2">
        <v>102</v>
      </c>
      <c r="C1177" s="2">
        <v>41797066</v>
      </c>
      <c r="D1177" s="2" t="s">
        <v>843</v>
      </c>
      <c r="E1177" s="2" t="s">
        <v>12</v>
      </c>
      <c r="F1177" t="s">
        <v>56</v>
      </c>
      <c r="G1177" t="s">
        <v>16</v>
      </c>
      <c r="N1177" s="2" t="s">
        <v>18</v>
      </c>
      <c r="O1177" s="2" t="s">
        <v>19</v>
      </c>
      <c r="P1177" s="2">
        <v>40000000</v>
      </c>
      <c r="Q1177" s="2">
        <v>4.7</v>
      </c>
      <c r="R1177" s="2" t="s">
        <v>2720</v>
      </c>
      <c r="S1177" s="2"/>
      <c r="U1177" s="2" t="s">
        <v>2721</v>
      </c>
      <c r="V1177">
        <f ca="1" t="shared" si="35"/>
        <v>6.1</v>
      </c>
      <c r="AC1177" s="2"/>
      <c r="AD1177" t="str">
        <f>IFERROR(__xludf.DUMMYFUNCTION("""COMPUTED_VALUE"""),"Miracle at St. Anna ")</f>
        <v>Miracle at St. Anna </v>
      </c>
      <c r="AE1177">
        <f t="shared" si="36"/>
        <v>7916727</v>
      </c>
    </row>
    <row r="1178" customHeight="1" spans="1:31">
      <c r="A1178" s="2" t="s">
        <v>1111</v>
      </c>
      <c r="B1178" s="2">
        <v>95</v>
      </c>
      <c r="C1178" s="2">
        <v>38087756</v>
      </c>
      <c r="D1178" s="2" t="s">
        <v>1201</v>
      </c>
      <c r="E1178" s="2" t="s">
        <v>40</v>
      </c>
      <c r="F1178" t="s">
        <v>56</v>
      </c>
      <c r="G1178" t="s">
        <v>40</v>
      </c>
      <c r="N1178" s="2" t="s">
        <v>18</v>
      </c>
      <c r="O1178" s="2" t="s">
        <v>19</v>
      </c>
      <c r="P1178" s="2">
        <v>40000000</v>
      </c>
      <c r="Q1178" s="2">
        <v>5.2</v>
      </c>
      <c r="R1178" s="2" t="s">
        <v>2722</v>
      </c>
      <c r="S1178" s="2"/>
      <c r="U1178" s="2" t="s">
        <v>2723</v>
      </c>
      <c r="V1178">
        <f ca="1" t="shared" si="35"/>
        <v>6.15</v>
      </c>
      <c r="AC1178" s="2"/>
      <c r="AD1178" t="str">
        <f>IFERROR(__xludf.DUMMYFUNCTION("""COMPUTED_VALUE"""),"Curse of the Golden Flower ")</f>
        <v>Curse of the Golden Flower </v>
      </c>
      <c r="AE1178">
        <f t="shared" si="36"/>
        <v>6565381</v>
      </c>
    </row>
    <row r="1179" customHeight="1" spans="1:31">
      <c r="A1179" s="2" t="s">
        <v>1526</v>
      </c>
      <c r="B1179" s="2">
        <v>103</v>
      </c>
      <c r="C1179" s="2">
        <v>37752931</v>
      </c>
      <c r="D1179" s="2" t="s">
        <v>103</v>
      </c>
      <c r="E1179" s="2" t="s">
        <v>30</v>
      </c>
      <c r="F1179" t="s">
        <v>24</v>
      </c>
      <c r="G1179" t="s">
        <v>56</v>
      </c>
      <c r="N1179" s="2" t="s">
        <v>18</v>
      </c>
      <c r="O1179" s="2" t="s">
        <v>19</v>
      </c>
      <c r="P1179" s="2">
        <v>40000000</v>
      </c>
      <c r="Q1179" s="2">
        <v>5.5</v>
      </c>
      <c r="R1179" s="2" t="s">
        <v>2724</v>
      </c>
      <c r="S1179" s="2"/>
      <c r="U1179" s="2" t="s">
        <v>2725</v>
      </c>
      <c r="V1179">
        <f ca="1" t="shared" si="35"/>
        <v>5.7</v>
      </c>
      <c r="AC1179" s="2"/>
      <c r="AD1179" t="str">
        <f>IFERROR(__xludf.DUMMYFUNCTION("""COMPUTED_VALUE"""),"Bangkok Dangerous ")</f>
        <v>Bangkok Dangerous </v>
      </c>
      <c r="AE1179">
        <f t="shared" si="36"/>
        <v>15279581</v>
      </c>
    </row>
    <row r="1180" customHeight="1" spans="1:31">
      <c r="A1180" s="2" t="s">
        <v>1529</v>
      </c>
      <c r="B1180" s="2">
        <v>109</v>
      </c>
      <c r="C1180" s="2">
        <v>37371385</v>
      </c>
      <c r="D1180" s="2" t="s">
        <v>690</v>
      </c>
      <c r="E1180" s="2" t="s">
        <v>13</v>
      </c>
      <c r="F1180" t="s">
        <v>13</v>
      </c>
      <c r="G1180" t="s">
        <v>39</v>
      </c>
      <c r="N1180" s="2" t="s">
        <v>18</v>
      </c>
      <c r="O1180" s="2" t="s">
        <v>19</v>
      </c>
      <c r="P1180" s="2">
        <v>40000000</v>
      </c>
      <c r="Q1180" s="2">
        <v>7</v>
      </c>
      <c r="R1180" s="2" t="s">
        <v>2726</v>
      </c>
      <c r="S1180" s="2"/>
      <c r="U1180" s="2" t="s">
        <v>2727</v>
      </c>
      <c r="V1180">
        <f ca="1" t="shared" si="35"/>
        <v>6.8</v>
      </c>
      <c r="AC1180" s="2"/>
      <c r="AD1180" t="str">
        <f>IFERROR(__xludf.DUMMYFUNCTION("""COMPUTED_VALUE"""),"Big Trouble ")</f>
        <v>Big Trouble </v>
      </c>
      <c r="AE1180">
        <f t="shared" si="36"/>
        <v>7262214</v>
      </c>
    </row>
    <row r="1181" customHeight="1" spans="1:31">
      <c r="A1181" s="2" t="s">
        <v>1494</v>
      </c>
      <c r="B1181" s="2">
        <v>95</v>
      </c>
      <c r="C1181" s="2">
        <v>37101011</v>
      </c>
      <c r="D1181" s="2" t="s">
        <v>975</v>
      </c>
      <c r="E1181" s="2" t="s">
        <v>40</v>
      </c>
      <c r="F1181" t="s">
        <v>35</v>
      </c>
      <c r="G1181" t="s">
        <v>24</v>
      </c>
      <c r="N1181" s="2" t="s">
        <v>18</v>
      </c>
      <c r="O1181" s="2" t="s">
        <v>19</v>
      </c>
      <c r="P1181" s="2">
        <v>40000000</v>
      </c>
      <c r="Q1181" s="2">
        <v>5.8</v>
      </c>
      <c r="R1181" s="2" t="s">
        <v>2728</v>
      </c>
      <c r="S1181" s="2"/>
      <c r="U1181" s="2" t="s">
        <v>2729</v>
      </c>
      <c r="V1181">
        <f ca="1" t="shared" si="35"/>
        <v>7.15</v>
      </c>
      <c r="AC1181" s="2"/>
      <c r="AD1181" t="str">
        <f>IFERROR(__xludf.DUMMYFUNCTION("""COMPUTED_VALUE"""),"Love in the Time of Cholera ")</f>
        <v>Love in the Time of Cholera </v>
      </c>
      <c r="AE1181">
        <f t="shared" si="36"/>
        <v>4584747</v>
      </c>
    </row>
    <row r="1182" customHeight="1" spans="1:31">
      <c r="A1182" s="2" t="s">
        <v>1502</v>
      </c>
      <c r="B1182" s="2">
        <v>111</v>
      </c>
      <c r="C1182" s="2">
        <v>38176892</v>
      </c>
      <c r="D1182" s="2" t="s">
        <v>2613</v>
      </c>
      <c r="E1182" s="2" t="s">
        <v>72</v>
      </c>
      <c r="F1182" t="s">
        <v>17</v>
      </c>
      <c r="G1182" t="s">
        <v>17</v>
      </c>
      <c r="N1182" s="2" t="s">
        <v>18</v>
      </c>
      <c r="O1182" s="2" t="s">
        <v>19</v>
      </c>
      <c r="P1182" s="2">
        <v>40000000</v>
      </c>
      <c r="Q1182" s="2">
        <v>6.2</v>
      </c>
      <c r="R1182" s="2" t="s">
        <v>2730</v>
      </c>
      <c r="S1182" s="2"/>
      <c r="U1182" s="2" t="s">
        <v>2731</v>
      </c>
      <c r="V1182">
        <f ca="1" t="shared" si="35"/>
        <v>6.9</v>
      </c>
      <c r="AC1182" s="2"/>
      <c r="AD1182" t="str">
        <f>IFERROR(__xludf.DUMMYFUNCTION("""COMPUTED_VALUE"""),"Shadow Conspiracy ")</f>
        <v>Shadow Conspiracy </v>
      </c>
      <c r="AE1182">
        <f t="shared" si="36"/>
        <v>2154437</v>
      </c>
    </row>
    <row r="1183" customHeight="1" spans="1:31">
      <c r="A1183" s="2" t="s">
        <v>490</v>
      </c>
      <c r="B1183" s="2">
        <v>123</v>
      </c>
      <c r="C1183" s="2">
        <v>36283504</v>
      </c>
      <c r="D1183" s="2" t="s">
        <v>328</v>
      </c>
      <c r="E1183" s="2" t="s">
        <v>28</v>
      </c>
      <c r="F1183" t="s">
        <v>17</v>
      </c>
      <c r="G1183" t="s">
        <v>28</v>
      </c>
      <c r="N1183" s="2" t="s">
        <v>18</v>
      </c>
      <c r="O1183" s="2" t="s">
        <v>293</v>
      </c>
      <c r="P1183" s="2">
        <v>40000000</v>
      </c>
      <c r="Q1183" s="2">
        <v>6.5</v>
      </c>
      <c r="R1183" s="2" t="s">
        <v>2732</v>
      </c>
      <c r="S1183" s="2"/>
      <c r="U1183" s="2" t="s">
        <v>2733</v>
      </c>
      <c r="V1183">
        <f ca="1" t="shared" si="35"/>
        <v>7.3</v>
      </c>
      <c r="AC1183" s="2"/>
      <c r="AD1183" t="str">
        <f>IFERROR(__xludf.DUMMYFUNCTION("""COMPUTED_VALUE"""),"Johnny English Reborn ")</f>
        <v>Johnny English Reborn </v>
      </c>
      <c r="AE1183">
        <f t="shared" si="36"/>
        <v>8129354</v>
      </c>
    </row>
    <row r="1184" customHeight="1" spans="1:31">
      <c r="A1184" s="2" t="s">
        <v>291</v>
      </c>
      <c r="B1184" s="2">
        <v>140</v>
      </c>
      <c r="C1184" s="2">
        <v>35183792</v>
      </c>
      <c r="D1184" s="2" t="s">
        <v>2708</v>
      </c>
      <c r="E1184" s="2" t="s">
        <v>59</v>
      </c>
      <c r="F1184" t="s">
        <v>17</v>
      </c>
      <c r="G1184" t="s">
        <v>24</v>
      </c>
      <c r="N1184" s="2" t="s">
        <v>18</v>
      </c>
      <c r="O1184" s="2" t="s">
        <v>19</v>
      </c>
      <c r="P1184" s="2">
        <v>38000000</v>
      </c>
      <c r="Q1184" s="2">
        <v>7.2</v>
      </c>
      <c r="R1184" s="2" t="s">
        <v>2734</v>
      </c>
      <c r="S1184" s="2"/>
      <c r="U1184" s="2" t="s">
        <v>2735</v>
      </c>
      <c r="V1184">
        <f ca="1" t="shared" si="35"/>
        <v>6.1</v>
      </c>
      <c r="AC1184" s="2"/>
      <c r="AD1184" t="str">
        <f>IFERROR(__xludf.DUMMYFUNCTION("""COMPUTED_VALUE"""),"Argo ")</f>
        <v>Argo </v>
      </c>
      <c r="AE1184">
        <f t="shared" si="36"/>
        <v>136019318</v>
      </c>
    </row>
    <row r="1185" customHeight="1" spans="1:31">
      <c r="A1185" s="2" t="s">
        <v>1531</v>
      </c>
      <c r="B1185" s="2">
        <v>94</v>
      </c>
      <c r="C1185" s="2">
        <v>38543473</v>
      </c>
      <c r="D1185" s="2" t="s">
        <v>40</v>
      </c>
      <c r="E1185" s="2" t="s">
        <v>40</v>
      </c>
      <c r="F1185" t="s">
        <v>56</v>
      </c>
      <c r="G1185" t="s">
        <v>40</v>
      </c>
      <c r="N1185" s="2" t="s">
        <v>18</v>
      </c>
      <c r="O1185" s="2" t="s">
        <v>19</v>
      </c>
      <c r="P1185" s="2">
        <v>40000000</v>
      </c>
      <c r="Q1185" s="2">
        <v>5.1</v>
      </c>
      <c r="R1185" s="2" t="s">
        <v>2736</v>
      </c>
      <c r="S1185" s="2"/>
      <c r="U1185" s="2" t="s">
        <v>2737</v>
      </c>
      <c r="V1185">
        <f ca="1" t="shared" si="35"/>
        <v>6.1</v>
      </c>
      <c r="AC1185" s="2"/>
      <c r="AD1185" t="str">
        <f>IFERROR(__xludf.DUMMYFUNCTION("""COMPUTED_VALUE"""),"The Fugitive ")</f>
        <v>The Fugitive </v>
      </c>
      <c r="AE1185">
        <f t="shared" si="36"/>
        <v>183875630</v>
      </c>
    </row>
    <row r="1186" customHeight="1" spans="1:31">
      <c r="A1186" s="2" t="s">
        <v>1533</v>
      </c>
      <c r="B1186" s="2">
        <v>94</v>
      </c>
      <c r="C1186" s="2">
        <v>36037909</v>
      </c>
      <c r="D1186" s="2" t="s">
        <v>975</v>
      </c>
      <c r="E1186" s="2" t="s">
        <v>40</v>
      </c>
      <c r="F1186" t="s">
        <v>30</v>
      </c>
      <c r="G1186" t="s">
        <v>28</v>
      </c>
      <c r="N1186" s="2" t="s">
        <v>18</v>
      </c>
      <c r="O1186" s="2" t="s">
        <v>293</v>
      </c>
      <c r="P1186" s="2">
        <v>60000000</v>
      </c>
      <c r="Q1186" s="2">
        <v>4.7</v>
      </c>
      <c r="R1186" s="2" t="s">
        <v>2738</v>
      </c>
      <c r="S1186" s="2"/>
      <c r="U1186" s="2" t="s">
        <v>2739</v>
      </c>
      <c r="V1186">
        <f ca="1" t="shared" si="35"/>
        <v>6.8</v>
      </c>
      <c r="AC1186" s="2"/>
      <c r="AD1186" t="str">
        <f>IFERROR(__xludf.DUMMYFUNCTION("""COMPUTED_VALUE"""),"The Bounty Hunter ")</f>
        <v>The Bounty Hunter </v>
      </c>
      <c r="AE1186">
        <f t="shared" si="36"/>
        <v>67061118</v>
      </c>
    </row>
    <row r="1187" customHeight="1" spans="1:31">
      <c r="A1187" s="2" t="s">
        <v>1309</v>
      </c>
      <c r="B1187" s="2">
        <v>92</v>
      </c>
      <c r="C1187" s="2">
        <v>42575718</v>
      </c>
      <c r="D1187" s="2" t="s">
        <v>72</v>
      </c>
      <c r="E1187" s="2" t="s">
        <v>72</v>
      </c>
      <c r="F1187" t="s">
        <v>30</v>
      </c>
      <c r="G1187" t="s">
        <v>23</v>
      </c>
      <c r="N1187" s="2" t="s">
        <v>18</v>
      </c>
      <c r="O1187" s="2" t="s">
        <v>19</v>
      </c>
      <c r="P1187" s="2">
        <v>40000000</v>
      </c>
      <c r="Q1187" s="2">
        <v>5.9</v>
      </c>
      <c r="R1187" s="2" t="s">
        <v>2740</v>
      </c>
      <c r="S1187" s="2"/>
      <c r="U1187" s="2" t="s">
        <v>2741</v>
      </c>
      <c r="V1187">
        <f ca="1" t="shared" si="35"/>
        <v>4.9</v>
      </c>
      <c r="AC1187" s="2"/>
      <c r="AD1187" t="str">
        <f>IFERROR(__xludf.DUMMYFUNCTION("""COMPUTED_VALUE"""),"Sleepers ")</f>
        <v>Sleepers </v>
      </c>
      <c r="AE1187">
        <f t="shared" si="36"/>
        <v>53300705</v>
      </c>
    </row>
    <row r="1188" customHeight="1" spans="1:31">
      <c r="A1188" s="2" t="s">
        <v>1536</v>
      </c>
      <c r="B1188" s="2">
        <v>102</v>
      </c>
      <c r="C1188" s="2">
        <v>33864342</v>
      </c>
      <c r="D1188" s="2" t="s">
        <v>1733</v>
      </c>
      <c r="E1188" s="2" t="s">
        <v>40</v>
      </c>
      <c r="F1188" t="s">
        <v>72</v>
      </c>
      <c r="G1188" t="s">
        <v>40</v>
      </c>
      <c r="N1188" s="2" t="s">
        <v>18</v>
      </c>
      <c r="O1188" s="2" t="s">
        <v>31</v>
      </c>
      <c r="P1188" s="2">
        <v>40000000</v>
      </c>
      <c r="Q1188" s="2">
        <v>5.8</v>
      </c>
      <c r="R1188" s="2" t="s">
        <v>2742</v>
      </c>
      <c r="S1188" s="2"/>
      <c r="U1188" s="2" t="s">
        <v>2743</v>
      </c>
      <c r="V1188">
        <f ca="1" t="shared" si="35"/>
        <v>4.55</v>
      </c>
      <c r="AC1188" s="2"/>
      <c r="AD1188" t="str">
        <f>IFERROR(__xludf.DUMMYFUNCTION("""COMPUTED_VALUE"""),"Rambo: First Blood Part II ")</f>
        <v>Rambo: First Blood Part II </v>
      </c>
      <c r="AE1188">
        <f t="shared" si="36"/>
        <v>150415336</v>
      </c>
    </row>
    <row r="1189" customHeight="1" spans="1:31">
      <c r="A1189" s="2" t="s">
        <v>790</v>
      </c>
      <c r="B1189" s="2">
        <v>123</v>
      </c>
      <c r="C1189" s="2">
        <v>33508922</v>
      </c>
      <c r="D1189" s="2" t="s">
        <v>30</v>
      </c>
      <c r="E1189" s="2" t="s">
        <v>30</v>
      </c>
      <c r="F1189" t="s">
        <v>13</v>
      </c>
      <c r="G1189" t="s">
        <v>29</v>
      </c>
      <c r="N1189" s="2" t="s">
        <v>18</v>
      </c>
      <c r="O1189" s="2" t="s">
        <v>19</v>
      </c>
      <c r="P1189" s="2">
        <v>40000000</v>
      </c>
      <c r="Q1189" s="2">
        <v>7.2</v>
      </c>
      <c r="R1189" s="2" t="s">
        <v>2744</v>
      </c>
      <c r="S1189" s="2"/>
      <c r="U1189" s="2" t="s">
        <v>2745</v>
      </c>
      <c r="V1189">
        <f ca="1" t="shared" si="35"/>
        <v>5.9</v>
      </c>
      <c r="AC1189" s="2"/>
      <c r="AD1189" t="str">
        <f>IFERROR(__xludf.DUMMYFUNCTION("""COMPUTED_VALUE"""),"The Juror ")</f>
        <v>The Juror </v>
      </c>
      <c r="AE1189">
        <f t="shared" si="36"/>
        <v>44834594</v>
      </c>
    </row>
    <row r="1190" customHeight="1" spans="1:31">
      <c r="A1190" s="2" t="s">
        <v>956</v>
      </c>
      <c r="B1190" s="2">
        <v>104</v>
      </c>
      <c r="C1190" s="2">
        <v>42071069</v>
      </c>
      <c r="D1190" s="2" t="s">
        <v>1826</v>
      </c>
      <c r="E1190" s="2" t="s">
        <v>40</v>
      </c>
      <c r="F1190" t="s">
        <v>13</v>
      </c>
      <c r="G1190" t="s">
        <v>17</v>
      </c>
      <c r="N1190" s="2" t="s">
        <v>18</v>
      </c>
      <c r="O1190" s="2" t="s">
        <v>19</v>
      </c>
      <c r="P1190" s="2">
        <v>30000000</v>
      </c>
      <c r="Q1190" s="2">
        <v>6.2</v>
      </c>
      <c r="R1190" s="2" t="s">
        <v>2746</v>
      </c>
      <c r="S1190" s="2"/>
      <c r="U1190" s="2" t="s">
        <v>2747</v>
      </c>
      <c r="V1190">
        <f ca="1" t="shared" si="35"/>
        <v>5.7</v>
      </c>
      <c r="AC1190" s="2"/>
      <c r="AD1190" t="str">
        <f>IFERROR(__xludf.DUMMYFUNCTION("""COMPUTED_VALUE"""),"Pinocchio ")</f>
        <v>Pinocchio </v>
      </c>
      <c r="AE1190">
        <f t="shared" si="36"/>
        <v>84299912</v>
      </c>
    </row>
    <row r="1191" customHeight="1" spans="1:31">
      <c r="A1191" s="2" t="s">
        <v>834</v>
      </c>
      <c r="B1191" s="2">
        <v>102</v>
      </c>
      <c r="C1191" s="2">
        <v>32853640</v>
      </c>
      <c r="D1191" s="2" t="s">
        <v>975</v>
      </c>
      <c r="E1191" s="2" t="s">
        <v>40</v>
      </c>
      <c r="F1191" t="s">
        <v>15</v>
      </c>
      <c r="G1191" t="s">
        <v>30</v>
      </c>
      <c r="N1191" s="2" t="s">
        <v>18</v>
      </c>
      <c r="O1191" s="2" t="s">
        <v>19</v>
      </c>
      <c r="P1191" s="2">
        <v>40000000</v>
      </c>
      <c r="Q1191" s="2">
        <v>5.7</v>
      </c>
      <c r="R1191" s="2" t="s">
        <v>2748</v>
      </c>
      <c r="S1191" s="2"/>
      <c r="U1191" s="2" t="s">
        <v>2749</v>
      </c>
      <c r="V1191">
        <f ca="1" t="shared" si="35"/>
        <v>5.6</v>
      </c>
      <c r="AC1191" s="2"/>
      <c r="AD1191" t="str">
        <f>IFERROR(__xludf.DUMMYFUNCTION("""COMPUTED_VALUE"""),"Heaven's Gate ")</f>
        <v>Heaven's Gate </v>
      </c>
      <c r="AE1191">
        <f t="shared" si="36"/>
        <v>1499675</v>
      </c>
    </row>
    <row r="1192" customHeight="1" spans="1:31">
      <c r="A1192" s="2" t="s">
        <v>974</v>
      </c>
      <c r="B1192" s="2">
        <v>136</v>
      </c>
      <c r="C1192" s="2">
        <v>42615685</v>
      </c>
      <c r="D1192" s="2" t="s">
        <v>2750</v>
      </c>
      <c r="E1192" s="2" t="s">
        <v>40</v>
      </c>
      <c r="F1192" t="s">
        <v>72</v>
      </c>
      <c r="G1192" t="s">
        <v>23</v>
      </c>
      <c r="N1192" s="2" t="s">
        <v>18</v>
      </c>
      <c r="O1192" s="2" t="s">
        <v>19</v>
      </c>
      <c r="P1192" s="2">
        <v>40000000</v>
      </c>
      <c r="Q1192" s="2">
        <v>6.1</v>
      </c>
      <c r="R1192" s="2" t="s">
        <v>2751</v>
      </c>
      <c r="S1192" s="2"/>
      <c r="U1192" s="2" t="s">
        <v>2752</v>
      </c>
      <c r="V1192">
        <f ca="1" t="shared" si="35"/>
        <v>6.7</v>
      </c>
      <c r="AC1192" s="2"/>
      <c r="AD1192" t="str">
        <f>IFERROR(__xludf.DUMMYFUNCTION("""COMPUTED_VALUE"""),"Underworld: Evolution ")</f>
        <v>Underworld: Evolution </v>
      </c>
      <c r="AE1192">
        <f t="shared" si="36"/>
        <v>62318773</v>
      </c>
    </row>
    <row r="1193" customHeight="1" spans="1:31">
      <c r="A1193" s="2" t="s">
        <v>1405</v>
      </c>
      <c r="B1193" s="2">
        <v>93</v>
      </c>
      <c r="C1193" s="2">
        <v>32055248</v>
      </c>
      <c r="D1193" s="2" t="s">
        <v>2753</v>
      </c>
      <c r="E1193" s="2" t="s">
        <v>12</v>
      </c>
      <c r="F1193" t="s">
        <v>28</v>
      </c>
      <c r="G1193" t="s">
        <v>17</v>
      </c>
      <c r="N1193" s="2" t="s">
        <v>18</v>
      </c>
      <c r="O1193" s="2" t="s">
        <v>19</v>
      </c>
      <c r="P1193" s="2">
        <v>25000000</v>
      </c>
      <c r="Q1193" s="2">
        <v>6</v>
      </c>
      <c r="R1193" s="2" t="s">
        <v>2754</v>
      </c>
      <c r="S1193" s="2"/>
      <c r="U1193" s="2" t="s">
        <v>2755</v>
      </c>
      <c r="V1193">
        <f ca="1" t="shared" si="35"/>
        <v>7.8</v>
      </c>
      <c r="AC1193" s="2"/>
      <c r="AD1193" t="str">
        <f>IFERROR(__xludf.DUMMYFUNCTION("""COMPUTED_VALUE"""),"Victor Frankenstein ")</f>
        <v>Victor Frankenstein </v>
      </c>
      <c r="AE1193">
        <f t="shared" si="36"/>
        <v>5773409</v>
      </c>
    </row>
    <row r="1194" customHeight="1" spans="1:31">
      <c r="A1194" s="2" t="s">
        <v>1538</v>
      </c>
      <c r="B1194" s="2">
        <v>129</v>
      </c>
      <c r="C1194" s="2">
        <v>31836745</v>
      </c>
      <c r="D1194" s="2" t="s">
        <v>2756</v>
      </c>
      <c r="E1194" s="2" t="s">
        <v>13</v>
      </c>
      <c r="F1194" t="s">
        <v>13</v>
      </c>
      <c r="G1194" t="s">
        <v>17</v>
      </c>
      <c r="N1194" s="2" t="s">
        <v>18</v>
      </c>
      <c r="O1194" s="2" t="s">
        <v>19</v>
      </c>
      <c r="P1194" s="2">
        <v>40000000</v>
      </c>
      <c r="Q1194" s="2">
        <v>6.9</v>
      </c>
      <c r="R1194" s="2" t="s">
        <v>2757</v>
      </c>
      <c r="S1194" s="2"/>
      <c r="U1194" s="2" t="s">
        <v>2758</v>
      </c>
      <c r="V1194">
        <f ca="1" t="shared" si="35"/>
        <v>5.95</v>
      </c>
      <c r="AC1194" s="2"/>
      <c r="AD1194" t="str">
        <f>IFERROR(__xludf.DUMMYFUNCTION("""COMPUTED_VALUE"""),"Finding Forrester ")</f>
        <v>Finding Forrester </v>
      </c>
      <c r="AE1194">
        <f t="shared" si="36"/>
        <v>51768487</v>
      </c>
    </row>
    <row r="1195" customHeight="1" spans="1:31">
      <c r="A1195" s="2" t="s">
        <v>1392</v>
      </c>
      <c r="B1195" s="2">
        <v>107</v>
      </c>
      <c r="C1195" s="2">
        <v>30993544</v>
      </c>
      <c r="D1195" s="2" t="s">
        <v>521</v>
      </c>
      <c r="E1195" s="2" t="s">
        <v>40</v>
      </c>
      <c r="F1195" t="s">
        <v>14</v>
      </c>
      <c r="G1195" t="s">
        <v>30</v>
      </c>
      <c r="N1195" s="2" t="s">
        <v>18</v>
      </c>
      <c r="O1195" s="2" t="s">
        <v>19</v>
      </c>
      <c r="P1195" s="2">
        <v>40000000</v>
      </c>
      <c r="Q1195" s="2">
        <v>6.5</v>
      </c>
      <c r="R1195" s="2" t="s">
        <v>2759</v>
      </c>
      <c r="S1195" s="2"/>
      <c r="U1195" s="2" t="s">
        <v>2760</v>
      </c>
      <c r="V1195">
        <f ca="1" t="shared" si="35"/>
        <v>6.125</v>
      </c>
      <c r="AC1195" s="2"/>
      <c r="AD1195" t="str">
        <f>IFERROR(__xludf.DUMMYFUNCTION("""COMPUTED_VALUE"""),"28 Days ")</f>
        <v>28 Days </v>
      </c>
      <c r="AE1195">
        <f t="shared" si="36"/>
        <v>37035412</v>
      </c>
    </row>
    <row r="1196" customHeight="1" spans="1:31">
      <c r="A1196" s="2" t="s">
        <v>1346</v>
      </c>
      <c r="B1196" s="2">
        <v>117</v>
      </c>
      <c r="C1196" s="2">
        <v>30981850</v>
      </c>
      <c r="D1196" s="2" t="s">
        <v>2761</v>
      </c>
      <c r="E1196" s="2" t="s">
        <v>59</v>
      </c>
      <c r="F1196" t="s">
        <v>15</v>
      </c>
      <c r="G1196" t="s">
        <v>28</v>
      </c>
      <c r="N1196" s="2" t="s">
        <v>18</v>
      </c>
      <c r="O1196" s="2" t="s">
        <v>19</v>
      </c>
      <c r="P1196" s="2">
        <v>40000000</v>
      </c>
      <c r="Q1196" s="2">
        <v>5</v>
      </c>
      <c r="R1196" s="2" t="s">
        <v>2762</v>
      </c>
      <c r="S1196" s="2"/>
      <c r="U1196" s="2" t="s">
        <v>2763</v>
      </c>
      <c r="V1196">
        <f ca="1" t="shared" si="35"/>
        <v>7.25</v>
      </c>
      <c r="AC1196" s="2"/>
      <c r="AD1196" t="str">
        <f>IFERROR(__xludf.DUMMYFUNCTION("""COMPUTED_VALUE"""),"Unleashed ")</f>
        <v>Unleashed </v>
      </c>
      <c r="AE1196">
        <f t="shared" si="36"/>
        <v>24520789</v>
      </c>
    </row>
    <row r="1197" customHeight="1" spans="1:31">
      <c r="A1197" s="2" t="s">
        <v>1540</v>
      </c>
      <c r="B1197" s="2">
        <v>116</v>
      </c>
      <c r="C1197" s="2">
        <v>30199105</v>
      </c>
      <c r="D1197" s="2" t="s">
        <v>1327</v>
      </c>
      <c r="E1197" s="2" t="s">
        <v>12</v>
      </c>
      <c r="F1197" t="s">
        <v>30</v>
      </c>
      <c r="G1197" t="s">
        <v>17</v>
      </c>
      <c r="N1197" s="2" t="s">
        <v>18</v>
      </c>
      <c r="O1197" s="2" t="s">
        <v>19</v>
      </c>
      <c r="P1197" s="2">
        <v>40000000</v>
      </c>
      <c r="Q1197" s="2">
        <v>5.7</v>
      </c>
      <c r="R1197" s="2" t="s">
        <v>2764</v>
      </c>
      <c r="S1197" s="2"/>
      <c r="U1197" s="2" t="s">
        <v>2765</v>
      </c>
      <c r="V1197">
        <f ca="1" t="shared" si="35"/>
        <v>6.4</v>
      </c>
      <c r="AC1197" s="2"/>
      <c r="AD1197" t="str">
        <f>IFERROR(__xludf.DUMMYFUNCTION("""COMPUTED_VALUE"""),"The Sweetest Thing ")</f>
        <v>The Sweetest Thing </v>
      </c>
      <c r="AE1197">
        <f t="shared" si="36"/>
        <v>24430182</v>
      </c>
    </row>
    <row r="1198" customHeight="1" spans="1:31">
      <c r="A1198" s="2" t="s">
        <v>466</v>
      </c>
      <c r="B1198" s="2">
        <v>135</v>
      </c>
      <c r="C1198" s="2">
        <v>29077547</v>
      </c>
      <c r="D1198" s="2" t="s">
        <v>1109</v>
      </c>
      <c r="E1198" s="2" t="s">
        <v>30</v>
      </c>
      <c r="F1198" t="s">
        <v>35</v>
      </c>
      <c r="G1198" t="s">
        <v>17</v>
      </c>
      <c r="N1198" s="2" t="s">
        <v>18</v>
      </c>
      <c r="O1198" s="2" t="s">
        <v>19</v>
      </c>
      <c r="P1198" s="2">
        <v>40000000</v>
      </c>
      <c r="Q1198" s="2">
        <v>7</v>
      </c>
      <c r="R1198" s="2" t="s">
        <v>2766</v>
      </c>
      <c r="S1198" s="2"/>
      <c r="U1198" s="2" t="s">
        <v>2767</v>
      </c>
      <c r="V1198">
        <f ca="1" t="shared" si="35"/>
        <v>6.7</v>
      </c>
      <c r="AC1198" s="2"/>
      <c r="AD1198" t="str">
        <f>IFERROR(__xludf.DUMMYFUNCTION("""COMPUTED_VALUE"""),"The Firm ")</f>
        <v>The Firm </v>
      </c>
      <c r="AE1198">
        <f t="shared" si="36"/>
        <v>158348246</v>
      </c>
    </row>
    <row r="1199" customHeight="1" spans="1:31">
      <c r="A1199" s="2" t="s">
        <v>624</v>
      </c>
      <c r="B1199" s="2">
        <v>107</v>
      </c>
      <c r="C1199" s="2">
        <v>29374178</v>
      </c>
      <c r="D1199" s="2" t="s">
        <v>2768</v>
      </c>
      <c r="E1199" s="2" t="s">
        <v>56</v>
      </c>
      <c r="F1199" t="s">
        <v>56</v>
      </c>
      <c r="G1199" t="s">
        <v>40</v>
      </c>
      <c r="N1199" s="2" t="s">
        <v>18</v>
      </c>
      <c r="O1199" s="2" t="s">
        <v>19</v>
      </c>
      <c r="P1199" s="2">
        <v>40000000</v>
      </c>
      <c r="Q1199" s="2">
        <v>5.1</v>
      </c>
      <c r="R1199" s="2" t="s">
        <v>2769</v>
      </c>
      <c r="S1199" s="2"/>
      <c r="U1199" s="2" t="s">
        <v>2770</v>
      </c>
      <c r="V1199">
        <f ca="1" t="shared" si="35"/>
        <v>6.56666666666667</v>
      </c>
      <c r="AC1199" s="2"/>
      <c r="AD1199" t="str">
        <f>IFERROR(__xludf.DUMMYFUNCTION("""COMPUTED_VALUE"""),"Charlie St. Cloud ")</f>
        <v>Charlie St. Cloud </v>
      </c>
      <c r="AE1199">
        <f t="shared" si="36"/>
        <v>31136851</v>
      </c>
    </row>
    <row r="1200" customHeight="1" spans="1:31">
      <c r="A1200" s="2" t="s">
        <v>1172</v>
      </c>
      <c r="B1200" s="2">
        <v>90</v>
      </c>
      <c r="C1200" s="2">
        <v>28535768</v>
      </c>
      <c r="D1200" s="2" t="s">
        <v>40</v>
      </c>
      <c r="E1200" s="2" t="s">
        <v>40</v>
      </c>
      <c r="F1200" t="s">
        <v>13</v>
      </c>
      <c r="G1200" t="s">
        <v>30</v>
      </c>
      <c r="N1200" s="2" t="s">
        <v>18</v>
      </c>
      <c r="O1200" s="2" t="s">
        <v>19</v>
      </c>
      <c r="P1200" s="2">
        <v>40000000</v>
      </c>
      <c r="Q1200" s="2">
        <v>5.3</v>
      </c>
      <c r="R1200" s="2" t="s">
        <v>2771</v>
      </c>
      <c r="S1200" s="2"/>
      <c r="U1200" s="2" t="s">
        <v>2772</v>
      </c>
      <c r="V1200">
        <f ca="1" t="shared" si="35"/>
        <v>5.8</v>
      </c>
      <c r="AC1200" s="2"/>
      <c r="AD1200" t="str">
        <f>IFERROR(__xludf.DUMMYFUNCTION("""COMPUTED_VALUE"""),"The Mechanic ")</f>
        <v>The Mechanic </v>
      </c>
      <c r="AE1200">
        <f t="shared" si="36"/>
        <v>29113495</v>
      </c>
    </row>
    <row r="1201" customHeight="1" spans="1:31">
      <c r="A1201" s="2" t="s">
        <v>1188</v>
      </c>
      <c r="B1201" s="2">
        <v>99</v>
      </c>
      <c r="C1201" s="2">
        <v>27663982</v>
      </c>
      <c r="D1201" s="2" t="s">
        <v>1764</v>
      </c>
      <c r="E1201" s="2" t="s">
        <v>72</v>
      </c>
      <c r="F1201" t="s">
        <v>28</v>
      </c>
      <c r="G1201" t="s">
        <v>15</v>
      </c>
      <c r="N1201" s="2" t="s">
        <v>18</v>
      </c>
      <c r="O1201" s="2" t="s">
        <v>19</v>
      </c>
      <c r="P1201" s="2">
        <v>40000000</v>
      </c>
      <c r="Q1201" s="2">
        <v>4.4</v>
      </c>
      <c r="R1201" s="2" t="s">
        <v>2773</v>
      </c>
      <c r="S1201" s="2"/>
      <c r="U1201" s="2" t="s">
        <v>2774</v>
      </c>
      <c r="V1201">
        <f ca="1" t="shared" si="35"/>
        <v>5.6</v>
      </c>
      <c r="AC1201" s="2"/>
      <c r="AD1201" t="str">
        <f>IFERROR(__xludf.DUMMYFUNCTION("""COMPUTED_VALUE"""),"21 Jump Street ")</f>
        <v>21 Jump Street </v>
      </c>
      <c r="AE1201">
        <f t="shared" si="36"/>
        <v>138447558</v>
      </c>
    </row>
    <row r="1202" customHeight="1" spans="1:31">
      <c r="A1202" s="2" t="s">
        <v>648</v>
      </c>
      <c r="B1202" s="2">
        <v>104</v>
      </c>
      <c r="C1202" s="2">
        <v>27053815</v>
      </c>
      <c r="D1202" s="2" t="s">
        <v>51</v>
      </c>
      <c r="E1202" s="2" t="s">
        <v>12</v>
      </c>
      <c r="F1202" t="s">
        <v>56</v>
      </c>
      <c r="G1202" t="s">
        <v>14</v>
      </c>
      <c r="N1202" s="2" t="s">
        <v>18</v>
      </c>
      <c r="O1202" s="2" t="s">
        <v>293</v>
      </c>
      <c r="P1202" s="2">
        <v>40000000</v>
      </c>
      <c r="Q1202" s="2">
        <v>4.7</v>
      </c>
      <c r="R1202" s="2" t="s">
        <v>2775</v>
      </c>
      <c r="S1202" s="2"/>
      <c r="U1202" s="2" t="s">
        <v>2776</v>
      </c>
      <c r="V1202">
        <f ca="1" t="shared" si="35"/>
        <v>6.1</v>
      </c>
      <c r="AC1202" s="2"/>
      <c r="AD1202" t="str">
        <f>IFERROR(__xludf.DUMMYFUNCTION("""COMPUTED_VALUE"""),"Notting Hill ")</f>
        <v>Notting Hill </v>
      </c>
      <c r="AE1202">
        <f t="shared" si="36"/>
        <v>116005956</v>
      </c>
    </row>
    <row r="1203" customHeight="1" spans="1:31">
      <c r="A1203" s="2" t="s">
        <v>1542</v>
      </c>
      <c r="B1203" s="2">
        <v>115</v>
      </c>
      <c r="C1203" s="2">
        <v>26814957</v>
      </c>
      <c r="D1203" s="2" t="s">
        <v>2530</v>
      </c>
      <c r="E1203" s="2" t="s">
        <v>59</v>
      </c>
      <c r="F1203" t="s">
        <v>40</v>
      </c>
      <c r="G1203" t="s">
        <v>24</v>
      </c>
      <c r="N1203" s="2" t="s">
        <v>18</v>
      </c>
      <c r="O1203" s="2" t="s">
        <v>31</v>
      </c>
      <c r="P1203" s="2">
        <v>35000000</v>
      </c>
      <c r="Q1203" s="2">
        <v>6.7</v>
      </c>
      <c r="R1203" s="2" t="s">
        <v>2777</v>
      </c>
      <c r="S1203" s="2"/>
      <c r="U1203" s="2" t="s">
        <v>2778</v>
      </c>
      <c r="V1203">
        <f ca="1" t="shared" si="35"/>
        <v>5.9</v>
      </c>
      <c r="AC1203" s="2"/>
      <c r="AD1203" t="str">
        <f>IFERROR(__xludf.DUMMYFUNCTION("""COMPUTED_VALUE"""),"Chicken Run ")</f>
        <v>Chicken Run </v>
      </c>
      <c r="AE1203">
        <f t="shared" si="36"/>
        <v>106793831</v>
      </c>
    </row>
    <row r="1204" customHeight="1" spans="1:31">
      <c r="A1204" s="2" t="s">
        <v>1545</v>
      </c>
      <c r="B1204" s="2">
        <v>119</v>
      </c>
      <c r="C1204" s="2">
        <v>25178165</v>
      </c>
      <c r="D1204" s="2" t="s">
        <v>103</v>
      </c>
      <c r="E1204" s="2" t="s">
        <v>30</v>
      </c>
      <c r="F1204" t="s">
        <v>14</v>
      </c>
      <c r="G1204" t="s">
        <v>23</v>
      </c>
      <c r="N1204" s="2" t="s">
        <v>18</v>
      </c>
      <c r="O1204" s="2" t="s">
        <v>19</v>
      </c>
      <c r="P1204" s="2">
        <v>40000000</v>
      </c>
      <c r="Q1204" s="2">
        <v>6.7</v>
      </c>
      <c r="R1204" s="2" t="s">
        <v>2779</v>
      </c>
      <c r="S1204" s="2"/>
      <c r="U1204" s="2" t="s">
        <v>2780</v>
      </c>
      <c r="V1204">
        <f ca="1" t="shared" si="35"/>
        <v>7.15</v>
      </c>
      <c r="AC1204" s="2"/>
      <c r="AD1204" t="str">
        <f>IFERROR(__xludf.DUMMYFUNCTION("""COMPUTED_VALUE"""),"Along Came Polly ")</f>
        <v>Along Came Polly </v>
      </c>
      <c r="AE1204">
        <f t="shared" si="36"/>
        <v>87856475</v>
      </c>
    </row>
    <row r="1205" customHeight="1" spans="1:31">
      <c r="A1205" s="2" t="s">
        <v>823</v>
      </c>
      <c r="B1205" s="2">
        <v>99</v>
      </c>
      <c r="C1205" s="2">
        <v>25117498</v>
      </c>
      <c r="D1205" s="2" t="s">
        <v>2781</v>
      </c>
      <c r="E1205" s="2" t="s">
        <v>72</v>
      </c>
      <c r="F1205" t="s">
        <v>30</v>
      </c>
      <c r="G1205" t="s">
        <v>17</v>
      </c>
      <c r="N1205" s="2" t="s">
        <v>18</v>
      </c>
      <c r="O1205" s="2" t="s">
        <v>19</v>
      </c>
      <c r="P1205" s="2">
        <v>40000000</v>
      </c>
      <c r="Q1205" s="2">
        <v>5.7</v>
      </c>
      <c r="R1205" s="2" t="s">
        <v>2782</v>
      </c>
      <c r="S1205" s="2"/>
      <c r="U1205" s="2" t="s">
        <v>2783</v>
      </c>
      <c r="V1205">
        <f ca="1" t="shared" si="35"/>
        <v>6.3</v>
      </c>
      <c r="AC1205" s="2"/>
      <c r="AD1205" t="str">
        <f>IFERROR(__xludf.DUMMYFUNCTION("""COMPUTED_VALUE"""),"Boomerang ")</f>
        <v>Boomerang </v>
      </c>
      <c r="AE1205">
        <f t="shared" si="36"/>
        <v>70099883</v>
      </c>
    </row>
    <row r="1206" customHeight="1" spans="1:31">
      <c r="A1206" s="2" t="s">
        <v>196</v>
      </c>
      <c r="B1206" s="2">
        <v>112</v>
      </c>
      <c r="C1206" s="2">
        <v>32645</v>
      </c>
      <c r="D1206" s="2" t="s">
        <v>2171</v>
      </c>
      <c r="E1206" s="2" t="s">
        <v>56</v>
      </c>
      <c r="F1206" t="s">
        <v>55</v>
      </c>
      <c r="G1206" t="s">
        <v>17</v>
      </c>
      <c r="N1206" s="2" t="s">
        <v>18</v>
      </c>
      <c r="O1206" s="2" t="s">
        <v>19</v>
      </c>
      <c r="P1206" s="2">
        <v>500000</v>
      </c>
      <c r="Q1206" s="2">
        <v>7.4</v>
      </c>
      <c r="R1206" s="2" t="s">
        <v>2784</v>
      </c>
      <c r="S1206" s="2"/>
      <c r="U1206" s="2" t="s">
        <v>2785</v>
      </c>
      <c r="V1206">
        <f ca="1" t="shared" si="35"/>
        <v>7.1</v>
      </c>
      <c r="AC1206" s="2"/>
      <c r="AD1206" t="str">
        <f>IFERROR(__xludf.DUMMYFUNCTION("""COMPUTED_VALUE"""),"The Heat ")</f>
        <v>The Heat </v>
      </c>
      <c r="AE1206">
        <f t="shared" si="36"/>
        <v>159578229</v>
      </c>
    </row>
    <row r="1207" customHeight="1" spans="1:31">
      <c r="A1207" s="2" t="s">
        <v>1373</v>
      </c>
      <c r="B1207" s="2">
        <v>128</v>
      </c>
      <c r="C1207" s="2">
        <v>24332324</v>
      </c>
      <c r="D1207" s="2" t="s">
        <v>975</v>
      </c>
      <c r="E1207" s="2" t="s">
        <v>40</v>
      </c>
      <c r="F1207" t="s">
        <v>30</v>
      </c>
      <c r="G1207" t="s">
        <v>24</v>
      </c>
      <c r="N1207" s="2" t="s">
        <v>18</v>
      </c>
      <c r="O1207" s="2" t="s">
        <v>19</v>
      </c>
      <c r="P1207" s="2">
        <v>40000000</v>
      </c>
      <c r="Q1207" s="2">
        <v>6.1</v>
      </c>
      <c r="R1207" s="2" t="s">
        <v>2786</v>
      </c>
      <c r="S1207" s="2"/>
      <c r="U1207" s="2" t="s">
        <v>2787</v>
      </c>
      <c r="V1207">
        <f ca="1" t="shared" ref="V1207:V1270" si="37">AVERAGEIF(A1091:A4876,U1207,Q1092:Q4876)</f>
        <v>5.1</v>
      </c>
      <c r="AC1207" s="2"/>
      <c r="AD1207" t="str">
        <f>IFERROR(__xludf.DUMMYFUNCTION("""COMPUTED_VALUE"""),"Cleopatra ")</f>
        <v>Cleopatra </v>
      </c>
      <c r="AE1207">
        <f t="shared" ref="AE1207:AE1270" si="38">C1091-B1091</f>
        <v>57749749</v>
      </c>
    </row>
    <row r="1208" customHeight="1" spans="1:31">
      <c r="A1208" s="2" t="s">
        <v>1367</v>
      </c>
      <c r="B1208" s="2">
        <v>112</v>
      </c>
      <c r="C1208" s="2">
        <v>36665854</v>
      </c>
      <c r="D1208" s="2" t="s">
        <v>186</v>
      </c>
      <c r="E1208" s="2" t="s">
        <v>12</v>
      </c>
      <c r="F1208" t="s">
        <v>30</v>
      </c>
      <c r="G1208" t="s">
        <v>23</v>
      </c>
      <c r="N1208" s="2" t="s">
        <v>18</v>
      </c>
      <c r="O1208" s="2" t="s">
        <v>707</v>
      </c>
      <c r="P1208" s="2">
        <v>40000000</v>
      </c>
      <c r="Q1208" s="2">
        <v>6.4</v>
      </c>
      <c r="R1208" s="2" t="s">
        <v>2788</v>
      </c>
      <c r="S1208" s="2"/>
      <c r="U1208" s="2" t="s">
        <v>2789</v>
      </c>
      <c r="V1208">
        <f ca="1" t="shared" si="37"/>
        <v>7.1</v>
      </c>
      <c r="AC1208" s="2"/>
      <c r="AD1208" t="str">
        <f>IFERROR(__xludf.DUMMYFUNCTION("""COMPUTED_VALUE"""),"Here Comes the Boom ")</f>
        <v>Here Comes the Boom </v>
      </c>
      <c r="AE1208">
        <f t="shared" si="38"/>
        <v>45290213</v>
      </c>
    </row>
    <row r="1209" customHeight="1" spans="1:31">
      <c r="A1209" s="2" t="s">
        <v>1548</v>
      </c>
      <c r="B1209" s="2">
        <v>86</v>
      </c>
      <c r="C1209" s="2">
        <v>22717758</v>
      </c>
      <c r="D1209" s="2" t="s">
        <v>2790</v>
      </c>
      <c r="E1209" s="2" t="s">
        <v>13</v>
      </c>
      <c r="F1209" t="s">
        <v>13</v>
      </c>
      <c r="G1209" t="s">
        <v>30</v>
      </c>
      <c r="N1209" s="2" t="s">
        <v>18</v>
      </c>
      <c r="O1209" s="2" t="s">
        <v>19</v>
      </c>
      <c r="P1209" s="2">
        <v>40000000</v>
      </c>
      <c r="Q1209" s="2">
        <v>6.2</v>
      </c>
      <c r="R1209" s="2" t="s">
        <v>2791</v>
      </c>
      <c r="S1209" s="2"/>
      <c r="U1209" s="2" t="s">
        <v>2792</v>
      </c>
      <c r="V1209">
        <f ca="1" t="shared" si="37"/>
        <v>4.3</v>
      </c>
      <c r="AC1209" s="2"/>
      <c r="AD1209" t="str">
        <f>IFERROR(__xludf.DUMMYFUNCTION("""COMPUTED_VALUE"""),"High Crimes ")</f>
        <v>High Crimes </v>
      </c>
      <c r="AE1209">
        <f t="shared" si="38"/>
        <v>41543092</v>
      </c>
    </row>
    <row r="1210" customHeight="1" spans="1:31">
      <c r="A1210" s="2" t="s">
        <v>961</v>
      </c>
      <c r="B1210" s="2">
        <v>108</v>
      </c>
      <c r="C1210" s="2">
        <v>22433915</v>
      </c>
      <c r="D1210" s="2" t="s">
        <v>814</v>
      </c>
      <c r="E1210" s="2" t="s">
        <v>56</v>
      </c>
      <c r="F1210" t="s">
        <v>14</v>
      </c>
      <c r="G1210" t="s">
        <v>17</v>
      </c>
      <c r="N1210" s="2" t="s">
        <v>18</v>
      </c>
      <c r="O1210" s="2" t="s">
        <v>19</v>
      </c>
      <c r="P1210" s="2">
        <v>60000000</v>
      </c>
      <c r="Q1210" s="2">
        <v>6.2</v>
      </c>
      <c r="R1210" s="2" t="s">
        <v>2793</v>
      </c>
      <c r="S1210" s="2"/>
      <c r="U1210" s="2" t="s">
        <v>2794</v>
      </c>
      <c r="V1210">
        <f ca="1" t="shared" si="37"/>
        <v>5.4</v>
      </c>
      <c r="AC1210" s="2"/>
      <c r="AD1210" t="str">
        <f>IFERROR(__xludf.DUMMYFUNCTION("""COMPUTED_VALUE"""),"The Mirror Has Two Faces ")</f>
        <v>The Mirror Has Two Faces </v>
      </c>
      <c r="AE1210">
        <f t="shared" si="38"/>
        <v>41252306</v>
      </c>
    </row>
    <row r="1211" customHeight="1" spans="1:31">
      <c r="A1211" s="2" t="s">
        <v>1551</v>
      </c>
      <c r="B1211" s="2">
        <v>128</v>
      </c>
      <c r="C1211" s="2">
        <v>22326247</v>
      </c>
      <c r="D1211" s="2" t="s">
        <v>103</v>
      </c>
      <c r="E1211" s="2" t="s">
        <v>30</v>
      </c>
      <c r="F1211" t="s">
        <v>40</v>
      </c>
      <c r="G1211" t="s">
        <v>23</v>
      </c>
      <c r="N1211" s="2" t="s">
        <v>18</v>
      </c>
      <c r="O1211" s="2" t="s">
        <v>19</v>
      </c>
      <c r="P1211" s="2">
        <v>60000000</v>
      </c>
      <c r="Q1211" s="2">
        <v>5.9</v>
      </c>
      <c r="R1211" s="2" t="s">
        <v>2795</v>
      </c>
      <c r="S1211" s="2"/>
      <c r="U1211" s="2" t="s">
        <v>2796</v>
      </c>
      <c r="V1211">
        <f ca="1" t="shared" si="37"/>
        <v>6.6</v>
      </c>
      <c r="AC1211" s="2"/>
      <c r="AD1211" t="str">
        <f>IFERROR(__xludf.DUMMYFUNCTION("""COMPUTED_VALUE"""),"The Mothman Prophecies ")</f>
        <v>The Mothman Prophecies </v>
      </c>
      <c r="AE1211">
        <f t="shared" si="38"/>
        <v>35228577</v>
      </c>
    </row>
    <row r="1212" customHeight="1" spans="1:31">
      <c r="A1212" s="2" t="s">
        <v>1553</v>
      </c>
      <c r="B1212" s="2">
        <v>84</v>
      </c>
      <c r="C1212" s="2">
        <v>21176322</v>
      </c>
      <c r="D1212" s="2" t="s">
        <v>635</v>
      </c>
      <c r="E1212" s="2" t="s">
        <v>12</v>
      </c>
      <c r="F1212" t="s">
        <v>13</v>
      </c>
      <c r="G1212" t="s">
        <v>17</v>
      </c>
      <c r="N1212" s="2" t="s">
        <v>18</v>
      </c>
      <c r="O1212" s="2" t="s">
        <v>19</v>
      </c>
      <c r="P1212" s="2">
        <v>40000000</v>
      </c>
      <c r="Q1212" s="2">
        <v>4</v>
      </c>
      <c r="R1212" s="2" t="s">
        <v>2797</v>
      </c>
      <c r="S1212" s="2"/>
      <c r="U1212" s="2" t="s">
        <v>2798</v>
      </c>
      <c r="V1212">
        <f ca="1" t="shared" si="37"/>
        <v>7.4</v>
      </c>
      <c r="AC1212" s="2"/>
      <c r="AD1212" t="str">
        <f>IFERROR(__xludf.DUMMYFUNCTION("""COMPUTED_VALUE"""),"Brüno ")</f>
        <v>Brüno </v>
      </c>
      <c r="AE1212">
        <f t="shared" si="38"/>
        <v>59992679</v>
      </c>
    </row>
    <row r="1213" customHeight="1" spans="1:31">
      <c r="A1213" s="2" t="s">
        <v>1119</v>
      </c>
      <c r="B1213" s="2">
        <v>111</v>
      </c>
      <c r="C1213" s="2">
        <v>20300000</v>
      </c>
      <c r="D1213" s="2" t="s">
        <v>1655</v>
      </c>
      <c r="E1213" s="2" t="s">
        <v>30</v>
      </c>
      <c r="F1213" t="s">
        <v>30</v>
      </c>
      <c r="G1213" t="s">
        <v>39</v>
      </c>
      <c r="N1213" s="2" t="s">
        <v>18</v>
      </c>
      <c r="O1213" s="2" t="s">
        <v>19</v>
      </c>
      <c r="P1213" s="2">
        <v>40000000</v>
      </c>
      <c r="Q1213" s="2">
        <v>6.2</v>
      </c>
      <c r="R1213" s="2" t="s">
        <v>2799</v>
      </c>
      <c r="S1213" s="2"/>
      <c r="U1213" s="2" t="s">
        <v>2800</v>
      </c>
      <c r="V1213">
        <f ca="1" t="shared" si="37"/>
        <v>8</v>
      </c>
      <c r="AC1213" s="2"/>
      <c r="AD1213" t="str">
        <f>IFERROR(__xludf.DUMMYFUNCTION("""COMPUTED_VALUE"""),"Licence to Kill ")</f>
        <v>Licence to Kill </v>
      </c>
      <c r="AE1213">
        <f t="shared" si="38"/>
        <v>34666882</v>
      </c>
    </row>
    <row r="1214" customHeight="1" spans="1:31">
      <c r="A1214" s="2" t="s">
        <v>483</v>
      </c>
      <c r="B1214" s="2">
        <v>131</v>
      </c>
      <c r="C1214" s="2">
        <v>20302961</v>
      </c>
      <c r="D1214" s="2" t="s">
        <v>30</v>
      </c>
      <c r="E1214" s="2" t="s">
        <v>30</v>
      </c>
      <c r="F1214" t="s">
        <v>40</v>
      </c>
      <c r="G1214" t="s">
        <v>14</v>
      </c>
      <c r="N1214" s="2" t="s">
        <v>18</v>
      </c>
      <c r="O1214" s="2" t="s">
        <v>707</v>
      </c>
      <c r="P1214" s="2">
        <v>45000000</v>
      </c>
      <c r="Q1214" s="2">
        <v>4.6</v>
      </c>
      <c r="R1214" s="2" t="s">
        <v>2801</v>
      </c>
      <c r="S1214" s="2"/>
      <c r="U1214" s="2" t="s">
        <v>2802</v>
      </c>
      <c r="V1214">
        <f ca="1" t="shared" si="37"/>
        <v>6.4</v>
      </c>
      <c r="AC1214" s="2"/>
      <c r="AD1214" t="str">
        <f>IFERROR(__xludf.DUMMYFUNCTION("""COMPUTED_VALUE"""),"Red Riding Hood ")</f>
        <v>Red Riding Hood </v>
      </c>
      <c r="AE1214">
        <f t="shared" si="38"/>
        <v>37652465</v>
      </c>
    </row>
    <row r="1215" customHeight="1" spans="1:31">
      <c r="A1215" s="2" t="s">
        <v>1556</v>
      </c>
      <c r="B1215" s="2">
        <v>123</v>
      </c>
      <c r="C1215" s="2">
        <v>15962471</v>
      </c>
      <c r="D1215" s="2" t="s">
        <v>2530</v>
      </c>
      <c r="E1215" s="2" t="s">
        <v>59</v>
      </c>
      <c r="F1215" t="s">
        <v>39</v>
      </c>
      <c r="G1215" t="s">
        <v>28</v>
      </c>
      <c r="N1215" s="2" t="s">
        <v>18</v>
      </c>
      <c r="O1215" s="2" t="s">
        <v>19</v>
      </c>
      <c r="P1215" s="2">
        <v>40000000</v>
      </c>
      <c r="Q1215" s="2">
        <v>6.4</v>
      </c>
      <c r="R1215" s="2" t="s">
        <v>2803</v>
      </c>
      <c r="S1215" s="2"/>
      <c r="U1215" s="2" t="s">
        <v>2804</v>
      </c>
      <c r="V1215">
        <f ca="1" t="shared" si="37"/>
        <v>6.7</v>
      </c>
      <c r="AC1215" s="2"/>
      <c r="AD1215" t="str">
        <f>IFERROR(__xludf.DUMMYFUNCTION("""COMPUTED_VALUE"""),"15 Minutes ")</f>
        <v>15 Minutes </v>
      </c>
      <c r="AE1215">
        <f t="shared" si="38"/>
        <v>24375316</v>
      </c>
    </row>
    <row r="1216" customHeight="1" spans="1:31">
      <c r="A1216" s="2" t="s">
        <v>1326</v>
      </c>
      <c r="B1216" s="2">
        <v>101</v>
      </c>
      <c r="C1216" s="2">
        <v>14942422</v>
      </c>
      <c r="D1216" s="2" t="s">
        <v>150</v>
      </c>
      <c r="E1216" s="2" t="s">
        <v>12</v>
      </c>
      <c r="F1216" t="s">
        <v>13</v>
      </c>
      <c r="G1216" t="s">
        <v>56</v>
      </c>
      <c r="N1216" s="2" t="s">
        <v>18</v>
      </c>
      <c r="O1216" s="2" t="s">
        <v>19</v>
      </c>
      <c r="P1216" s="2">
        <v>40000000</v>
      </c>
      <c r="Q1216" s="2">
        <v>5.9</v>
      </c>
      <c r="R1216" s="2" t="s">
        <v>2805</v>
      </c>
      <c r="S1216" s="2"/>
      <c r="U1216" s="2" t="s">
        <v>2806</v>
      </c>
      <c r="V1216">
        <f ca="1" t="shared" si="37"/>
        <v>6.2</v>
      </c>
      <c r="AC1216" s="2"/>
      <c r="AD1216" t="str">
        <f>IFERROR(__xludf.DUMMYFUNCTION("""COMPUTED_VALUE"""),"Super Mario Bros. ")</f>
        <v>Super Mario Bros. </v>
      </c>
      <c r="AE1216">
        <f t="shared" si="38"/>
        <v>20915361</v>
      </c>
    </row>
    <row r="1217" customHeight="1" spans="1:31">
      <c r="A1217" s="2" t="s">
        <v>1558</v>
      </c>
      <c r="B1217" s="2">
        <v>102</v>
      </c>
      <c r="C1217" s="2">
        <v>14967182</v>
      </c>
      <c r="D1217" s="2" t="s">
        <v>186</v>
      </c>
      <c r="E1217" s="2" t="s">
        <v>12</v>
      </c>
      <c r="F1217" t="s">
        <v>17</v>
      </c>
      <c r="G1217" t="s">
        <v>15</v>
      </c>
      <c r="N1217" s="2" t="s">
        <v>18</v>
      </c>
      <c r="O1217" s="2" t="s">
        <v>19</v>
      </c>
      <c r="P1217" s="2">
        <v>40000000</v>
      </c>
      <c r="Q1217" s="2">
        <v>5.1</v>
      </c>
      <c r="R1217" s="2" t="s">
        <v>2807</v>
      </c>
      <c r="S1217" s="2"/>
      <c r="U1217" s="2" t="s">
        <v>2808</v>
      </c>
      <c r="V1217">
        <f ca="1" t="shared" si="37"/>
        <v>7.4</v>
      </c>
      <c r="AC1217" s="2"/>
      <c r="AD1217" t="str">
        <f>IFERROR(__xludf.DUMMYFUNCTION("""COMPUTED_VALUE"""),"Lord of War ")</f>
        <v>Lord of War </v>
      </c>
      <c r="AE1217">
        <f t="shared" si="38"/>
        <v>24127773</v>
      </c>
    </row>
    <row r="1218" customHeight="1" spans="1:31">
      <c r="A1218" s="2" t="s">
        <v>1561</v>
      </c>
      <c r="B1218" s="2">
        <v>114</v>
      </c>
      <c r="C1218" s="2">
        <v>18996755</v>
      </c>
      <c r="D1218" s="2" t="s">
        <v>1655</v>
      </c>
      <c r="E1218" s="2" t="s">
        <v>30</v>
      </c>
      <c r="F1218" t="s">
        <v>17</v>
      </c>
      <c r="G1218" t="s">
        <v>16</v>
      </c>
      <c r="N1218" s="2" t="s">
        <v>18</v>
      </c>
      <c r="O1218" s="2" t="s">
        <v>1431</v>
      </c>
      <c r="P1218" s="2">
        <v>45000000</v>
      </c>
      <c r="Q1218" s="2">
        <v>7.6</v>
      </c>
      <c r="R1218" s="2" t="s">
        <v>2809</v>
      </c>
      <c r="S1218" s="2"/>
      <c r="U1218" s="2" t="s">
        <v>2810</v>
      </c>
      <c r="V1218">
        <f ca="1" t="shared" si="37"/>
        <v>7</v>
      </c>
      <c r="AC1218" s="2"/>
      <c r="AD1218" t="str">
        <f>IFERROR(__xludf.DUMMYFUNCTION("""COMPUTED_VALUE"""),"Hero ")</f>
        <v>Hero </v>
      </c>
      <c r="AE1218">
        <f t="shared" si="38"/>
        <v>84881</v>
      </c>
    </row>
    <row r="1219" customHeight="1" spans="1:31">
      <c r="A1219" s="2" t="s">
        <v>1563</v>
      </c>
      <c r="B1219" s="2">
        <v>107</v>
      </c>
      <c r="C1219" s="2">
        <v>14375181</v>
      </c>
      <c r="D1219" s="2" t="s">
        <v>2811</v>
      </c>
      <c r="E1219" s="2" t="s">
        <v>12</v>
      </c>
      <c r="F1219" t="s">
        <v>13</v>
      </c>
      <c r="G1219" t="s">
        <v>24</v>
      </c>
      <c r="N1219" s="2" t="s">
        <v>18</v>
      </c>
      <c r="O1219" s="2" t="s">
        <v>19</v>
      </c>
      <c r="P1219" s="2">
        <v>51000000</v>
      </c>
      <c r="Q1219" s="2">
        <v>4.2</v>
      </c>
      <c r="R1219" s="2" t="s">
        <v>2812</v>
      </c>
      <c r="S1219" s="2"/>
      <c r="U1219" s="2" t="s">
        <v>2813</v>
      </c>
      <c r="V1219">
        <f ca="1" t="shared" si="37"/>
        <v>8</v>
      </c>
      <c r="AC1219" s="2"/>
      <c r="AD1219" t="str">
        <f>IFERROR(__xludf.DUMMYFUNCTION("""COMPUTED_VALUE"""),"One for the Money ")</f>
        <v>One for the Money </v>
      </c>
      <c r="AE1219">
        <f t="shared" si="38"/>
        <v>26404662</v>
      </c>
    </row>
    <row r="1220" customHeight="1" spans="1:31">
      <c r="A1220" s="2" t="s">
        <v>1337</v>
      </c>
      <c r="B1220" s="2">
        <v>87</v>
      </c>
      <c r="C1220" s="2">
        <v>20999103</v>
      </c>
      <c r="D1220" s="2" t="s">
        <v>2814</v>
      </c>
      <c r="E1220" s="2" t="s">
        <v>13</v>
      </c>
      <c r="F1220" t="s">
        <v>13</v>
      </c>
      <c r="G1220" t="s">
        <v>14</v>
      </c>
      <c r="N1220" s="2" t="s">
        <v>18</v>
      </c>
      <c r="O1220" s="2" t="s">
        <v>19</v>
      </c>
      <c r="P1220" s="2">
        <v>40000000</v>
      </c>
      <c r="Q1220" s="2">
        <v>7.8</v>
      </c>
      <c r="R1220" s="2" t="s">
        <v>2815</v>
      </c>
      <c r="S1220" s="2"/>
      <c r="U1220" s="2" t="s">
        <v>2816</v>
      </c>
      <c r="V1220">
        <f ca="1" t="shared" si="37"/>
        <v>5.9</v>
      </c>
      <c r="AC1220" s="2"/>
      <c r="AD1220" t="str">
        <f>IFERROR(__xludf.DUMMYFUNCTION("""COMPUTED_VALUE"""),"The Interview ")</f>
        <v>The Interview </v>
      </c>
      <c r="AE1220">
        <f t="shared" si="38"/>
        <v>6105063</v>
      </c>
    </row>
    <row r="1221" customHeight="1" spans="1:31">
      <c r="A1221" s="2" t="s">
        <v>1153</v>
      </c>
      <c r="B1221" s="2">
        <v>103</v>
      </c>
      <c r="C1221" s="2">
        <v>14448589</v>
      </c>
      <c r="D1221" s="2" t="s">
        <v>607</v>
      </c>
      <c r="E1221" s="2" t="s">
        <v>40</v>
      </c>
      <c r="F1221" t="s">
        <v>59</v>
      </c>
      <c r="G1221" t="s">
        <v>17</v>
      </c>
      <c r="N1221" s="2" t="s">
        <v>18</v>
      </c>
      <c r="O1221" s="2" t="s">
        <v>19</v>
      </c>
      <c r="P1221" s="2">
        <v>40000000</v>
      </c>
      <c r="Q1221" s="2">
        <v>5.8</v>
      </c>
      <c r="R1221" s="2" t="s">
        <v>2817</v>
      </c>
      <c r="S1221" s="2"/>
      <c r="U1221" s="2" t="s">
        <v>2818</v>
      </c>
      <c r="V1221">
        <f ca="1" t="shared" si="37"/>
        <v>7.4</v>
      </c>
      <c r="AC1221" s="2"/>
      <c r="AD1221" t="str">
        <f>IFERROR(__xludf.DUMMYFUNCTION("""COMPUTED_VALUE"""),"The Warrior's Way ")</f>
        <v>The Warrior's Way </v>
      </c>
      <c r="AE1221">
        <f t="shared" si="38"/>
        <v>5664151</v>
      </c>
    </row>
    <row r="1222" customHeight="1" spans="1:31">
      <c r="A1222" s="2" t="s">
        <v>1335</v>
      </c>
      <c r="B1222" s="2">
        <v>99</v>
      </c>
      <c r="C1222" s="2">
        <v>14358033</v>
      </c>
      <c r="D1222" s="2" t="s">
        <v>2819</v>
      </c>
      <c r="E1222" s="2" t="s">
        <v>40</v>
      </c>
      <c r="F1222" t="s">
        <v>17</v>
      </c>
      <c r="G1222" t="s">
        <v>72</v>
      </c>
      <c r="N1222" s="2" t="s">
        <v>18</v>
      </c>
      <c r="O1222" s="2" t="s">
        <v>19</v>
      </c>
      <c r="P1222" s="2">
        <v>40000000</v>
      </c>
      <c r="Q1222" s="2">
        <v>5.9</v>
      </c>
      <c r="R1222" s="2" t="s">
        <v>2820</v>
      </c>
      <c r="S1222" s="2"/>
      <c r="U1222" s="2" t="s">
        <v>2821</v>
      </c>
      <c r="V1222">
        <f ca="1" t="shared" si="37"/>
        <v>6.5</v>
      </c>
      <c r="AC1222" s="2"/>
      <c r="AD1222" t="str">
        <f>IFERROR(__xludf.DUMMYFUNCTION("""COMPUTED_VALUE"""),"Micmacs ")</f>
        <v>Micmacs </v>
      </c>
      <c r="AE1222">
        <f t="shared" si="38"/>
        <v>1260812</v>
      </c>
    </row>
    <row r="1223" customHeight="1" spans="1:31">
      <c r="A1223" s="2" t="s">
        <v>1096</v>
      </c>
      <c r="B1223" s="2">
        <v>122</v>
      </c>
      <c r="C1223" s="2">
        <v>33201661</v>
      </c>
      <c r="D1223" s="2" t="s">
        <v>607</v>
      </c>
      <c r="E1223" s="2" t="s">
        <v>40</v>
      </c>
      <c r="F1223" t="s">
        <v>30</v>
      </c>
      <c r="G1223" t="s">
        <v>39</v>
      </c>
      <c r="N1223" s="2" t="s">
        <v>1125</v>
      </c>
      <c r="O1223" s="2" t="s">
        <v>707</v>
      </c>
      <c r="P1223" s="2">
        <v>77000000</v>
      </c>
      <c r="Q1223" s="2">
        <v>8.4</v>
      </c>
      <c r="R1223" s="2" t="s">
        <v>2822</v>
      </c>
      <c r="S1223" s="2"/>
      <c r="U1223" s="2" t="s">
        <v>2823</v>
      </c>
      <c r="V1223">
        <f ca="1" t="shared" si="37"/>
        <v>6.96666666666667</v>
      </c>
      <c r="AC1223" s="2"/>
      <c r="AD1223" t="str">
        <f>IFERROR(__xludf.DUMMYFUNCTION("""COMPUTED_VALUE"""),"8 Mile ")</f>
        <v>8 Mile </v>
      </c>
      <c r="AE1223">
        <f t="shared" si="38"/>
        <v>116723965</v>
      </c>
    </row>
    <row r="1224" customHeight="1" spans="1:31">
      <c r="A1224" s="2" t="s">
        <v>1565</v>
      </c>
      <c r="B1224" s="2">
        <v>91</v>
      </c>
      <c r="C1224" s="2">
        <v>14018364</v>
      </c>
      <c r="D1224" s="2" t="s">
        <v>2824</v>
      </c>
      <c r="E1224" s="2" t="s">
        <v>40</v>
      </c>
      <c r="F1224" t="s">
        <v>30</v>
      </c>
      <c r="G1224" t="s">
        <v>35</v>
      </c>
      <c r="N1224" s="2" t="s">
        <v>18</v>
      </c>
      <c r="O1224" s="2" t="s">
        <v>19</v>
      </c>
      <c r="P1224" s="2">
        <v>30000000</v>
      </c>
      <c r="Q1224" s="2">
        <v>4.8</v>
      </c>
      <c r="R1224" s="2" t="s">
        <v>2825</v>
      </c>
      <c r="S1224" s="2"/>
      <c r="U1224" s="2" t="s">
        <v>2826</v>
      </c>
      <c r="V1224">
        <f ca="1" t="shared" si="37"/>
        <v>6.15</v>
      </c>
      <c r="AC1224" s="2"/>
      <c r="AD1224" t="str">
        <f>IFERROR(__xludf.DUMMYFUNCTION("""COMPUTED_VALUE"""),"A Knight's Tale ")</f>
        <v>A Knight's Tale </v>
      </c>
      <c r="AE1224">
        <f t="shared" si="38"/>
        <v>56083822</v>
      </c>
    </row>
    <row r="1225" customHeight="1" spans="1:31">
      <c r="A1225" s="2" t="s">
        <v>1567</v>
      </c>
      <c r="B1225" s="2">
        <v>103</v>
      </c>
      <c r="C1225" s="2">
        <v>13395939</v>
      </c>
      <c r="D1225" s="2" t="s">
        <v>521</v>
      </c>
      <c r="E1225" s="2" t="s">
        <v>40</v>
      </c>
      <c r="F1225" t="s">
        <v>56</v>
      </c>
      <c r="G1225" t="s">
        <v>24</v>
      </c>
      <c r="N1225" s="2" t="s">
        <v>18</v>
      </c>
      <c r="O1225" s="2" t="s">
        <v>31</v>
      </c>
      <c r="P1225" s="2">
        <v>60000000</v>
      </c>
      <c r="Q1225" s="2">
        <v>6.2</v>
      </c>
      <c r="R1225" s="2" t="s">
        <v>2827</v>
      </c>
      <c r="S1225" s="2"/>
      <c r="U1225" s="2" t="s">
        <v>2828</v>
      </c>
      <c r="V1225">
        <f ca="1" t="shared" si="37"/>
        <v>6.8</v>
      </c>
      <c r="AC1225" s="2"/>
      <c r="AD1225" t="str">
        <f>IFERROR(__xludf.DUMMYFUNCTION("""COMPUTED_VALUE"""),"The Medallion ")</f>
        <v>The Medallion </v>
      </c>
      <c r="AE1225">
        <f t="shared" si="38"/>
        <v>22108869</v>
      </c>
    </row>
    <row r="1226" customHeight="1" spans="1:31">
      <c r="A1226" s="2" t="s">
        <v>1500</v>
      </c>
      <c r="B1226" s="2">
        <v>107</v>
      </c>
      <c r="C1226" s="2">
        <v>20113965</v>
      </c>
      <c r="D1226" s="2" t="s">
        <v>2624</v>
      </c>
      <c r="E1226" s="2" t="s">
        <v>59</v>
      </c>
      <c r="F1226" t="s">
        <v>40</v>
      </c>
      <c r="G1226" t="s">
        <v>40</v>
      </c>
      <c r="N1226" s="2" t="s">
        <v>18</v>
      </c>
      <c r="O1226" s="2" t="s">
        <v>19</v>
      </c>
      <c r="P1226" s="2">
        <v>40000000</v>
      </c>
      <c r="Q1226" s="2">
        <v>6.5</v>
      </c>
      <c r="R1226" s="2" t="s">
        <v>2829</v>
      </c>
      <c r="S1226" s="2"/>
      <c r="U1226" s="2" t="s">
        <v>2830</v>
      </c>
      <c r="V1226">
        <f ca="1" t="shared" si="37"/>
        <v>4.975</v>
      </c>
      <c r="AC1226" s="2"/>
      <c r="AD1226" t="str">
        <f>IFERROR(__xludf.DUMMYFUNCTION("""COMPUTED_VALUE"""),"The Sixth Sense ")</f>
        <v>The Sixth Sense </v>
      </c>
      <c r="AE1226">
        <f t="shared" si="38"/>
        <v>293501568</v>
      </c>
    </row>
    <row r="1227" customHeight="1" spans="1:31">
      <c r="A1227" s="2" t="s">
        <v>1570</v>
      </c>
      <c r="B1227" s="2">
        <v>106</v>
      </c>
      <c r="C1227" s="2">
        <v>13376506</v>
      </c>
      <c r="D1227" s="2" t="s">
        <v>30</v>
      </c>
      <c r="E1227" s="2" t="s">
        <v>30</v>
      </c>
      <c r="F1227" t="s">
        <v>17</v>
      </c>
      <c r="G1227" t="s">
        <v>17</v>
      </c>
      <c r="N1227" s="2" t="s">
        <v>18</v>
      </c>
      <c r="O1227" s="2" t="s">
        <v>19</v>
      </c>
      <c r="P1227" s="2">
        <v>40000000</v>
      </c>
      <c r="Q1227" s="2">
        <v>6.3</v>
      </c>
      <c r="R1227" s="2" t="s">
        <v>2831</v>
      </c>
      <c r="S1227" s="2"/>
      <c r="U1227" s="2" t="s">
        <v>2832</v>
      </c>
      <c r="V1227">
        <f ca="1" t="shared" si="37"/>
        <v>4.3</v>
      </c>
      <c r="AC1227" s="2"/>
      <c r="AD1227" t="str">
        <f>IFERROR(__xludf.DUMMYFUNCTION("""COMPUTED_VALUE"""),"Man on a Ledge ")</f>
        <v>Man on a Ledge </v>
      </c>
      <c r="AE1227">
        <f t="shared" si="38"/>
        <v>18600809</v>
      </c>
    </row>
    <row r="1228" customHeight="1" spans="1:31">
      <c r="A1228" s="2" t="s">
        <v>1572</v>
      </c>
      <c r="B1228" s="2">
        <v>101</v>
      </c>
      <c r="C1228" s="2">
        <v>13208023</v>
      </c>
      <c r="D1228" s="2" t="s">
        <v>2833</v>
      </c>
      <c r="E1228" s="2" t="s">
        <v>56</v>
      </c>
      <c r="F1228" t="s">
        <v>30</v>
      </c>
      <c r="G1228" t="s">
        <v>83</v>
      </c>
      <c r="N1228" s="2" t="s">
        <v>18</v>
      </c>
      <c r="O1228" s="2" t="s">
        <v>31</v>
      </c>
      <c r="P1228" s="2">
        <v>42000000</v>
      </c>
      <c r="Q1228" s="2">
        <v>3.3</v>
      </c>
      <c r="R1228" s="2" t="s">
        <v>2834</v>
      </c>
      <c r="S1228" s="2"/>
      <c r="U1228" s="2" t="s">
        <v>2835</v>
      </c>
      <c r="V1228">
        <f ca="1" t="shared" si="37"/>
        <v>6.2</v>
      </c>
      <c r="AC1228" s="2"/>
      <c r="AD1228" t="str">
        <f>IFERROR(__xludf.DUMMYFUNCTION("""COMPUTED_VALUE"""),"The Big Year ")</f>
        <v>The Big Year </v>
      </c>
      <c r="AE1228">
        <f t="shared" si="38"/>
        <v>7204038</v>
      </c>
    </row>
    <row r="1229" customHeight="1" spans="1:31">
      <c r="A1229" s="2" t="s">
        <v>619</v>
      </c>
      <c r="B1229" s="2">
        <v>109</v>
      </c>
      <c r="C1229" s="2">
        <v>13838130</v>
      </c>
      <c r="D1229" s="2" t="s">
        <v>715</v>
      </c>
      <c r="E1229" s="2" t="s">
        <v>12</v>
      </c>
      <c r="F1229" t="s">
        <v>24</v>
      </c>
      <c r="G1229" t="s">
        <v>15</v>
      </c>
      <c r="N1229" s="2" t="s">
        <v>18</v>
      </c>
      <c r="O1229" s="2" t="s">
        <v>19</v>
      </c>
      <c r="P1229" s="2">
        <v>40000000</v>
      </c>
      <c r="Q1229" s="2">
        <v>5.9</v>
      </c>
      <c r="R1229" s="2" t="s">
        <v>2836</v>
      </c>
      <c r="S1229" s="2"/>
      <c r="U1229" s="2" t="s">
        <v>2837</v>
      </c>
      <c r="V1229">
        <f ca="1" t="shared" si="37"/>
        <v>7.4</v>
      </c>
      <c r="AC1229" s="2"/>
      <c r="AD1229" t="str">
        <f>IFERROR(__xludf.DUMMYFUNCTION("""COMPUTED_VALUE"""),"The Karate Kid ")</f>
        <v>The Karate Kid </v>
      </c>
      <c r="AE1229">
        <f t="shared" si="38"/>
        <v>90799874</v>
      </c>
    </row>
    <row r="1230" customHeight="1" spans="1:31">
      <c r="A1230" s="2" t="s">
        <v>1358</v>
      </c>
      <c r="B1230" s="2">
        <v>89</v>
      </c>
      <c r="C1230" s="2">
        <v>9652000</v>
      </c>
      <c r="D1230" s="2" t="s">
        <v>40</v>
      </c>
      <c r="E1230" s="2" t="s">
        <v>40</v>
      </c>
      <c r="F1230" t="s">
        <v>30</v>
      </c>
      <c r="G1230" t="s">
        <v>15</v>
      </c>
      <c r="N1230" s="2" t="s">
        <v>18</v>
      </c>
      <c r="O1230" s="2" t="s">
        <v>19</v>
      </c>
      <c r="P1230" s="2">
        <v>40000000</v>
      </c>
      <c r="Q1230" s="2">
        <v>5.8</v>
      </c>
      <c r="R1230" s="2" t="s">
        <v>2838</v>
      </c>
      <c r="S1230" s="2"/>
      <c r="U1230" s="2" t="s">
        <v>2839</v>
      </c>
      <c r="V1230">
        <f ca="1" t="shared" si="37"/>
        <v>7.8</v>
      </c>
      <c r="AC1230" s="2"/>
      <c r="AD1230" t="str">
        <f>IFERROR(__xludf.DUMMYFUNCTION("""COMPUTED_VALUE"""),"American Hustle ")</f>
        <v>American Hustle </v>
      </c>
      <c r="AE1230">
        <f t="shared" si="38"/>
        <v>150117669</v>
      </c>
    </row>
    <row r="1231" customHeight="1" spans="1:31">
      <c r="A1231" s="2" t="s">
        <v>1575</v>
      </c>
      <c r="B1231" s="2">
        <v>119</v>
      </c>
      <c r="C1231" s="2">
        <v>7000000</v>
      </c>
      <c r="D1231" s="2" t="s">
        <v>276</v>
      </c>
      <c r="E1231" s="2" t="s">
        <v>12</v>
      </c>
      <c r="F1231" t="s">
        <v>83</v>
      </c>
      <c r="G1231" t="s">
        <v>24</v>
      </c>
      <c r="N1231" s="2" t="s">
        <v>18</v>
      </c>
      <c r="O1231" s="2" t="s">
        <v>31</v>
      </c>
      <c r="P1231" s="2">
        <v>36000000</v>
      </c>
      <c r="Q1231" s="2">
        <v>4.7</v>
      </c>
      <c r="R1231" s="2" t="s">
        <v>2840</v>
      </c>
      <c r="S1231" s="2"/>
      <c r="U1231" s="2" t="s">
        <v>2841</v>
      </c>
      <c r="V1231">
        <f ca="1" t="shared" si="37"/>
        <v>7.4</v>
      </c>
      <c r="AC1231" s="2"/>
      <c r="AD1231" t="str">
        <f>IFERROR(__xludf.DUMMYFUNCTION("""COMPUTED_VALUE"""),"The Proposal ")</f>
        <v>The Proposal </v>
      </c>
      <c r="AE1231">
        <f t="shared" si="38"/>
        <v>163946945</v>
      </c>
    </row>
    <row r="1232" customHeight="1" spans="1:31">
      <c r="A1232" s="2" t="s">
        <v>1577</v>
      </c>
      <c r="B1232" s="2">
        <v>83</v>
      </c>
      <c r="C1232" s="2">
        <v>10431220</v>
      </c>
      <c r="D1232" s="2" t="s">
        <v>256</v>
      </c>
      <c r="E1232" s="2" t="s">
        <v>12</v>
      </c>
      <c r="F1232" t="s">
        <v>30</v>
      </c>
      <c r="G1232" t="s">
        <v>24</v>
      </c>
      <c r="N1232" s="2" t="s">
        <v>18</v>
      </c>
      <c r="O1232" s="2" t="s">
        <v>19</v>
      </c>
      <c r="P1232" s="2">
        <v>24000000</v>
      </c>
      <c r="Q1232" s="2">
        <v>4.1</v>
      </c>
      <c r="R1232" s="2" t="s">
        <v>2842</v>
      </c>
      <c r="S1232" s="2"/>
      <c r="U1232" s="2" t="s">
        <v>2843</v>
      </c>
      <c r="V1232">
        <f ca="1" t="shared" si="37"/>
        <v>7.7</v>
      </c>
      <c r="AC1232" s="2"/>
      <c r="AD1232" t="str">
        <f>IFERROR(__xludf.DUMMYFUNCTION("""COMPUTED_VALUE"""),"Double Jeopardy ")</f>
        <v>Double Jeopardy </v>
      </c>
      <c r="AE1232">
        <f t="shared" si="38"/>
        <v>116735126</v>
      </c>
    </row>
    <row r="1233" customHeight="1" spans="1:31">
      <c r="A1233" s="2" t="s">
        <v>1580</v>
      </c>
      <c r="B1233" s="2">
        <v>108</v>
      </c>
      <c r="C1233" s="2">
        <v>10326062</v>
      </c>
      <c r="D1233" s="2" t="s">
        <v>2844</v>
      </c>
      <c r="E1233" s="2" t="s">
        <v>12</v>
      </c>
      <c r="F1233" t="s">
        <v>28</v>
      </c>
      <c r="G1233" t="s">
        <v>17</v>
      </c>
      <c r="N1233" s="2" t="s">
        <v>18</v>
      </c>
      <c r="O1233" s="2" t="s">
        <v>293</v>
      </c>
      <c r="P1233" s="2">
        <v>33000000</v>
      </c>
      <c r="Q1233" s="2">
        <v>6.8</v>
      </c>
      <c r="R1233" s="2" t="s">
        <v>2845</v>
      </c>
      <c r="S1233" s="2"/>
      <c r="U1233" s="2" t="s">
        <v>2846</v>
      </c>
      <c r="V1233">
        <f ca="1" t="shared" si="37"/>
        <v>5.3</v>
      </c>
      <c r="AC1233" s="2"/>
      <c r="AD1233" t="str">
        <f>IFERROR(__xludf.DUMMYFUNCTION("""COMPUTED_VALUE"""),"Back to the Future Part II ")</f>
        <v>Back to the Future Part II </v>
      </c>
      <c r="AE1233">
        <f t="shared" si="38"/>
        <v>118499892</v>
      </c>
    </row>
    <row r="1234" customHeight="1" spans="1:31">
      <c r="A1234" s="2" t="s">
        <v>1286</v>
      </c>
      <c r="B1234" s="2">
        <v>102</v>
      </c>
      <c r="C1234" s="2">
        <v>6114237</v>
      </c>
      <c r="D1234" s="2" t="s">
        <v>840</v>
      </c>
      <c r="E1234" s="2" t="s">
        <v>30</v>
      </c>
      <c r="F1234" t="s">
        <v>15</v>
      </c>
      <c r="G1234" t="s">
        <v>17</v>
      </c>
      <c r="N1234" s="2" t="s">
        <v>18</v>
      </c>
      <c r="O1234" s="2" t="s">
        <v>19</v>
      </c>
      <c r="P1234" s="2">
        <v>40000000</v>
      </c>
      <c r="Q1234" s="2">
        <v>6.2</v>
      </c>
      <c r="R1234" s="2" t="s">
        <v>2847</v>
      </c>
      <c r="S1234" s="2"/>
      <c r="U1234" s="2" t="s">
        <v>2848</v>
      </c>
      <c r="V1234">
        <f ca="1" t="shared" si="37"/>
        <v>7.8</v>
      </c>
      <c r="AC1234" s="2"/>
      <c r="AD1234" t="str">
        <f>IFERROR(__xludf.DUMMYFUNCTION("""COMPUTED_VALUE"""),"Lucy ")</f>
        <v>Lucy </v>
      </c>
      <c r="AE1234">
        <f t="shared" si="38"/>
        <v>126546736</v>
      </c>
    </row>
    <row r="1235" customHeight="1" spans="1:31">
      <c r="A1235" s="2" t="s">
        <v>1540</v>
      </c>
      <c r="B1235" s="2">
        <v>93</v>
      </c>
      <c r="C1235" s="2">
        <v>4835968</v>
      </c>
      <c r="D1235" s="2" t="s">
        <v>27</v>
      </c>
      <c r="E1235" s="2" t="s">
        <v>12</v>
      </c>
      <c r="F1235" t="s">
        <v>28</v>
      </c>
      <c r="G1235" t="s">
        <v>17</v>
      </c>
      <c r="N1235" s="2" t="s">
        <v>18</v>
      </c>
      <c r="O1235" s="2" t="s">
        <v>31</v>
      </c>
      <c r="P1235" s="2">
        <v>40000000</v>
      </c>
      <c r="Q1235" s="2">
        <v>4.5</v>
      </c>
      <c r="R1235" s="2" t="s">
        <v>2849</v>
      </c>
      <c r="S1235" s="2"/>
      <c r="U1235" s="2" t="s">
        <v>2850</v>
      </c>
      <c r="V1235">
        <f ca="1" t="shared" si="37"/>
        <v>6.4</v>
      </c>
      <c r="AC1235" s="2"/>
      <c r="AD1235" t="str">
        <f>IFERROR(__xludf.DUMMYFUNCTION("""COMPUTED_VALUE"""),"Fifty Shades of Grey ")</f>
        <v>Fifty Shades of Grey </v>
      </c>
      <c r="AE1235">
        <f t="shared" si="38"/>
        <v>166147756</v>
      </c>
    </row>
    <row r="1236" customHeight="1" spans="1:31">
      <c r="A1236" s="2" t="s">
        <v>1583</v>
      </c>
      <c r="B1236" s="2">
        <v>84</v>
      </c>
      <c r="C1236" s="2">
        <v>4777007</v>
      </c>
      <c r="D1236" s="2" t="s">
        <v>2851</v>
      </c>
      <c r="E1236" s="2" t="s">
        <v>40</v>
      </c>
      <c r="F1236" t="s">
        <v>13</v>
      </c>
      <c r="G1236" t="s">
        <v>15</v>
      </c>
      <c r="N1236" s="2" t="s">
        <v>18</v>
      </c>
      <c r="O1236" s="2" t="s">
        <v>707</v>
      </c>
      <c r="P1236" s="2">
        <v>40000000</v>
      </c>
      <c r="Q1236" s="2">
        <v>5.8</v>
      </c>
      <c r="R1236" s="2" t="s">
        <v>2852</v>
      </c>
      <c r="S1236" s="2"/>
      <c r="U1236" s="2" t="s">
        <v>2853</v>
      </c>
      <c r="V1236">
        <f ca="1" t="shared" si="37"/>
        <v>7</v>
      </c>
      <c r="AC1236" s="2"/>
      <c r="AD1236" t="str">
        <f>IFERROR(__xludf.DUMMYFUNCTION("""COMPUTED_VALUE"""),"Spy Kids 3-D: Game Over ")</f>
        <v>Spy Kids 3-D: Game Over </v>
      </c>
      <c r="AE1236">
        <f t="shared" si="38"/>
        <v>111760547</v>
      </c>
    </row>
    <row r="1237" customHeight="1" spans="1:31">
      <c r="A1237" s="2" t="s">
        <v>1322</v>
      </c>
      <c r="B1237" s="2">
        <v>107</v>
      </c>
      <c r="C1237" s="2">
        <v>3675072</v>
      </c>
      <c r="D1237" s="2" t="s">
        <v>439</v>
      </c>
      <c r="E1237" s="2" t="s">
        <v>13</v>
      </c>
      <c r="F1237" t="s">
        <v>23</v>
      </c>
      <c r="G1237" t="s">
        <v>30</v>
      </c>
      <c r="N1237" s="2" t="s">
        <v>18</v>
      </c>
      <c r="O1237" s="2" t="s">
        <v>31</v>
      </c>
      <c r="P1237" s="2">
        <v>26000000</v>
      </c>
      <c r="Q1237" s="2">
        <v>7.3</v>
      </c>
      <c r="R1237" s="2" t="s">
        <v>2854</v>
      </c>
      <c r="S1237" s="2"/>
      <c r="U1237" s="2" t="s">
        <v>2855</v>
      </c>
      <c r="V1237">
        <f ca="1" t="shared" si="37"/>
        <v>5.7</v>
      </c>
      <c r="AC1237" s="2"/>
      <c r="AD1237" t="str">
        <f>IFERROR(__xludf.DUMMYFUNCTION("""COMPUTED_VALUE"""),"A Time to Kill ")</f>
        <v>A Time to Kill </v>
      </c>
      <c r="AE1237">
        <f t="shared" si="38"/>
        <v>108706016</v>
      </c>
    </row>
    <row r="1238" customHeight="1" spans="1:31">
      <c r="A1238" s="2" t="s">
        <v>1070</v>
      </c>
      <c r="B1238" s="2">
        <v>91</v>
      </c>
      <c r="C1238" s="2">
        <v>18438149</v>
      </c>
      <c r="D1238" s="2" t="s">
        <v>975</v>
      </c>
      <c r="E1238" s="2" t="s">
        <v>40</v>
      </c>
      <c r="F1238" t="s">
        <v>30</v>
      </c>
      <c r="G1238" t="s">
        <v>24</v>
      </c>
      <c r="N1238" s="2" t="s">
        <v>18</v>
      </c>
      <c r="O1238" s="2" t="s">
        <v>19</v>
      </c>
      <c r="P1238" s="2">
        <v>40000000</v>
      </c>
      <c r="Q1238" s="2">
        <v>5.9</v>
      </c>
      <c r="R1238" s="2" t="s">
        <v>2856</v>
      </c>
      <c r="S1238" s="2"/>
      <c r="U1238" s="2" t="s">
        <v>2857</v>
      </c>
      <c r="V1238">
        <f ca="1" t="shared" si="37"/>
        <v>5.9</v>
      </c>
      <c r="AC1238" s="2"/>
      <c r="AD1238" t="str">
        <f>IFERROR(__xludf.DUMMYFUNCTION("""COMPUTED_VALUE"""),"Cheaper by the Dozen ")</f>
        <v>Cheaper by the Dozen </v>
      </c>
      <c r="AE1238">
        <f t="shared" si="38"/>
        <v>138614450</v>
      </c>
    </row>
    <row r="1239" customHeight="1" spans="1:31">
      <c r="A1239" s="2" t="s">
        <v>1585</v>
      </c>
      <c r="B1239" s="2">
        <v>94</v>
      </c>
      <c r="C1239" s="2">
        <v>511920</v>
      </c>
      <c r="D1239" s="2" t="s">
        <v>2858</v>
      </c>
      <c r="E1239" s="2" t="s">
        <v>13</v>
      </c>
      <c r="F1239" t="s">
        <v>13</v>
      </c>
      <c r="G1239" t="s">
        <v>56</v>
      </c>
      <c r="N1239" s="2" t="s">
        <v>18</v>
      </c>
      <c r="O1239" s="2" t="s">
        <v>19</v>
      </c>
      <c r="P1239" s="2">
        <v>40000000</v>
      </c>
      <c r="Q1239" s="2">
        <v>4.4</v>
      </c>
      <c r="R1239" s="2" t="s">
        <v>2859</v>
      </c>
      <c r="S1239" s="2"/>
      <c r="U1239" s="2" t="s">
        <v>2860</v>
      </c>
      <c r="V1239">
        <f ca="1" t="shared" si="37"/>
        <v>4.8</v>
      </c>
      <c r="AC1239" s="2"/>
      <c r="AD1239" t="str">
        <f>IFERROR(__xludf.DUMMYFUNCTION("""COMPUTED_VALUE"""),"Lone Survivor ")</f>
        <v>Lone Survivor </v>
      </c>
      <c r="AE1239">
        <f t="shared" si="38"/>
        <v>125069575</v>
      </c>
    </row>
    <row r="1240" customHeight="1" spans="1:31">
      <c r="A1240" s="2" t="s">
        <v>1244</v>
      </c>
      <c r="B1240" s="2">
        <v>115</v>
      </c>
      <c r="C1240" s="2">
        <v>10640645</v>
      </c>
      <c r="D1240" s="2" t="s">
        <v>915</v>
      </c>
      <c r="E1240" s="2" t="s">
        <v>12</v>
      </c>
      <c r="F1240" t="s">
        <v>39</v>
      </c>
      <c r="G1240" t="s">
        <v>72</v>
      </c>
      <c r="N1240" s="2" t="s">
        <v>18</v>
      </c>
      <c r="O1240" s="2" t="s">
        <v>19</v>
      </c>
      <c r="P1240" s="2">
        <v>40000000</v>
      </c>
      <c r="Q1240" s="2">
        <v>5.8</v>
      </c>
      <c r="R1240" s="2" t="s">
        <v>2861</v>
      </c>
      <c r="S1240" s="2"/>
      <c r="U1240" s="2" t="s">
        <v>2862</v>
      </c>
      <c r="V1240">
        <f ca="1" t="shared" si="37"/>
        <v>6.43333333333333</v>
      </c>
      <c r="AC1240" s="2"/>
      <c r="AD1240" t="str">
        <f>IFERROR(__xludf.DUMMYFUNCTION("""COMPUTED_VALUE"""),"A League of Their Own ")</f>
        <v>A League of Their Own </v>
      </c>
      <c r="AE1240">
        <f t="shared" si="38"/>
        <v>107458657</v>
      </c>
    </row>
    <row r="1241" customHeight="1" spans="1:31">
      <c r="A1241" s="2" t="s">
        <v>1587</v>
      </c>
      <c r="B1241" s="2">
        <v>93</v>
      </c>
      <c r="C1241" s="2">
        <v>652526</v>
      </c>
      <c r="D1241" s="2" t="s">
        <v>2863</v>
      </c>
      <c r="E1241" s="2" t="s">
        <v>12</v>
      </c>
      <c r="F1241" t="s">
        <v>30</v>
      </c>
      <c r="G1241" t="s">
        <v>17</v>
      </c>
      <c r="N1241" s="2" t="s">
        <v>18</v>
      </c>
      <c r="O1241" s="2" t="s">
        <v>293</v>
      </c>
      <c r="P1241" s="2">
        <v>40000000</v>
      </c>
      <c r="Q1241" s="2">
        <v>5.1</v>
      </c>
      <c r="R1241" s="2" t="s">
        <v>2864</v>
      </c>
      <c r="S1241" s="2"/>
      <c r="U1241" s="2" t="s">
        <v>2865</v>
      </c>
      <c r="V1241">
        <f ca="1" t="shared" si="37"/>
        <v>7.06666666666667</v>
      </c>
      <c r="AC1241" s="2"/>
      <c r="AD1241" t="str">
        <f>IFERROR(__xludf.DUMMYFUNCTION("""COMPUTED_VALUE"""),"The Conjuring 2 ")</f>
        <v>The Conjuring 2 </v>
      </c>
      <c r="AE1241">
        <f t="shared" si="38"/>
        <v>102310041</v>
      </c>
    </row>
    <row r="1242" customHeight="1" spans="1:31">
      <c r="A1242" s="2" t="s">
        <v>798</v>
      </c>
      <c r="B1242" s="2">
        <v>105</v>
      </c>
      <c r="C1242" s="2">
        <v>80050171</v>
      </c>
      <c r="D1242" s="2" t="s">
        <v>712</v>
      </c>
      <c r="E1242" s="2" t="s">
        <v>30</v>
      </c>
      <c r="F1242" t="s">
        <v>30</v>
      </c>
      <c r="G1242" t="s">
        <v>28</v>
      </c>
      <c r="N1242" s="2" t="s">
        <v>18</v>
      </c>
      <c r="O1242" s="2" t="s">
        <v>19</v>
      </c>
      <c r="P1242" s="2">
        <v>20000000</v>
      </c>
      <c r="Q1242" s="2">
        <v>6.9</v>
      </c>
      <c r="R1242" s="2" t="s">
        <v>2866</v>
      </c>
      <c r="S1242" s="2"/>
      <c r="U1242" s="2" t="s">
        <v>2867</v>
      </c>
      <c r="V1242">
        <f ca="1" t="shared" si="37"/>
        <v>7</v>
      </c>
      <c r="AC1242" s="2"/>
      <c r="AD1242" t="str">
        <f>IFERROR(__xludf.DUMMYFUNCTION("""COMPUTED_VALUE"""),"The Social Network ")</f>
        <v>The Social Network </v>
      </c>
      <c r="AE1242">
        <f t="shared" si="38"/>
        <v>96917777</v>
      </c>
    </row>
    <row r="1243" customHeight="1" spans="1:31">
      <c r="A1243" s="2" t="s">
        <v>1142</v>
      </c>
      <c r="B1243" s="2">
        <v>107</v>
      </c>
      <c r="C1243" s="2">
        <v>7564000</v>
      </c>
      <c r="D1243" s="2" t="s">
        <v>2186</v>
      </c>
      <c r="E1243" s="2" t="s">
        <v>40</v>
      </c>
      <c r="F1243" t="s">
        <v>30</v>
      </c>
      <c r="G1243" t="s">
        <v>24</v>
      </c>
      <c r="N1243" s="2" t="s">
        <v>18</v>
      </c>
      <c r="O1243" s="2" t="s">
        <v>19</v>
      </c>
      <c r="P1243" s="2">
        <v>20000000</v>
      </c>
      <c r="Q1243" s="2">
        <v>6.2</v>
      </c>
      <c r="R1243" s="2" t="s">
        <v>2868</v>
      </c>
      <c r="S1243" s="2"/>
      <c r="U1243" s="2" t="s">
        <v>2869</v>
      </c>
      <c r="V1243">
        <f ca="1" t="shared" si="37"/>
        <v>7</v>
      </c>
      <c r="AC1243" s="2"/>
      <c r="AD1243" t="str">
        <f>IFERROR(__xludf.DUMMYFUNCTION("""COMPUTED_VALUE"""),"He's Just Not That Into You ")</f>
        <v>He's Just Not That Into You </v>
      </c>
      <c r="AE1243">
        <f t="shared" si="38"/>
        <v>93952147</v>
      </c>
    </row>
    <row r="1244" customHeight="1" spans="1:31">
      <c r="A1244" s="2" t="s">
        <v>1589</v>
      </c>
      <c r="B1244" s="2">
        <v>101</v>
      </c>
      <c r="C1244" s="2">
        <v>876671</v>
      </c>
      <c r="D1244" s="2" t="s">
        <v>2870</v>
      </c>
      <c r="E1244" s="2" t="s">
        <v>13</v>
      </c>
      <c r="F1244" t="s">
        <v>40</v>
      </c>
      <c r="G1244" t="s">
        <v>15</v>
      </c>
      <c r="N1244" s="2" t="s">
        <v>18</v>
      </c>
      <c r="O1244" s="2" t="s">
        <v>19</v>
      </c>
      <c r="P1244" s="2">
        <v>25000000</v>
      </c>
      <c r="Q1244" s="2">
        <v>6.9</v>
      </c>
      <c r="R1244" s="2" t="s">
        <v>2871</v>
      </c>
      <c r="S1244" s="2"/>
      <c r="U1244" s="2" t="s">
        <v>2872</v>
      </c>
      <c r="V1244">
        <f ca="1" t="shared" si="37"/>
        <v>7.7</v>
      </c>
      <c r="AC1244" s="2"/>
      <c r="AD1244" t="str">
        <f>IFERROR(__xludf.DUMMYFUNCTION("""COMPUTED_VALUE"""),"Scary Movie 4 ")</f>
        <v>Scary Movie 4 </v>
      </c>
      <c r="AE1244">
        <f t="shared" si="38"/>
        <v>90703656</v>
      </c>
    </row>
    <row r="1245" customHeight="1" spans="1:31">
      <c r="A1245" s="2" t="s">
        <v>1117</v>
      </c>
      <c r="B1245" s="2">
        <v>111</v>
      </c>
      <c r="C1245" s="2">
        <v>2869369</v>
      </c>
      <c r="D1245" s="2" t="s">
        <v>1086</v>
      </c>
      <c r="E1245" s="2" t="s">
        <v>40</v>
      </c>
      <c r="F1245" t="s">
        <v>59</v>
      </c>
      <c r="G1245" t="s">
        <v>40</v>
      </c>
      <c r="N1245" s="2" t="s">
        <v>18</v>
      </c>
      <c r="O1245" s="2" t="s">
        <v>31</v>
      </c>
      <c r="P1245" s="2">
        <v>30000000</v>
      </c>
      <c r="Q1245" s="2">
        <v>7.3</v>
      </c>
      <c r="R1245" s="2" t="s">
        <v>2873</v>
      </c>
      <c r="S1245" s="2"/>
      <c r="U1245" s="2" t="s">
        <v>2874</v>
      </c>
      <c r="V1245">
        <f ca="1" t="shared" si="37"/>
        <v>7.1</v>
      </c>
      <c r="AC1245" s="2"/>
      <c r="AD1245" t="str">
        <f>IFERROR(__xludf.DUMMYFUNCTION("""COMPUTED_VALUE"""),"Scream 3 ")</f>
        <v>Scream 3 </v>
      </c>
      <c r="AE1245">
        <f t="shared" si="38"/>
        <v>89137960</v>
      </c>
    </row>
    <row r="1246" customHeight="1" spans="1:31">
      <c r="A1246" s="2" t="s">
        <v>1592</v>
      </c>
      <c r="B1246" s="2">
        <v>113</v>
      </c>
      <c r="C1246" s="2">
        <v>128978</v>
      </c>
      <c r="D1246" s="2" t="s">
        <v>288</v>
      </c>
      <c r="E1246" s="2" t="s">
        <v>12</v>
      </c>
      <c r="F1246" t="s">
        <v>40</v>
      </c>
      <c r="G1246" t="s">
        <v>24</v>
      </c>
      <c r="N1246" s="2" t="s">
        <v>722</v>
      </c>
      <c r="O1246" s="2" t="s">
        <v>1554</v>
      </c>
      <c r="P1246" s="2">
        <v>40000000</v>
      </c>
      <c r="Q1246" s="2">
        <v>7.1</v>
      </c>
      <c r="R1246" s="2" t="s">
        <v>2875</v>
      </c>
      <c r="S1246" s="2"/>
      <c r="U1246" s="2" t="s">
        <v>2876</v>
      </c>
      <c r="V1246">
        <f ca="1" t="shared" si="37"/>
        <v>6.8</v>
      </c>
      <c r="AC1246" s="2"/>
      <c r="AD1246" t="str">
        <f>IFERROR(__xludf.DUMMYFUNCTION("""COMPUTED_VALUE"""),"Back to the Future Part III ")</f>
        <v>Back to the Future Part III </v>
      </c>
      <c r="AE1246">
        <f t="shared" si="38"/>
        <v>87666511</v>
      </c>
    </row>
    <row r="1247" customHeight="1" spans="1:31">
      <c r="A1247" s="2" t="s">
        <v>692</v>
      </c>
      <c r="B1247" s="2">
        <v>112</v>
      </c>
      <c r="C1247" s="2">
        <v>77231</v>
      </c>
      <c r="D1247" s="2" t="s">
        <v>731</v>
      </c>
      <c r="E1247" s="2" t="s">
        <v>30</v>
      </c>
      <c r="F1247" t="s">
        <v>17</v>
      </c>
      <c r="G1247" t="s">
        <v>24</v>
      </c>
      <c r="N1247" s="2" t="s">
        <v>2877</v>
      </c>
      <c r="O1247" s="2" t="s">
        <v>707</v>
      </c>
      <c r="P1247" s="2">
        <v>25000000</v>
      </c>
      <c r="Q1247" s="2">
        <v>6</v>
      </c>
      <c r="R1247" s="2" t="s">
        <v>2878</v>
      </c>
      <c r="S1247" s="2"/>
      <c r="U1247" s="2" t="s">
        <v>2879</v>
      </c>
      <c r="V1247">
        <f ca="1" t="shared" si="37"/>
        <v>6.76666666666667</v>
      </c>
      <c r="AC1247" s="2"/>
      <c r="AD1247" t="str">
        <f>IFERROR(__xludf.DUMMYFUNCTION("""COMPUTED_VALUE"""),"Get Hard ")</f>
        <v>Get Hard </v>
      </c>
      <c r="AE1247">
        <f t="shared" si="38"/>
        <v>90353657</v>
      </c>
    </row>
    <row r="1248" customHeight="1" spans="1:31">
      <c r="A1248" s="2" t="s">
        <v>1595</v>
      </c>
      <c r="B1248" s="2">
        <v>126</v>
      </c>
      <c r="C1248" s="2">
        <v>4563029</v>
      </c>
      <c r="D1248" s="2" t="s">
        <v>511</v>
      </c>
      <c r="E1248" s="2" t="s">
        <v>12</v>
      </c>
      <c r="F1248" t="s">
        <v>23</v>
      </c>
      <c r="G1248" t="s">
        <v>17</v>
      </c>
      <c r="N1248" s="2" t="s">
        <v>18</v>
      </c>
      <c r="O1248" s="2" t="s">
        <v>2880</v>
      </c>
      <c r="P1248" s="2">
        <v>39200000</v>
      </c>
      <c r="Q1248" s="2">
        <v>7</v>
      </c>
      <c r="R1248" s="2" t="s">
        <v>2881</v>
      </c>
      <c r="S1248" s="2"/>
      <c r="U1248" s="2" t="s">
        <v>2882</v>
      </c>
      <c r="V1248">
        <f ca="1" t="shared" si="37"/>
        <v>7.3</v>
      </c>
      <c r="AC1248" s="2"/>
      <c r="AD1248" t="str">
        <f>IFERROR(__xludf.DUMMYFUNCTION("""COMPUTED_VALUE"""),"Bram Stoker's Dracula ")</f>
        <v>Bram Stoker's Dracula </v>
      </c>
      <c r="AE1248">
        <f t="shared" si="38"/>
        <v>82522635</v>
      </c>
    </row>
    <row r="1249" customHeight="1" spans="1:31">
      <c r="A1249" s="2" t="s">
        <v>394</v>
      </c>
      <c r="B1249" s="2">
        <v>98</v>
      </c>
      <c r="C1249" s="2">
        <v>50693162</v>
      </c>
      <c r="D1249" s="2" t="s">
        <v>2883</v>
      </c>
      <c r="E1249" s="2" t="s">
        <v>12</v>
      </c>
      <c r="F1249" t="s">
        <v>14</v>
      </c>
      <c r="G1249" t="s">
        <v>55</v>
      </c>
      <c r="N1249" s="2" t="s">
        <v>18</v>
      </c>
      <c r="O1249" s="2" t="s">
        <v>19</v>
      </c>
      <c r="P1249" s="2">
        <v>23000000</v>
      </c>
      <c r="Q1249" s="2">
        <v>7.6</v>
      </c>
      <c r="R1249" s="2" t="s">
        <v>2884</v>
      </c>
      <c r="S1249" s="2"/>
      <c r="U1249" s="2" t="s">
        <v>2885</v>
      </c>
      <c r="V1249">
        <f ca="1" t="shared" si="37"/>
        <v>6.8</v>
      </c>
      <c r="AC1249" s="2"/>
      <c r="AD1249" t="str">
        <f>IFERROR(__xludf.DUMMYFUNCTION("""COMPUTED_VALUE"""),"Julie &amp; Julia ")</f>
        <v>Julie &amp; Julia </v>
      </c>
      <c r="AE1249">
        <f t="shared" si="38"/>
        <v>94125303</v>
      </c>
    </row>
    <row r="1250" customHeight="1" spans="1:31">
      <c r="A1250" s="2" t="s">
        <v>1597</v>
      </c>
      <c r="B1250" s="2">
        <v>159</v>
      </c>
      <c r="C1250" s="2">
        <v>6498000</v>
      </c>
      <c r="D1250" s="2" t="s">
        <v>2886</v>
      </c>
      <c r="E1250" s="2" t="s">
        <v>12</v>
      </c>
      <c r="F1250" t="s">
        <v>30</v>
      </c>
      <c r="G1250" t="s">
        <v>15</v>
      </c>
      <c r="N1250" s="2" t="s">
        <v>2887</v>
      </c>
      <c r="O1250" s="2" t="s">
        <v>2888</v>
      </c>
      <c r="P1250" s="2">
        <v>18026148</v>
      </c>
      <c r="Q1250" s="2">
        <v>8.4</v>
      </c>
      <c r="R1250" s="2" t="s">
        <v>2889</v>
      </c>
      <c r="S1250" s="2"/>
      <c r="U1250" s="2" t="s">
        <v>2890</v>
      </c>
      <c r="V1250">
        <f ca="1" t="shared" si="37"/>
        <v>6.4</v>
      </c>
      <c r="AC1250" s="2"/>
      <c r="AD1250" t="str">
        <f>IFERROR(__xludf.DUMMYFUNCTION("""COMPUTED_VALUE"""),"42 ")</f>
        <v>42 </v>
      </c>
      <c r="AE1250">
        <f t="shared" si="38"/>
        <v>95001215</v>
      </c>
    </row>
    <row r="1251" customHeight="1" spans="1:31">
      <c r="A1251" s="2" t="s">
        <v>468</v>
      </c>
      <c r="B1251" s="2">
        <v>107</v>
      </c>
      <c r="C1251" s="2">
        <v>63411478</v>
      </c>
      <c r="D1251" s="2" t="s">
        <v>2891</v>
      </c>
      <c r="E1251" s="2" t="s">
        <v>30</v>
      </c>
      <c r="F1251" t="s">
        <v>40</v>
      </c>
      <c r="G1251" t="s">
        <v>24</v>
      </c>
      <c r="N1251" s="2" t="s">
        <v>18</v>
      </c>
      <c r="O1251" s="2" t="s">
        <v>19</v>
      </c>
      <c r="P1251" s="2">
        <v>39000000</v>
      </c>
      <c r="Q1251" s="2">
        <v>7.1</v>
      </c>
      <c r="R1251" s="2" t="s">
        <v>2892</v>
      </c>
      <c r="S1251" s="2"/>
      <c r="U1251" s="2" t="s">
        <v>2893</v>
      </c>
      <c r="V1251">
        <f ca="1" t="shared" si="37"/>
        <v>6.5</v>
      </c>
      <c r="AC1251" s="2"/>
      <c r="AD1251" t="str">
        <f>IFERROR(__xludf.DUMMYFUNCTION("""COMPUTED_VALUE"""),"The Talented Mr. Ripley ")</f>
        <v>The Talented Mr. Ripley </v>
      </c>
      <c r="AE1251">
        <f t="shared" si="38"/>
        <v>81291996</v>
      </c>
    </row>
    <row r="1252" customHeight="1" spans="1:31">
      <c r="A1252" s="2" t="s">
        <v>117</v>
      </c>
      <c r="B1252" s="2">
        <v>87</v>
      </c>
      <c r="C1252" s="2">
        <v>35287788</v>
      </c>
      <c r="D1252" s="2" t="s">
        <v>2894</v>
      </c>
      <c r="E1252" s="2" t="s">
        <v>35</v>
      </c>
      <c r="F1252" t="s">
        <v>56</v>
      </c>
      <c r="G1252" t="s">
        <v>14</v>
      </c>
      <c r="N1252" s="2" t="s">
        <v>18</v>
      </c>
      <c r="O1252" s="2" t="s">
        <v>19</v>
      </c>
      <c r="P1252" s="2">
        <v>39000000</v>
      </c>
      <c r="Q1252" s="2">
        <v>7</v>
      </c>
      <c r="R1252" s="2" t="s">
        <v>2895</v>
      </c>
      <c r="S1252" s="2"/>
      <c r="U1252" s="2" t="s">
        <v>2896</v>
      </c>
      <c r="V1252">
        <f ca="1" t="shared" si="37"/>
        <v>4.6</v>
      </c>
      <c r="AC1252" s="2"/>
      <c r="AD1252" t="str">
        <f>IFERROR(__xludf.DUMMYFUNCTION("""COMPUTED_VALUE"""),"Dumb and Dumber To ")</f>
        <v>Dumb and Dumber To </v>
      </c>
      <c r="AE1252">
        <f t="shared" si="38"/>
        <v>86207901</v>
      </c>
    </row>
    <row r="1253" customHeight="1" spans="1:31">
      <c r="A1253" s="2" t="s">
        <v>58</v>
      </c>
      <c r="B1253" s="2">
        <v>119</v>
      </c>
      <c r="C1253" s="2">
        <v>25335935</v>
      </c>
      <c r="D1253" s="2" t="s">
        <v>108</v>
      </c>
      <c r="E1253" s="2" t="s">
        <v>12</v>
      </c>
      <c r="F1253" t="s">
        <v>56</v>
      </c>
      <c r="G1253" t="s">
        <v>24</v>
      </c>
      <c r="N1253" s="2" t="s">
        <v>18</v>
      </c>
      <c r="O1253" s="2" t="s">
        <v>19</v>
      </c>
      <c r="P1253" s="2">
        <v>40000000</v>
      </c>
      <c r="Q1253" s="2">
        <v>8</v>
      </c>
      <c r="R1253" s="2" t="s">
        <v>2897</v>
      </c>
      <c r="S1253" s="2"/>
      <c r="U1253" s="2" t="s">
        <v>2898</v>
      </c>
      <c r="V1253">
        <f ca="1" t="shared" si="37"/>
        <v>7.7</v>
      </c>
      <c r="AC1253" s="2"/>
      <c r="AD1253" t="str">
        <f>IFERROR(__xludf.DUMMYFUNCTION("""COMPUTED_VALUE"""),"Eight Below ")</f>
        <v>Eight Below </v>
      </c>
      <c r="AE1253">
        <f t="shared" si="38"/>
        <v>81593407</v>
      </c>
    </row>
    <row r="1254" customHeight="1" spans="1:31">
      <c r="A1254" s="2" t="s">
        <v>1599</v>
      </c>
      <c r="B1254" s="2">
        <v>110</v>
      </c>
      <c r="C1254" s="2">
        <v>5881504</v>
      </c>
      <c r="D1254" s="2" t="s">
        <v>2899</v>
      </c>
      <c r="E1254" s="2" t="s">
        <v>59</v>
      </c>
      <c r="F1254" t="s">
        <v>13</v>
      </c>
      <c r="G1254" t="s">
        <v>15</v>
      </c>
      <c r="N1254" s="2" t="s">
        <v>18</v>
      </c>
      <c r="O1254" s="2" t="s">
        <v>19</v>
      </c>
      <c r="P1254" s="2">
        <v>39000000</v>
      </c>
      <c r="Q1254" s="2">
        <v>5.3</v>
      </c>
      <c r="R1254" s="2" t="s">
        <v>2900</v>
      </c>
      <c r="S1254" s="2"/>
      <c r="U1254" s="2" t="s">
        <v>2901</v>
      </c>
      <c r="V1254">
        <f ca="1" t="shared" si="37"/>
        <v>5.6</v>
      </c>
      <c r="AC1254" s="2"/>
      <c r="AD1254" t="str">
        <f>IFERROR(__xludf.DUMMYFUNCTION("""COMPUTED_VALUE"""),"The Intern ")</f>
        <v>The Intern </v>
      </c>
      <c r="AE1254">
        <f t="shared" si="38"/>
        <v>75274627</v>
      </c>
    </row>
    <row r="1255" customHeight="1" spans="1:31">
      <c r="A1255" s="2" t="s">
        <v>1220</v>
      </c>
      <c r="B1255" s="2">
        <v>125</v>
      </c>
      <c r="C1255" s="2">
        <v>60000000</v>
      </c>
      <c r="D1255" s="2" t="s">
        <v>703</v>
      </c>
      <c r="E1255" s="2" t="s">
        <v>12</v>
      </c>
      <c r="F1255" t="s">
        <v>15</v>
      </c>
      <c r="G1255" t="s">
        <v>23</v>
      </c>
      <c r="N1255" s="2" t="s">
        <v>18</v>
      </c>
      <c r="O1255" s="2" t="s">
        <v>31</v>
      </c>
      <c r="P1255" s="2">
        <v>39000000</v>
      </c>
      <c r="Q1255" s="2">
        <v>4.9</v>
      </c>
      <c r="R1255" s="2" t="s">
        <v>2902</v>
      </c>
      <c r="S1255" s="2"/>
      <c r="U1255" s="2" t="s">
        <v>2903</v>
      </c>
      <c r="V1255">
        <f ca="1" t="shared" si="37"/>
        <v>5.8</v>
      </c>
      <c r="AC1255" s="2"/>
      <c r="AD1255" t="str">
        <f>IFERROR(__xludf.DUMMYFUNCTION("""COMPUTED_VALUE"""),"Ride Along 2 ")</f>
        <v>Ride Along 2 </v>
      </c>
      <c r="AE1255">
        <f t="shared" si="38"/>
        <v>90834928</v>
      </c>
    </row>
    <row r="1256" customHeight="1" spans="1:31">
      <c r="A1256" s="2" t="s">
        <v>781</v>
      </c>
      <c r="B1256" s="2">
        <v>113</v>
      </c>
      <c r="C1256" s="2">
        <v>29802761</v>
      </c>
      <c r="D1256" s="2" t="s">
        <v>1581</v>
      </c>
      <c r="E1256" s="2" t="s">
        <v>40</v>
      </c>
      <c r="F1256" t="s">
        <v>23</v>
      </c>
      <c r="G1256" t="s">
        <v>28</v>
      </c>
      <c r="N1256" s="2" t="s">
        <v>18</v>
      </c>
      <c r="O1256" s="2" t="s">
        <v>19</v>
      </c>
      <c r="P1256" s="2">
        <v>40000000</v>
      </c>
      <c r="Q1256" s="2">
        <v>6.4</v>
      </c>
      <c r="R1256" s="2" t="s">
        <v>2904</v>
      </c>
      <c r="S1256" s="2"/>
      <c r="U1256" s="2" t="s">
        <v>2905</v>
      </c>
      <c r="V1256">
        <f ca="1" t="shared" si="37"/>
        <v>7.8</v>
      </c>
      <c r="AC1256" s="2"/>
      <c r="AD1256" t="str">
        <f>IFERROR(__xludf.DUMMYFUNCTION("""COMPUTED_VALUE"""),"The Last of the Mohicans ")</f>
        <v>The Last of the Mohicans </v>
      </c>
      <c r="AE1256">
        <f t="shared" si="38"/>
        <v>72455158</v>
      </c>
    </row>
    <row r="1257" customHeight="1" spans="1:31">
      <c r="A1257" s="2" t="s">
        <v>494</v>
      </c>
      <c r="B1257" s="2">
        <v>150</v>
      </c>
      <c r="C1257" s="2">
        <v>626809</v>
      </c>
      <c r="D1257" s="2" t="s">
        <v>414</v>
      </c>
      <c r="E1257" s="2" t="s">
        <v>12</v>
      </c>
      <c r="F1257" t="s">
        <v>13</v>
      </c>
      <c r="G1257" t="s">
        <v>30</v>
      </c>
      <c r="N1257" s="2" t="s">
        <v>722</v>
      </c>
      <c r="O1257" s="2" t="s">
        <v>343</v>
      </c>
      <c r="P1257" s="2">
        <v>553632000</v>
      </c>
      <c r="Q1257" s="2">
        <v>7.4</v>
      </c>
      <c r="R1257" s="2" t="s">
        <v>2906</v>
      </c>
      <c r="S1257" s="2"/>
      <c r="U1257" s="2" t="s">
        <v>2907</v>
      </c>
      <c r="V1257">
        <f ca="1" t="shared" si="37"/>
        <v>8</v>
      </c>
      <c r="AC1257" s="2"/>
      <c r="AD1257" t="str">
        <f>IFERROR(__xludf.DUMMYFUNCTION("""COMPUTED_VALUE"""),"Ray ")</f>
        <v>Ray </v>
      </c>
      <c r="AE1257">
        <f t="shared" si="38"/>
        <v>75305817</v>
      </c>
    </row>
    <row r="1258" customHeight="1" spans="1:31">
      <c r="A1258" s="2" t="s">
        <v>894</v>
      </c>
      <c r="B1258" s="2">
        <v>108</v>
      </c>
      <c r="C1258" s="2">
        <v>127214072</v>
      </c>
      <c r="D1258" s="2" t="s">
        <v>607</v>
      </c>
      <c r="E1258" s="2" t="s">
        <v>40</v>
      </c>
      <c r="F1258" t="s">
        <v>56</v>
      </c>
      <c r="G1258" t="s">
        <v>29</v>
      </c>
      <c r="N1258" s="2" t="s">
        <v>18</v>
      </c>
      <c r="O1258" s="2" t="s">
        <v>19</v>
      </c>
      <c r="P1258" s="2">
        <v>38000000</v>
      </c>
      <c r="Q1258" s="2">
        <v>6.1</v>
      </c>
      <c r="R1258" s="2" t="s">
        <v>2908</v>
      </c>
      <c r="S1258" s="2"/>
      <c r="U1258" s="2" t="s">
        <v>2909</v>
      </c>
      <c r="V1258">
        <f ca="1" t="shared" si="37"/>
        <v>7.2</v>
      </c>
      <c r="AC1258" s="2"/>
      <c r="AD1258" t="str">
        <f>IFERROR(__xludf.DUMMYFUNCTION("""COMPUTED_VALUE"""),"Sin City ")</f>
        <v>Sin City </v>
      </c>
      <c r="AE1258">
        <f t="shared" si="38"/>
        <v>74098715</v>
      </c>
    </row>
    <row r="1259" customHeight="1" spans="1:31">
      <c r="A1259" s="2" t="s">
        <v>884</v>
      </c>
      <c r="B1259" s="2">
        <v>96</v>
      </c>
      <c r="C1259" s="2">
        <v>88915214</v>
      </c>
      <c r="D1259" s="2" t="s">
        <v>607</v>
      </c>
      <c r="E1259" s="2" t="s">
        <v>40</v>
      </c>
      <c r="F1259" t="s">
        <v>30</v>
      </c>
      <c r="G1259" t="s">
        <v>30</v>
      </c>
      <c r="N1259" s="2" t="s">
        <v>18</v>
      </c>
      <c r="O1259" s="2" t="s">
        <v>19</v>
      </c>
      <c r="P1259" s="2">
        <v>38000000</v>
      </c>
      <c r="Q1259" s="2">
        <v>6.5</v>
      </c>
      <c r="R1259" s="2" t="s">
        <v>2910</v>
      </c>
      <c r="S1259" s="2"/>
      <c r="U1259" s="2" t="s">
        <v>2911</v>
      </c>
      <c r="V1259">
        <f ca="1" t="shared" si="37"/>
        <v>7.1</v>
      </c>
      <c r="AC1259" s="2"/>
      <c r="AD1259" t="str">
        <f>IFERROR(__xludf.DUMMYFUNCTION("""COMPUTED_VALUE"""),"Vantage Point ")</f>
        <v>Vantage Point </v>
      </c>
      <c r="AE1259">
        <f t="shared" si="38"/>
        <v>72266216</v>
      </c>
    </row>
    <row r="1260" customHeight="1" spans="1:31">
      <c r="A1260" s="2" t="s">
        <v>1601</v>
      </c>
      <c r="B1260" s="2">
        <v>93</v>
      </c>
      <c r="C1260" s="2">
        <v>30400000</v>
      </c>
      <c r="D1260" s="2" t="s">
        <v>40</v>
      </c>
      <c r="E1260" s="2" t="s">
        <v>40</v>
      </c>
      <c r="F1260" t="s">
        <v>55</v>
      </c>
      <c r="G1260" t="s">
        <v>30</v>
      </c>
      <c r="N1260" s="2" t="s">
        <v>18</v>
      </c>
      <c r="O1260" s="2" t="s">
        <v>19</v>
      </c>
      <c r="P1260" s="2">
        <v>39000000</v>
      </c>
      <c r="Q1260" s="2">
        <v>5.7</v>
      </c>
      <c r="R1260" s="2" t="s">
        <v>2912</v>
      </c>
      <c r="S1260" s="2"/>
      <c r="U1260" s="2" t="s">
        <v>2913</v>
      </c>
      <c r="V1260">
        <f ca="1" t="shared" si="37"/>
        <v>6</v>
      </c>
      <c r="AC1260" s="2"/>
      <c r="AD1260" t="str">
        <f>IFERROR(__xludf.DUMMYFUNCTION("""COMPUTED_VALUE"""),"I Love You, Man ")</f>
        <v>I Love You, Man </v>
      </c>
      <c r="AE1260">
        <f t="shared" si="38"/>
        <v>71346905</v>
      </c>
    </row>
    <row r="1261" customHeight="1" spans="1:31">
      <c r="A1261" s="2" t="s">
        <v>1225</v>
      </c>
      <c r="B1261" s="2">
        <v>100</v>
      </c>
      <c r="C1261" s="2">
        <v>85570368</v>
      </c>
      <c r="D1261" s="2" t="s">
        <v>1192</v>
      </c>
      <c r="E1261" s="2" t="s">
        <v>12</v>
      </c>
      <c r="F1261" t="s">
        <v>28</v>
      </c>
      <c r="G1261" t="s">
        <v>17</v>
      </c>
      <c r="N1261" s="2" t="s">
        <v>18</v>
      </c>
      <c r="O1261" s="2" t="s">
        <v>19</v>
      </c>
      <c r="P1261" s="2">
        <v>38000000</v>
      </c>
      <c r="Q1261" s="2">
        <v>5.1</v>
      </c>
      <c r="R1261" s="2" t="s">
        <v>2914</v>
      </c>
      <c r="S1261" s="2"/>
      <c r="U1261" s="2" t="s">
        <v>2915</v>
      </c>
      <c r="V1261">
        <f ca="1" t="shared" si="37"/>
        <v>6.3</v>
      </c>
      <c r="AC1261" s="2"/>
      <c r="AD1261" t="str">
        <f>IFERROR(__xludf.DUMMYFUNCTION("""COMPUTED_VALUE"""),"Shallow Hal ")</f>
        <v>Shallow Hal </v>
      </c>
      <c r="AE1261">
        <f t="shared" si="38"/>
        <v>70836182</v>
      </c>
    </row>
    <row r="1262" customHeight="1" spans="1:31">
      <c r="A1262" s="2" t="s">
        <v>1603</v>
      </c>
      <c r="B1262" s="2">
        <v>118</v>
      </c>
      <c r="C1262" s="2">
        <v>75668868</v>
      </c>
      <c r="D1262" s="2" t="s">
        <v>576</v>
      </c>
      <c r="E1262" s="2" t="s">
        <v>12</v>
      </c>
      <c r="F1262" t="s">
        <v>72</v>
      </c>
      <c r="G1262" t="s">
        <v>14</v>
      </c>
      <c r="N1262" s="2" t="s">
        <v>18</v>
      </c>
      <c r="O1262" s="2" t="s">
        <v>19</v>
      </c>
      <c r="P1262" s="2">
        <v>35000000</v>
      </c>
      <c r="Q1262" s="2">
        <v>6.6</v>
      </c>
      <c r="R1262" s="2" t="s">
        <v>2916</v>
      </c>
      <c r="S1262" s="2"/>
      <c r="U1262" s="2" t="s">
        <v>2917</v>
      </c>
      <c r="V1262">
        <f ca="1" t="shared" si="37"/>
        <v>5.1</v>
      </c>
      <c r="AC1262" s="2"/>
      <c r="AD1262" t="str">
        <f>IFERROR(__xludf.DUMMYFUNCTION("""COMPUTED_VALUE"""),"JFK ")</f>
        <v>JFK </v>
      </c>
      <c r="AE1262">
        <f t="shared" si="38"/>
        <v>70405292</v>
      </c>
    </row>
    <row r="1263" customHeight="1" spans="1:31">
      <c r="A1263" s="2" t="s">
        <v>1605</v>
      </c>
      <c r="B1263" s="2">
        <v>122</v>
      </c>
      <c r="C1263" s="2">
        <v>6594136</v>
      </c>
      <c r="D1263" s="2" t="s">
        <v>2918</v>
      </c>
      <c r="E1263" s="2" t="s">
        <v>12</v>
      </c>
      <c r="F1263" t="s">
        <v>15</v>
      </c>
      <c r="G1263" t="s">
        <v>30</v>
      </c>
      <c r="N1263" s="2" t="s">
        <v>722</v>
      </c>
      <c r="O1263" s="2" t="s">
        <v>1554</v>
      </c>
      <c r="P1263" s="2">
        <v>38600000</v>
      </c>
      <c r="Q1263" s="2">
        <v>6.5</v>
      </c>
      <c r="R1263" s="2" t="s">
        <v>2919</v>
      </c>
      <c r="S1263" s="2"/>
      <c r="U1263" s="2" t="s">
        <v>2920</v>
      </c>
      <c r="V1263">
        <f ca="1" t="shared" si="37"/>
        <v>5.3</v>
      </c>
      <c r="AC1263" s="2"/>
      <c r="AD1263" t="str">
        <f>IFERROR(__xludf.DUMMYFUNCTION("""COMPUTED_VALUE"""),"Big Momma's House 2 ")</f>
        <v>Big Momma's House 2 </v>
      </c>
      <c r="AE1263">
        <f t="shared" si="38"/>
        <v>70163553</v>
      </c>
    </row>
    <row r="1264" customHeight="1" spans="1:31">
      <c r="A1264" s="2" t="s">
        <v>270</v>
      </c>
      <c r="B1264" s="2">
        <v>120</v>
      </c>
      <c r="C1264" s="2">
        <v>58700247</v>
      </c>
      <c r="D1264" s="2" t="s">
        <v>103</v>
      </c>
      <c r="E1264" s="2" t="s">
        <v>30</v>
      </c>
      <c r="F1264" t="s">
        <v>40</v>
      </c>
      <c r="G1264" t="s">
        <v>30</v>
      </c>
      <c r="N1264" s="2" t="s">
        <v>18</v>
      </c>
      <c r="O1264" s="2" t="s">
        <v>19</v>
      </c>
      <c r="P1264" s="2">
        <v>38000000</v>
      </c>
      <c r="Q1264" s="2">
        <v>6.9</v>
      </c>
      <c r="R1264" s="2" t="s">
        <v>2921</v>
      </c>
      <c r="S1264" s="2"/>
      <c r="U1264" s="2" t="s">
        <v>2922</v>
      </c>
      <c r="V1264">
        <f ca="1" t="shared" si="37"/>
        <v>7.3</v>
      </c>
      <c r="AC1264" s="2"/>
      <c r="AD1264" t="str">
        <f>IFERROR(__xludf.DUMMYFUNCTION("""COMPUTED_VALUE"""),"The Mexican ")</f>
        <v>The Mexican </v>
      </c>
      <c r="AE1264">
        <f t="shared" si="38"/>
        <v>66808492</v>
      </c>
    </row>
    <row r="1265" customHeight="1" spans="1:31">
      <c r="A1265" s="2" t="s">
        <v>1607</v>
      </c>
      <c r="B1265" s="2">
        <v>146</v>
      </c>
      <c r="C1265" s="2">
        <v>50668906</v>
      </c>
      <c r="D1265" s="2" t="s">
        <v>592</v>
      </c>
      <c r="E1265" s="2" t="s">
        <v>59</v>
      </c>
      <c r="F1265" t="s">
        <v>35</v>
      </c>
      <c r="G1265" t="s">
        <v>56</v>
      </c>
      <c r="N1265" s="2" t="s">
        <v>18</v>
      </c>
      <c r="O1265" s="2" t="s">
        <v>19</v>
      </c>
      <c r="P1265" s="2">
        <v>38000000</v>
      </c>
      <c r="Q1265" s="2">
        <v>7.6</v>
      </c>
      <c r="R1265" s="2" t="s">
        <v>2923</v>
      </c>
      <c r="S1265" s="2"/>
      <c r="U1265" s="2" t="s">
        <v>2924</v>
      </c>
      <c r="V1265">
        <f ca="1" t="shared" si="37"/>
        <v>7.3</v>
      </c>
      <c r="AC1265" s="2"/>
      <c r="AD1265" t="str">
        <f>IFERROR(__xludf.DUMMYFUNCTION("""COMPUTED_VALUE"""),"17 Again ")</f>
        <v>17 Again </v>
      </c>
      <c r="AE1265">
        <f t="shared" si="38"/>
        <v>64149735</v>
      </c>
    </row>
    <row r="1266" customHeight="1" spans="1:31">
      <c r="A1266" s="2" t="s">
        <v>286</v>
      </c>
      <c r="B1266" s="2">
        <v>115</v>
      </c>
      <c r="C1266" s="2">
        <v>39177215</v>
      </c>
      <c r="D1266" s="2" t="s">
        <v>805</v>
      </c>
      <c r="E1266" s="2" t="s">
        <v>56</v>
      </c>
      <c r="F1266" t="s">
        <v>59</v>
      </c>
      <c r="G1266" t="s">
        <v>83</v>
      </c>
      <c r="N1266" s="2" t="s">
        <v>18</v>
      </c>
      <c r="O1266" s="2" t="s">
        <v>19</v>
      </c>
      <c r="P1266" s="2">
        <v>38000000</v>
      </c>
      <c r="Q1266" s="2">
        <v>5.6</v>
      </c>
      <c r="R1266" s="2" t="s">
        <v>2925</v>
      </c>
      <c r="S1266" s="2"/>
      <c r="U1266" s="2" t="s">
        <v>2926</v>
      </c>
      <c r="V1266">
        <f ca="1" t="shared" si="37"/>
        <v>6.95</v>
      </c>
      <c r="AC1266" s="2"/>
      <c r="AD1266" t="str">
        <f>IFERROR(__xludf.DUMMYFUNCTION("""COMPUTED_VALUE"""),"The Other Woman ")</f>
        <v>The Other Woman </v>
      </c>
      <c r="AE1266">
        <f t="shared" si="38"/>
        <v>83906005</v>
      </c>
    </row>
    <row r="1267" customHeight="1" spans="1:31">
      <c r="A1267" s="2" t="s">
        <v>1610</v>
      </c>
      <c r="B1267" s="2">
        <v>123</v>
      </c>
      <c r="C1267" s="2">
        <v>40334024</v>
      </c>
      <c r="D1267" s="2" t="s">
        <v>1733</v>
      </c>
      <c r="E1267" s="2" t="s">
        <v>40</v>
      </c>
      <c r="F1267" t="s">
        <v>13</v>
      </c>
      <c r="G1267" t="s">
        <v>17</v>
      </c>
      <c r="N1267" s="2" t="s">
        <v>18</v>
      </c>
      <c r="O1267" s="2" t="s">
        <v>19</v>
      </c>
      <c r="P1267" s="2">
        <v>35000000</v>
      </c>
      <c r="Q1267" s="2">
        <v>6.2</v>
      </c>
      <c r="R1267" s="2" t="s">
        <v>2927</v>
      </c>
      <c r="S1267" s="2"/>
      <c r="U1267" s="2" t="s">
        <v>2928</v>
      </c>
      <c r="V1267">
        <f ca="1" t="shared" si="37"/>
        <v>7.8</v>
      </c>
      <c r="AC1267" s="2"/>
      <c r="AD1267" t="str">
        <f>IFERROR(__xludf.DUMMYFUNCTION("""COMPUTED_VALUE"""),"The Final Destination ")</f>
        <v>The Final Destination </v>
      </c>
      <c r="AE1267">
        <f t="shared" si="38"/>
        <v>66466290</v>
      </c>
    </row>
    <row r="1268" customHeight="1" spans="1:31">
      <c r="A1268" s="2" t="s">
        <v>1276</v>
      </c>
      <c r="B1268" s="2">
        <v>94</v>
      </c>
      <c r="C1268" s="2">
        <v>71038190</v>
      </c>
      <c r="D1268" s="2" t="s">
        <v>635</v>
      </c>
      <c r="E1268" s="2" t="s">
        <v>12</v>
      </c>
      <c r="F1268" t="s">
        <v>13</v>
      </c>
      <c r="G1268" t="s">
        <v>23</v>
      </c>
      <c r="N1268" s="2" t="s">
        <v>18</v>
      </c>
      <c r="O1268" s="2" t="s">
        <v>19</v>
      </c>
      <c r="P1268" s="2">
        <v>30000000</v>
      </c>
      <c r="Q1268" s="2">
        <v>4.4</v>
      </c>
      <c r="R1268" s="2" t="s">
        <v>2929</v>
      </c>
      <c r="S1268" s="2"/>
      <c r="U1268" s="2" t="s">
        <v>2930</v>
      </c>
      <c r="V1268">
        <f ca="1" t="shared" si="37"/>
        <v>7.7</v>
      </c>
      <c r="AC1268" s="2"/>
      <c r="AD1268" t="str">
        <f>IFERROR(__xludf.DUMMYFUNCTION("""COMPUTED_VALUE"""),"Bridge of Spies ")</f>
        <v>Bridge of Spies </v>
      </c>
      <c r="AE1268">
        <f t="shared" si="38"/>
        <v>72305923</v>
      </c>
    </row>
    <row r="1269" customHeight="1" spans="1:31">
      <c r="A1269" s="2" t="s">
        <v>1612</v>
      </c>
      <c r="B1269" s="2">
        <v>102</v>
      </c>
      <c r="C1269" s="2">
        <v>24044532</v>
      </c>
      <c r="D1269" s="2" t="s">
        <v>103</v>
      </c>
      <c r="E1269" s="2" t="s">
        <v>30</v>
      </c>
      <c r="F1269" t="s">
        <v>30</v>
      </c>
      <c r="G1269" t="s">
        <v>55</v>
      </c>
      <c r="N1269" s="2" t="s">
        <v>18</v>
      </c>
      <c r="O1269" s="2" t="s">
        <v>19</v>
      </c>
      <c r="P1269" s="2">
        <v>38000000</v>
      </c>
      <c r="Q1269" s="2">
        <v>5.6</v>
      </c>
      <c r="R1269" s="2" t="s">
        <v>2931</v>
      </c>
      <c r="S1269" s="2"/>
      <c r="U1269" s="2" t="s">
        <v>2932</v>
      </c>
      <c r="V1269">
        <f ca="1" t="shared" si="37"/>
        <v>5.1</v>
      </c>
      <c r="AC1269" s="2"/>
      <c r="AD1269" t="str">
        <f>IFERROR(__xludf.DUMMYFUNCTION("""COMPUTED_VALUE"""),"Behind Enemy Lines ")</f>
        <v>Behind Enemy Lines </v>
      </c>
      <c r="AE1269">
        <f t="shared" si="38"/>
        <v>59068680</v>
      </c>
    </row>
    <row r="1270" customHeight="1" spans="1:31">
      <c r="A1270" s="2" t="s">
        <v>1104</v>
      </c>
      <c r="B1270" s="2">
        <v>98</v>
      </c>
      <c r="C1270" s="2">
        <v>22770864</v>
      </c>
      <c r="D1270" s="2" t="s">
        <v>975</v>
      </c>
      <c r="E1270" s="2" t="s">
        <v>40</v>
      </c>
      <c r="F1270" t="s">
        <v>56</v>
      </c>
      <c r="G1270" t="s">
        <v>72</v>
      </c>
      <c r="N1270" s="2" t="s">
        <v>18</v>
      </c>
      <c r="O1270" s="2" t="s">
        <v>19</v>
      </c>
      <c r="P1270" s="2">
        <v>38000000</v>
      </c>
      <c r="Q1270" s="2">
        <v>5.5</v>
      </c>
      <c r="R1270" s="2" t="s">
        <v>2933</v>
      </c>
      <c r="S1270" s="2"/>
      <c r="U1270" s="2" t="s">
        <v>2934</v>
      </c>
      <c r="V1270">
        <f ca="1" t="shared" si="37"/>
        <v>6.8</v>
      </c>
      <c r="AC1270" s="2"/>
      <c r="AD1270" t="str">
        <f>IFERROR(__xludf.DUMMYFUNCTION("""COMPUTED_VALUE"""),"Shall We Dance ")</f>
        <v>Shall We Dance </v>
      </c>
      <c r="AE1270">
        <f t="shared" si="38"/>
        <v>57887776</v>
      </c>
    </row>
    <row r="1271" customHeight="1" spans="1:31">
      <c r="A1271" s="2" t="s">
        <v>1019</v>
      </c>
      <c r="B1271" s="2">
        <v>133</v>
      </c>
      <c r="C1271" s="2">
        <v>18653746</v>
      </c>
      <c r="D1271" s="2" t="s">
        <v>328</v>
      </c>
      <c r="E1271" s="2" t="s">
        <v>28</v>
      </c>
      <c r="F1271" t="s">
        <v>30</v>
      </c>
      <c r="G1271" t="s">
        <v>15</v>
      </c>
      <c r="N1271" s="2" t="s">
        <v>18</v>
      </c>
      <c r="O1271" s="2" t="s">
        <v>1431</v>
      </c>
      <c r="P1271" s="2">
        <v>38000000</v>
      </c>
      <c r="Q1271" s="2">
        <v>6.7</v>
      </c>
      <c r="R1271" s="2" t="s">
        <v>2935</v>
      </c>
      <c r="S1271" s="2"/>
      <c r="U1271" s="2" t="s">
        <v>2936</v>
      </c>
      <c r="V1271">
        <f ca="1" t="shared" ref="V1271:V1334" si="39">AVERAGEIF(A1155:A4940,U1271,Q1156:Q4940)</f>
        <v>5.8</v>
      </c>
      <c r="AC1271" s="2"/>
      <c r="AD1271" t="str">
        <f>IFERROR(__xludf.DUMMYFUNCTION("""COMPUTED_VALUE"""),"Small Soldiers ")</f>
        <v>Small Soldiers </v>
      </c>
      <c r="AE1271">
        <f t="shared" ref="AE1271:AE1334" si="40">C1155-B1155</f>
        <v>53955506</v>
      </c>
    </row>
    <row r="1272" customHeight="1" spans="1:31">
      <c r="A1272" s="2" t="s">
        <v>286</v>
      </c>
      <c r="B1272" s="2">
        <v>118</v>
      </c>
      <c r="C1272" s="2">
        <v>17305211</v>
      </c>
      <c r="D1272" s="2" t="s">
        <v>814</v>
      </c>
      <c r="E1272" s="2" t="s">
        <v>56</v>
      </c>
      <c r="F1272" t="s">
        <v>13</v>
      </c>
      <c r="G1272" t="s">
        <v>40</v>
      </c>
      <c r="N1272" s="2" t="s">
        <v>18</v>
      </c>
      <c r="O1272" s="2" t="s">
        <v>19</v>
      </c>
      <c r="P1272" s="2">
        <v>38000000</v>
      </c>
      <c r="Q1272" s="2">
        <v>6.1</v>
      </c>
      <c r="R1272" s="2" t="s">
        <v>2937</v>
      </c>
      <c r="S1272" s="2"/>
      <c r="U1272" s="2" t="s">
        <v>2938</v>
      </c>
      <c r="V1272">
        <f ca="1" t="shared" si="39"/>
        <v>6.4</v>
      </c>
      <c r="AC1272" s="2"/>
      <c r="AD1272" t="str">
        <f>IFERROR(__xludf.DUMMYFUNCTION("""COMPUTED_VALUE"""),"Spawn ")</f>
        <v>Spawn </v>
      </c>
      <c r="AE1272">
        <f t="shared" si="40"/>
        <v>54967261</v>
      </c>
    </row>
    <row r="1273" customHeight="1" spans="1:31">
      <c r="A1273" s="2" t="s">
        <v>1153</v>
      </c>
      <c r="B1273" s="2">
        <v>105</v>
      </c>
      <c r="C1273" s="2">
        <v>16991902</v>
      </c>
      <c r="D1273" s="2" t="s">
        <v>2565</v>
      </c>
      <c r="E1273" s="2" t="s">
        <v>30</v>
      </c>
      <c r="F1273" t="s">
        <v>56</v>
      </c>
      <c r="G1273" t="s">
        <v>30</v>
      </c>
      <c r="N1273" s="2" t="s">
        <v>18</v>
      </c>
      <c r="O1273" s="2" t="s">
        <v>19</v>
      </c>
      <c r="P1273" s="2">
        <v>57000000</v>
      </c>
      <c r="Q1273" s="2">
        <v>6.2</v>
      </c>
      <c r="R1273" s="2" t="s">
        <v>2939</v>
      </c>
      <c r="S1273" s="2"/>
      <c r="U1273" s="2" t="s">
        <v>2940</v>
      </c>
      <c r="V1273">
        <f ca="1" t="shared" si="39"/>
        <v>6</v>
      </c>
      <c r="AC1273" s="2"/>
      <c r="AD1273" t="str">
        <f>IFERROR(__xludf.DUMMYFUNCTION("""COMPUTED_VALUE"""),"The Count of Monte Cristo ")</f>
        <v>The Count of Monte Cristo </v>
      </c>
      <c r="AE1273">
        <f t="shared" si="40"/>
        <v>54227973</v>
      </c>
    </row>
    <row r="1274" customHeight="1" spans="1:31">
      <c r="A1274" s="2" t="s">
        <v>1614</v>
      </c>
      <c r="B1274" s="2">
        <v>109</v>
      </c>
      <c r="C1274" s="2">
        <v>47536959</v>
      </c>
      <c r="D1274" s="2" t="s">
        <v>30</v>
      </c>
      <c r="E1274" s="2" t="s">
        <v>30</v>
      </c>
      <c r="F1274" t="s">
        <v>30</v>
      </c>
      <c r="G1274" t="s">
        <v>40</v>
      </c>
      <c r="N1274" s="2" t="s">
        <v>18</v>
      </c>
      <c r="O1274" s="2" t="s">
        <v>19</v>
      </c>
      <c r="P1274" s="2">
        <v>10000000</v>
      </c>
      <c r="Q1274" s="2">
        <v>7.3</v>
      </c>
      <c r="R1274" s="2" t="s">
        <v>2941</v>
      </c>
      <c r="S1274" s="2"/>
      <c r="U1274" s="2" t="s">
        <v>2942</v>
      </c>
      <c r="V1274">
        <f ca="1" t="shared" si="39"/>
        <v>6.9</v>
      </c>
      <c r="AC1274" s="2"/>
      <c r="AD1274" t="str">
        <f>IFERROR(__xludf.DUMMYFUNCTION("""COMPUTED_VALUE"""),"The Lincoln Lawyer ")</f>
        <v>The Lincoln Lawyer </v>
      </c>
      <c r="AE1274">
        <f t="shared" si="40"/>
        <v>57981771</v>
      </c>
    </row>
    <row r="1275" customHeight="1" spans="1:31">
      <c r="A1275" s="2" t="s">
        <v>94</v>
      </c>
      <c r="B1275" s="2">
        <v>129</v>
      </c>
      <c r="C1275" s="2">
        <v>10300000</v>
      </c>
      <c r="D1275" s="2" t="s">
        <v>2943</v>
      </c>
      <c r="E1275" s="2" t="s">
        <v>13</v>
      </c>
      <c r="F1275" t="s">
        <v>30</v>
      </c>
      <c r="G1275" t="s">
        <v>24</v>
      </c>
      <c r="N1275" s="2" t="s">
        <v>18</v>
      </c>
      <c r="O1275" s="2" t="s">
        <v>19</v>
      </c>
      <c r="P1275" s="2">
        <v>38000000</v>
      </c>
      <c r="Q1275" s="2">
        <v>6.6</v>
      </c>
      <c r="R1275" s="2" t="s">
        <v>2944</v>
      </c>
      <c r="S1275" s="2"/>
      <c r="U1275" s="2" t="s">
        <v>2945</v>
      </c>
      <c r="V1275">
        <f ca="1" t="shared" si="39"/>
        <v>5.4</v>
      </c>
      <c r="AC1275" s="2"/>
      <c r="AD1275" t="str">
        <f>IFERROR(__xludf.DUMMYFUNCTION("""COMPUTED_VALUE"""),"Unknown ")</f>
        <v>Unknown </v>
      </c>
      <c r="AE1275">
        <f t="shared" si="40"/>
        <v>61094790</v>
      </c>
    </row>
    <row r="1276" customHeight="1" spans="1:31">
      <c r="A1276" s="2" t="s">
        <v>1335</v>
      </c>
      <c r="B1276" s="2">
        <v>109</v>
      </c>
      <c r="C1276" s="2">
        <v>13782838</v>
      </c>
      <c r="D1276" s="2" t="s">
        <v>2946</v>
      </c>
      <c r="E1276" s="2" t="s">
        <v>72</v>
      </c>
      <c r="F1276" t="s">
        <v>28</v>
      </c>
      <c r="G1276" t="s">
        <v>24</v>
      </c>
      <c r="N1276" s="2" t="s">
        <v>18</v>
      </c>
      <c r="O1276" s="2" t="s">
        <v>19</v>
      </c>
      <c r="P1276" s="2">
        <v>15000000</v>
      </c>
      <c r="Q1276" s="2">
        <v>8.2</v>
      </c>
      <c r="R1276" s="2" t="s">
        <v>2947</v>
      </c>
      <c r="S1276" s="2"/>
      <c r="U1276" s="2" t="s">
        <v>2948</v>
      </c>
      <c r="V1276">
        <f ca="1" t="shared" si="39"/>
        <v>8.3</v>
      </c>
      <c r="AC1276" s="2"/>
      <c r="AD1276" t="str">
        <f>IFERROR(__xludf.DUMMYFUNCTION("""COMPUTED_VALUE"""),"The Prestige ")</f>
        <v>The Prestige </v>
      </c>
      <c r="AE1276">
        <f t="shared" si="40"/>
        <v>53082613</v>
      </c>
    </row>
    <row r="1277" customHeight="1" spans="1:31">
      <c r="A1277" s="2" t="s">
        <v>513</v>
      </c>
      <c r="B1277" s="2">
        <v>127</v>
      </c>
      <c r="C1277" s="2">
        <v>41997790</v>
      </c>
      <c r="D1277" s="2" t="s">
        <v>1094</v>
      </c>
      <c r="E1277" s="2" t="s">
        <v>12</v>
      </c>
      <c r="F1277" t="s">
        <v>56</v>
      </c>
      <c r="G1277" t="s">
        <v>30</v>
      </c>
      <c r="N1277" s="2" t="s">
        <v>18</v>
      </c>
      <c r="O1277" s="2" t="s">
        <v>19</v>
      </c>
      <c r="P1277" s="2">
        <v>38000000</v>
      </c>
      <c r="Q1277" s="2">
        <v>6.4</v>
      </c>
      <c r="R1277" s="2" t="s">
        <v>2949</v>
      </c>
      <c r="S1277" s="2"/>
      <c r="U1277" s="2" t="s">
        <v>2950</v>
      </c>
      <c r="V1277">
        <f ca="1" t="shared" si="39"/>
        <v>6.4</v>
      </c>
      <c r="AC1277" s="2"/>
      <c r="AD1277" t="str">
        <f>IFERROR(__xludf.DUMMYFUNCTION("""COMPUTED_VALUE"""),"Horrible Bosses 2 ")</f>
        <v>Horrible Bosses 2 </v>
      </c>
      <c r="AE1277">
        <f t="shared" si="40"/>
        <v>54414600</v>
      </c>
    </row>
    <row r="1278" customHeight="1" spans="1:31">
      <c r="A1278" s="2" t="s">
        <v>1616</v>
      </c>
      <c r="B1278" s="2">
        <v>118</v>
      </c>
      <c r="C1278" s="2">
        <v>6482195</v>
      </c>
      <c r="D1278" s="2" t="s">
        <v>846</v>
      </c>
      <c r="E1278" s="2" t="s">
        <v>56</v>
      </c>
      <c r="F1278" t="s">
        <v>24</v>
      </c>
      <c r="G1278" t="s">
        <v>83</v>
      </c>
      <c r="N1278" s="2" t="s">
        <v>18</v>
      </c>
      <c r="O1278" s="2" t="s">
        <v>19</v>
      </c>
      <c r="P1278" s="2">
        <v>37000000</v>
      </c>
      <c r="Q1278" s="2">
        <v>6.4</v>
      </c>
      <c r="R1278" s="2" t="s">
        <v>2951</v>
      </c>
      <c r="S1278" s="2"/>
      <c r="U1278" s="2" t="s">
        <v>2952</v>
      </c>
      <c r="V1278">
        <f ca="1" t="shared" si="39"/>
        <v>6.6</v>
      </c>
      <c r="AC1278" s="2"/>
      <c r="AD1278" t="str">
        <f>IFERROR(__xludf.DUMMYFUNCTION("""COMPUTED_VALUE"""),"Escape from Planet Earth ")</f>
        <v>Escape from Planet Earth </v>
      </c>
      <c r="AE1278">
        <f t="shared" si="40"/>
        <v>57011758</v>
      </c>
    </row>
    <row r="1279" customHeight="1" spans="1:31">
      <c r="A1279" s="2" t="s">
        <v>1618</v>
      </c>
      <c r="B1279" s="2">
        <v>110</v>
      </c>
      <c r="C1279" s="2">
        <v>623374</v>
      </c>
      <c r="D1279" s="2" t="s">
        <v>2953</v>
      </c>
      <c r="E1279" s="2" t="s">
        <v>12</v>
      </c>
      <c r="F1279" t="s">
        <v>30</v>
      </c>
      <c r="G1279" t="s">
        <v>55</v>
      </c>
      <c r="N1279" s="2" t="s">
        <v>18</v>
      </c>
      <c r="O1279" s="2" t="s">
        <v>19</v>
      </c>
      <c r="P1279" s="2">
        <v>38000000</v>
      </c>
      <c r="Q1279" s="2">
        <v>5.2</v>
      </c>
      <c r="R1279" s="2" t="s">
        <v>2954</v>
      </c>
      <c r="S1279" s="2"/>
      <c r="U1279" s="2" t="s">
        <v>2955</v>
      </c>
      <c r="V1279">
        <f ca="1" t="shared" si="39"/>
        <v>8.3</v>
      </c>
      <c r="AC1279" s="2"/>
      <c r="AD1279" t="str">
        <f>IFERROR(__xludf.DUMMYFUNCTION("""COMPUTED_VALUE"""),"Apocalypto ")</f>
        <v>Apocalypto </v>
      </c>
      <c r="AE1279">
        <f t="shared" si="40"/>
        <v>50859750</v>
      </c>
    </row>
    <row r="1280" customHeight="1" spans="1:31">
      <c r="A1280" s="2" t="s">
        <v>886</v>
      </c>
      <c r="B1280" s="2">
        <v>90</v>
      </c>
      <c r="C1280" s="2">
        <v>7871693</v>
      </c>
      <c r="D1280" s="2" t="s">
        <v>2956</v>
      </c>
      <c r="E1280" s="2" t="s">
        <v>13</v>
      </c>
      <c r="F1280" t="s">
        <v>17</v>
      </c>
      <c r="G1280" t="s">
        <v>24</v>
      </c>
      <c r="N1280" s="2" t="s">
        <v>18</v>
      </c>
      <c r="O1280" s="2" t="s">
        <v>19</v>
      </c>
      <c r="P1280" s="2">
        <v>55000000</v>
      </c>
      <c r="Q1280" s="2">
        <v>6.5</v>
      </c>
      <c r="R1280" s="2" t="s">
        <v>2957</v>
      </c>
      <c r="S1280" s="2"/>
      <c r="U1280" s="2" t="s">
        <v>2958</v>
      </c>
      <c r="V1280">
        <f ca="1" t="shared" si="39"/>
        <v>7.15</v>
      </c>
      <c r="AC1280" s="2"/>
      <c r="AD1280" t="str">
        <f>IFERROR(__xludf.DUMMYFUNCTION("""COMPUTED_VALUE"""),"The Living Daylights ")</f>
        <v>The Living Daylights </v>
      </c>
      <c r="AE1280">
        <f t="shared" si="40"/>
        <v>51185767</v>
      </c>
    </row>
    <row r="1281" customHeight="1" spans="1:31">
      <c r="A1281" s="2" t="s">
        <v>1620</v>
      </c>
      <c r="B1281" s="2">
        <v>144</v>
      </c>
      <c r="C1281" s="2">
        <v>16377274</v>
      </c>
      <c r="D1281" s="2" t="s">
        <v>30</v>
      </c>
      <c r="E1281" s="2" t="s">
        <v>30</v>
      </c>
      <c r="F1281" t="s">
        <v>17</v>
      </c>
      <c r="G1281" t="s">
        <v>24</v>
      </c>
      <c r="N1281" s="2" t="s">
        <v>18</v>
      </c>
      <c r="O1281" s="2" t="s">
        <v>19</v>
      </c>
      <c r="P1281" s="2">
        <v>32000000</v>
      </c>
      <c r="Q1281" s="2">
        <v>7.1</v>
      </c>
      <c r="R1281" s="2" t="s">
        <v>2959</v>
      </c>
      <c r="S1281" s="2"/>
      <c r="U1281" s="2" t="s">
        <v>2960</v>
      </c>
      <c r="V1281">
        <f ca="1" t="shared" si="39"/>
        <v>5.83333333333333</v>
      </c>
      <c r="AC1281" s="2"/>
      <c r="AD1281" t="str">
        <f>IFERROR(__xludf.DUMMYFUNCTION("""COMPUTED_VALUE"""),"Predators ")</f>
        <v>Predators </v>
      </c>
      <c r="AE1281">
        <f t="shared" si="40"/>
        <v>52000581</v>
      </c>
    </row>
    <row r="1282" customHeight="1" spans="1:31">
      <c r="A1282" s="2" t="s">
        <v>1286</v>
      </c>
      <c r="B1282" s="2">
        <v>130</v>
      </c>
      <c r="C1282" s="2">
        <v>9589875</v>
      </c>
      <c r="D1282" s="2" t="s">
        <v>592</v>
      </c>
      <c r="E1282" s="2" t="s">
        <v>59</v>
      </c>
      <c r="F1282" t="s">
        <v>17</v>
      </c>
      <c r="G1282" t="s">
        <v>15</v>
      </c>
      <c r="N1282" s="2" t="s">
        <v>18</v>
      </c>
      <c r="O1282" s="2" t="s">
        <v>19</v>
      </c>
      <c r="P1282" s="2">
        <v>40000000</v>
      </c>
      <c r="Q1282" s="2">
        <v>7.3</v>
      </c>
      <c r="R1282" s="2" t="s">
        <v>2961</v>
      </c>
      <c r="S1282" s="2"/>
      <c r="U1282" s="2" t="s">
        <v>2962</v>
      </c>
      <c r="V1282">
        <f ca="1" t="shared" si="39"/>
        <v>7.3</v>
      </c>
      <c r="AC1282" s="2"/>
      <c r="AD1282" t="str">
        <f>IFERROR(__xludf.DUMMYFUNCTION("""COMPUTED_VALUE"""),"Legal Eagles ")</f>
        <v>Legal Eagles </v>
      </c>
      <c r="AE1282">
        <f t="shared" si="40"/>
        <v>49851475</v>
      </c>
    </row>
    <row r="1283" customHeight="1" spans="1:31">
      <c r="A1283" s="2" t="s">
        <v>1622</v>
      </c>
      <c r="B1283" s="2">
        <v>112</v>
      </c>
      <c r="C1283" s="2">
        <v>34912982</v>
      </c>
      <c r="D1283" s="2" t="s">
        <v>108</v>
      </c>
      <c r="E1283" s="2" t="s">
        <v>12</v>
      </c>
      <c r="F1283" t="s">
        <v>30</v>
      </c>
      <c r="G1283" t="s">
        <v>24</v>
      </c>
      <c r="N1283" s="2" t="s">
        <v>18</v>
      </c>
      <c r="O1283" s="2" t="s">
        <v>19</v>
      </c>
      <c r="P1283" s="2">
        <v>38000000</v>
      </c>
      <c r="Q1283" s="2">
        <v>5.2</v>
      </c>
      <c r="R1283" s="2" t="s">
        <v>2963</v>
      </c>
      <c r="S1283" s="2"/>
      <c r="U1283" s="2" t="s">
        <v>2964</v>
      </c>
      <c r="V1283">
        <f ca="1" t="shared" si="39"/>
        <v>6.2</v>
      </c>
      <c r="AC1283" s="2"/>
      <c r="AD1283" t="str">
        <f>IFERROR(__xludf.DUMMYFUNCTION("""COMPUTED_VALUE"""),"Secret Window ")</f>
        <v>Secret Window </v>
      </c>
      <c r="AE1283">
        <f t="shared" si="40"/>
        <v>47781292</v>
      </c>
    </row>
    <row r="1284" customHeight="1" spans="1:31">
      <c r="A1284" s="2" t="s">
        <v>1624</v>
      </c>
      <c r="B1284" s="2">
        <v>133</v>
      </c>
      <c r="C1284" s="2">
        <v>109712885</v>
      </c>
      <c r="D1284" s="2" t="s">
        <v>1527</v>
      </c>
      <c r="E1284" s="2" t="s">
        <v>30</v>
      </c>
      <c r="F1284" t="s">
        <v>40</v>
      </c>
      <c r="G1284" t="s">
        <v>14</v>
      </c>
      <c r="N1284" s="2" t="s">
        <v>18</v>
      </c>
      <c r="O1284" s="2" t="s">
        <v>19</v>
      </c>
      <c r="P1284" s="2">
        <v>35000000</v>
      </c>
      <c r="Q1284" s="2">
        <v>7.7</v>
      </c>
      <c r="R1284" s="2" t="s">
        <v>2965</v>
      </c>
      <c r="S1284" s="2"/>
      <c r="U1284" s="2" t="s">
        <v>2966</v>
      </c>
      <c r="V1284">
        <f ca="1" t="shared" si="39"/>
        <v>6.1</v>
      </c>
      <c r="AC1284" s="2"/>
      <c r="AD1284" t="str">
        <f>IFERROR(__xludf.DUMMYFUNCTION("""COMPUTED_VALUE"""),"The Lake House ")</f>
        <v>The Lake House </v>
      </c>
      <c r="AE1284">
        <f t="shared" si="40"/>
        <v>52320880</v>
      </c>
    </row>
    <row r="1285" customHeight="1" spans="1:31">
      <c r="A1285" s="2" t="s">
        <v>1442</v>
      </c>
      <c r="B1285" s="2">
        <v>150</v>
      </c>
      <c r="C1285" s="2">
        <v>92173235</v>
      </c>
      <c r="D1285" s="2" t="s">
        <v>805</v>
      </c>
      <c r="E1285" s="2" t="s">
        <v>56</v>
      </c>
      <c r="F1285" t="s">
        <v>72</v>
      </c>
      <c r="G1285" t="s">
        <v>17</v>
      </c>
      <c r="N1285" s="2" t="s">
        <v>18</v>
      </c>
      <c r="O1285" s="2" t="s">
        <v>19</v>
      </c>
      <c r="P1285" s="2">
        <v>37000000</v>
      </c>
      <c r="Q1285" s="2">
        <v>7.6</v>
      </c>
      <c r="R1285" s="2" t="s">
        <v>2967</v>
      </c>
      <c r="S1285" s="2"/>
      <c r="U1285" s="2" t="s">
        <v>2968</v>
      </c>
      <c r="V1285">
        <f ca="1" t="shared" si="39"/>
        <v>6.9</v>
      </c>
      <c r="AC1285" s="2"/>
      <c r="AD1285" t="str">
        <f>IFERROR(__xludf.DUMMYFUNCTION("""COMPUTED_VALUE"""),"The Skeleton Key ")</f>
        <v>The Skeleton Key </v>
      </c>
      <c r="AE1285">
        <f t="shared" si="40"/>
        <v>47806191</v>
      </c>
    </row>
    <row r="1286" customHeight="1" spans="1:31">
      <c r="A1286" s="2" t="s">
        <v>1626</v>
      </c>
      <c r="B1286" s="2">
        <v>110</v>
      </c>
      <c r="C1286" s="2">
        <v>41102171</v>
      </c>
      <c r="D1286" s="2" t="s">
        <v>521</v>
      </c>
      <c r="E1286" s="2" t="s">
        <v>40</v>
      </c>
      <c r="F1286" t="s">
        <v>15</v>
      </c>
      <c r="G1286" t="s">
        <v>56</v>
      </c>
      <c r="N1286" s="2" t="s">
        <v>18</v>
      </c>
      <c r="O1286" s="2" t="s">
        <v>19</v>
      </c>
      <c r="P1286" s="2">
        <v>40000000</v>
      </c>
      <c r="Q1286" s="2">
        <v>5.7</v>
      </c>
      <c r="R1286" s="2" t="s">
        <v>2969</v>
      </c>
      <c r="S1286" s="2"/>
      <c r="U1286" s="2" t="s">
        <v>2970</v>
      </c>
      <c r="V1286">
        <f ca="1" t="shared" si="39"/>
        <v>5.4</v>
      </c>
      <c r="AC1286" s="2"/>
      <c r="AD1286" t="str">
        <f>IFERROR(__xludf.DUMMYFUNCTION("""COMPUTED_VALUE"""),"The Odd Life of Timothy Green ")</f>
        <v>The Odd Life of Timothy Green </v>
      </c>
      <c r="AE1286">
        <f t="shared" si="40"/>
        <v>51853345</v>
      </c>
    </row>
    <row r="1287" customHeight="1" spans="1:31">
      <c r="A1287" s="2" t="s">
        <v>1628</v>
      </c>
      <c r="B1287" s="2">
        <v>96</v>
      </c>
      <c r="C1287" s="2">
        <v>60338891</v>
      </c>
      <c r="D1287" s="2" t="s">
        <v>975</v>
      </c>
      <c r="E1287" s="2" t="s">
        <v>40</v>
      </c>
      <c r="F1287" t="s">
        <v>13</v>
      </c>
      <c r="G1287" t="s">
        <v>72</v>
      </c>
      <c r="N1287" s="2" t="s">
        <v>18</v>
      </c>
      <c r="O1287" s="2" t="s">
        <v>19</v>
      </c>
      <c r="P1287" s="2">
        <v>37000000</v>
      </c>
      <c r="Q1287" s="2">
        <v>7</v>
      </c>
      <c r="R1287" s="2" t="s">
        <v>2971</v>
      </c>
      <c r="S1287" s="2"/>
      <c r="U1287" s="2" t="s">
        <v>2972</v>
      </c>
      <c r="V1287">
        <f ca="1" t="shared" si="39"/>
        <v>6.6</v>
      </c>
      <c r="AC1287" s="2"/>
      <c r="AD1287" t="str">
        <f>IFERROR(__xludf.DUMMYFUNCTION("""COMPUTED_VALUE"""),"Made of Honor ")</f>
        <v>Made of Honor </v>
      </c>
      <c r="AE1287">
        <f t="shared" si="40"/>
        <v>46012633</v>
      </c>
    </row>
    <row r="1288" customHeight="1" spans="1:31">
      <c r="A1288" s="2" t="s">
        <v>1630</v>
      </c>
      <c r="B1288" s="2">
        <v>96</v>
      </c>
      <c r="C1288" s="2">
        <v>48006503</v>
      </c>
      <c r="D1288" s="2" t="s">
        <v>301</v>
      </c>
      <c r="E1288" s="2" t="s">
        <v>13</v>
      </c>
      <c r="F1288" t="s">
        <v>30</v>
      </c>
      <c r="G1288" t="s">
        <v>24</v>
      </c>
      <c r="N1288" s="2" t="s">
        <v>18</v>
      </c>
      <c r="O1288" s="2" t="s">
        <v>19</v>
      </c>
      <c r="P1288" s="2">
        <v>37000000</v>
      </c>
      <c r="Q1288" s="2">
        <v>6</v>
      </c>
      <c r="R1288" s="2" t="s">
        <v>2973</v>
      </c>
      <c r="S1288" s="2"/>
      <c r="U1288" s="2" t="s">
        <v>2974</v>
      </c>
      <c r="V1288">
        <f ca="1" t="shared" si="39"/>
        <v>6.5</v>
      </c>
      <c r="AC1288" s="2"/>
      <c r="AD1288" t="str">
        <f>IFERROR(__xludf.DUMMYFUNCTION("""COMPUTED_VALUE"""),"Jersey Boys ")</f>
        <v>Jersey Boys </v>
      </c>
      <c r="AE1288">
        <f t="shared" si="40"/>
        <v>47034138</v>
      </c>
    </row>
    <row r="1289" customHeight="1" spans="1:31">
      <c r="A1289" s="2" t="s">
        <v>327</v>
      </c>
      <c r="B1289" s="2">
        <v>123</v>
      </c>
      <c r="C1289" s="2">
        <v>26903709</v>
      </c>
      <c r="D1289" s="2" t="s">
        <v>2975</v>
      </c>
      <c r="E1289" s="2" t="s">
        <v>12</v>
      </c>
      <c r="F1289" t="s">
        <v>13</v>
      </c>
      <c r="G1289" t="s">
        <v>24</v>
      </c>
      <c r="N1289" s="2" t="s">
        <v>18</v>
      </c>
      <c r="O1289" s="2" t="s">
        <v>31</v>
      </c>
      <c r="P1289" s="2">
        <v>38000000</v>
      </c>
      <c r="Q1289" s="2">
        <v>8.1</v>
      </c>
      <c r="R1289" s="2" t="s">
        <v>2976</v>
      </c>
      <c r="S1289" s="2"/>
      <c r="U1289" s="2" t="s">
        <v>2977</v>
      </c>
      <c r="V1289">
        <f ca="1" t="shared" si="39"/>
        <v>5.8</v>
      </c>
      <c r="AC1289" s="2"/>
      <c r="AD1289" t="str">
        <f>IFERROR(__xludf.DUMMYFUNCTION("""COMPUTED_VALUE"""),"The Rainmaker ")</f>
        <v>The Rainmaker </v>
      </c>
      <c r="AE1289">
        <f t="shared" si="40"/>
        <v>45856597</v>
      </c>
    </row>
    <row r="1290" customHeight="1" spans="1:31">
      <c r="A1290" s="2" t="s">
        <v>1620</v>
      </c>
      <c r="B1290" s="2">
        <v>188</v>
      </c>
      <c r="C1290" s="2">
        <v>22450975</v>
      </c>
      <c r="D1290" s="2" t="s">
        <v>30</v>
      </c>
      <c r="E1290" s="2" t="s">
        <v>30</v>
      </c>
      <c r="F1290" t="s">
        <v>30</v>
      </c>
      <c r="G1290" t="s">
        <v>24</v>
      </c>
      <c r="N1290" s="2" t="s">
        <v>18</v>
      </c>
      <c r="O1290" s="2" t="s">
        <v>19</v>
      </c>
      <c r="P1290" s="2">
        <v>37000000</v>
      </c>
      <c r="Q1290" s="2">
        <v>8</v>
      </c>
      <c r="R1290" s="2" t="s">
        <v>2978</v>
      </c>
      <c r="S1290" s="2"/>
      <c r="U1290" s="2" t="s">
        <v>2979</v>
      </c>
      <c r="V1290">
        <f ca="1" t="shared" si="39"/>
        <v>6.5</v>
      </c>
      <c r="AC1290" s="2"/>
      <c r="AD1290" t="str">
        <f>IFERROR(__xludf.DUMMYFUNCTION("""COMPUTED_VALUE"""),"Gothika ")</f>
        <v>Gothika </v>
      </c>
      <c r="AE1290">
        <f t="shared" si="40"/>
        <v>59587970</v>
      </c>
    </row>
    <row r="1291" customHeight="1" spans="1:31">
      <c r="A1291" s="2" t="s">
        <v>1632</v>
      </c>
      <c r="B1291" s="2">
        <v>107</v>
      </c>
      <c r="C1291" s="2">
        <v>44867349</v>
      </c>
      <c r="D1291" s="2" t="s">
        <v>635</v>
      </c>
      <c r="E1291" s="2" t="s">
        <v>12</v>
      </c>
      <c r="F1291" t="s">
        <v>17</v>
      </c>
      <c r="G1291" t="s">
        <v>17</v>
      </c>
      <c r="N1291" s="2" t="s">
        <v>18</v>
      </c>
      <c r="O1291" s="2" t="s">
        <v>19</v>
      </c>
      <c r="P1291" s="2">
        <v>37000000</v>
      </c>
      <c r="Q1291" s="2">
        <v>5.6</v>
      </c>
      <c r="R1291" s="2" t="s">
        <v>2980</v>
      </c>
      <c r="S1291" s="2"/>
      <c r="U1291" s="2" t="s">
        <v>2981</v>
      </c>
      <c r="V1291">
        <f ca="1" t="shared" si="39"/>
        <v>5.7</v>
      </c>
      <c r="AC1291" s="2"/>
      <c r="AD1291" t="str">
        <f>IFERROR(__xludf.DUMMYFUNCTION("""COMPUTED_VALUE"""),"Amistad ")</f>
        <v>Amistad </v>
      </c>
      <c r="AE1291">
        <f t="shared" si="40"/>
        <v>44175239</v>
      </c>
    </row>
    <row r="1292" customHeight="1" spans="1:31">
      <c r="A1292" s="2" t="s">
        <v>1634</v>
      </c>
      <c r="B1292" s="2">
        <v>110</v>
      </c>
      <c r="C1292" s="2">
        <v>46813366</v>
      </c>
      <c r="D1292" s="2" t="s">
        <v>607</v>
      </c>
      <c r="E1292" s="2" t="s">
        <v>40</v>
      </c>
      <c r="F1292" t="s">
        <v>40</v>
      </c>
      <c r="G1292" t="s">
        <v>39</v>
      </c>
      <c r="N1292" s="2" t="s">
        <v>18</v>
      </c>
      <c r="O1292" s="2" t="s">
        <v>19</v>
      </c>
      <c r="P1292" s="2">
        <v>38000000</v>
      </c>
      <c r="Q1292" s="2">
        <v>6.1</v>
      </c>
      <c r="R1292" s="2" t="s">
        <v>2982</v>
      </c>
      <c r="S1292" s="2"/>
      <c r="U1292" s="2" t="s">
        <v>2983</v>
      </c>
      <c r="V1292">
        <f ca="1" t="shared" si="39"/>
        <v>6.1</v>
      </c>
      <c r="AC1292" s="2"/>
      <c r="AD1292" t="str">
        <f>IFERROR(__xludf.DUMMYFUNCTION("""COMPUTED_VALUE"""),"Medicine Man ")</f>
        <v>Medicine Man </v>
      </c>
      <c r="AE1292">
        <f t="shared" si="40"/>
        <v>45500691</v>
      </c>
    </row>
    <row r="1293" customHeight="1" spans="1:31">
      <c r="A1293" s="2" t="s">
        <v>1636</v>
      </c>
      <c r="B1293" s="2">
        <v>113</v>
      </c>
      <c r="C1293" s="2">
        <v>72279690</v>
      </c>
      <c r="D1293" s="2" t="s">
        <v>2984</v>
      </c>
      <c r="E1293" s="2" t="s">
        <v>30</v>
      </c>
      <c r="F1293" t="s">
        <v>30</v>
      </c>
      <c r="G1293" t="s">
        <v>23</v>
      </c>
      <c r="N1293" s="2" t="s">
        <v>18</v>
      </c>
      <c r="O1293" s="2" t="s">
        <v>19</v>
      </c>
      <c r="P1293" s="2">
        <v>37000000</v>
      </c>
      <c r="Q1293" s="2">
        <v>6.9</v>
      </c>
      <c r="R1293" s="2" t="s">
        <v>2985</v>
      </c>
      <c r="S1293" s="2"/>
      <c r="U1293" s="2" t="s">
        <v>2986</v>
      </c>
      <c r="V1293">
        <f ca="1" t="shared" si="39"/>
        <v>6.8</v>
      </c>
      <c r="AC1293" s="2"/>
      <c r="AD1293" t="str">
        <f>IFERROR(__xludf.DUMMYFUNCTION("""COMPUTED_VALUE"""),"Aliens vs. Predator: Requiem ")</f>
        <v>Aliens vs. Predator: Requiem </v>
      </c>
      <c r="AE1293">
        <f t="shared" si="40"/>
        <v>41796964</v>
      </c>
    </row>
    <row r="1294" customHeight="1" spans="1:31">
      <c r="A1294" s="2" t="s">
        <v>1474</v>
      </c>
      <c r="B1294" s="2">
        <v>122</v>
      </c>
      <c r="C1294" s="2">
        <v>191449475</v>
      </c>
      <c r="D1294" s="2" t="s">
        <v>266</v>
      </c>
      <c r="E1294" s="2" t="s">
        <v>30</v>
      </c>
      <c r="F1294" t="s">
        <v>23</v>
      </c>
      <c r="G1294" t="s">
        <v>14</v>
      </c>
      <c r="N1294" s="2" t="s">
        <v>18</v>
      </c>
      <c r="O1294" s="2" t="s">
        <v>19</v>
      </c>
      <c r="P1294" s="2">
        <v>37000000</v>
      </c>
      <c r="Q1294" s="2">
        <v>5.2</v>
      </c>
      <c r="R1294" s="2" t="s">
        <v>2987</v>
      </c>
      <c r="S1294" s="2"/>
      <c r="U1294" s="2" t="s">
        <v>2988</v>
      </c>
      <c r="V1294">
        <f ca="1" t="shared" si="39"/>
        <v>7.7</v>
      </c>
      <c r="AC1294" s="2"/>
      <c r="AD1294" t="str">
        <f>IFERROR(__xludf.DUMMYFUNCTION("""COMPUTED_VALUE"""),"Ri¢hie Ri¢h ")</f>
        <v>Ri¢hie Ri¢h </v>
      </c>
      <c r="AE1294">
        <f t="shared" si="40"/>
        <v>38087661</v>
      </c>
    </row>
    <row r="1295" customHeight="1" spans="1:31">
      <c r="A1295" s="2" t="s">
        <v>1509</v>
      </c>
      <c r="B1295" s="2">
        <v>116</v>
      </c>
      <c r="C1295" s="2">
        <v>71026631</v>
      </c>
      <c r="D1295" s="2" t="s">
        <v>805</v>
      </c>
      <c r="E1295" s="2" t="s">
        <v>56</v>
      </c>
      <c r="F1295" t="s">
        <v>13</v>
      </c>
      <c r="G1295" t="s">
        <v>15</v>
      </c>
      <c r="N1295" s="2" t="s">
        <v>18</v>
      </c>
      <c r="O1295" s="2" t="s">
        <v>19</v>
      </c>
      <c r="P1295" s="2">
        <v>36000000</v>
      </c>
      <c r="Q1295" s="2">
        <v>7</v>
      </c>
      <c r="R1295" s="2" t="s">
        <v>2989</v>
      </c>
      <c r="S1295" s="2"/>
      <c r="U1295" s="2" t="s">
        <v>2990</v>
      </c>
      <c r="V1295">
        <f ca="1" t="shared" si="39"/>
        <v>5.5</v>
      </c>
      <c r="AC1295" s="2"/>
      <c r="AD1295" t="str">
        <f>IFERROR(__xludf.DUMMYFUNCTION("""COMPUTED_VALUE"""),"Autumn in New York ")</f>
        <v>Autumn in New York </v>
      </c>
      <c r="AE1295">
        <f t="shared" si="40"/>
        <v>37752828</v>
      </c>
    </row>
    <row r="1296" customHeight="1" spans="1:31">
      <c r="A1296" s="2" t="s">
        <v>807</v>
      </c>
      <c r="B1296" s="2">
        <v>93</v>
      </c>
      <c r="C1296" s="2">
        <v>68208190</v>
      </c>
      <c r="D1296" s="2" t="s">
        <v>174</v>
      </c>
      <c r="E1296" s="2" t="s">
        <v>12</v>
      </c>
      <c r="F1296" t="s">
        <v>17</v>
      </c>
      <c r="G1296" t="s">
        <v>17</v>
      </c>
      <c r="N1296" s="2" t="s">
        <v>18</v>
      </c>
      <c r="O1296" s="2" t="s">
        <v>19</v>
      </c>
      <c r="P1296" s="2">
        <v>65000000</v>
      </c>
      <c r="Q1296" s="2">
        <v>6.3</v>
      </c>
      <c r="R1296" s="2" t="s">
        <v>2991</v>
      </c>
      <c r="S1296" s="2"/>
      <c r="U1296" s="2" t="s">
        <v>2992</v>
      </c>
      <c r="V1296">
        <f ca="1" t="shared" si="39"/>
        <v>6</v>
      </c>
      <c r="AC1296" s="2"/>
      <c r="AD1296" t="str">
        <f>IFERROR(__xludf.DUMMYFUNCTION("""COMPUTED_VALUE"""),"Paul ")</f>
        <v>Paul </v>
      </c>
      <c r="AE1296">
        <f t="shared" si="40"/>
        <v>37371276</v>
      </c>
    </row>
    <row r="1297" customHeight="1" spans="1:31">
      <c r="A1297" s="2" t="s">
        <v>1257</v>
      </c>
      <c r="B1297" s="2">
        <v>118</v>
      </c>
      <c r="C1297" s="2">
        <v>150368971</v>
      </c>
      <c r="D1297" s="2" t="s">
        <v>383</v>
      </c>
      <c r="E1297" s="2" t="s">
        <v>40</v>
      </c>
      <c r="F1297" t="s">
        <v>17</v>
      </c>
      <c r="G1297" t="s">
        <v>55</v>
      </c>
      <c r="N1297" s="2" t="s">
        <v>18</v>
      </c>
      <c r="O1297" s="2" t="s">
        <v>19</v>
      </c>
      <c r="P1297" s="2">
        <v>37000000</v>
      </c>
      <c r="Q1297" s="2">
        <v>7</v>
      </c>
      <c r="R1297" s="2" t="s">
        <v>2993</v>
      </c>
      <c r="S1297" s="2"/>
      <c r="U1297" s="2" t="s">
        <v>2994</v>
      </c>
      <c r="V1297">
        <f ca="1" t="shared" si="39"/>
        <v>4.1</v>
      </c>
      <c r="AC1297" s="2"/>
      <c r="AD1297" t="str">
        <f>IFERROR(__xludf.DUMMYFUNCTION("""COMPUTED_VALUE"""),"The Guilt Trip ")</f>
        <v>The Guilt Trip </v>
      </c>
      <c r="AE1297">
        <f t="shared" si="40"/>
        <v>37100916</v>
      </c>
    </row>
    <row r="1298" customHeight="1" spans="1:31">
      <c r="A1298" s="2" t="s">
        <v>255</v>
      </c>
      <c r="B1298" s="2">
        <v>93</v>
      </c>
      <c r="C1298" s="2">
        <v>50129186</v>
      </c>
      <c r="D1298" s="2" t="s">
        <v>915</v>
      </c>
      <c r="E1298" s="2" t="s">
        <v>12</v>
      </c>
      <c r="F1298" t="s">
        <v>17</v>
      </c>
      <c r="G1298" t="s">
        <v>17</v>
      </c>
      <c r="N1298" s="2" t="s">
        <v>18</v>
      </c>
      <c r="O1298" s="2" t="s">
        <v>19</v>
      </c>
      <c r="P1298" s="2">
        <v>36000000</v>
      </c>
      <c r="Q1298" s="2">
        <v>6.9</v>
      </c>
      <c r="R1298" s="2" t="s">
        <v>2995</v>
      </c>
      <c r="S1298" s="2"/>
      <c r="U1298" s="2" t="s">
        <v>2996</v>
      </c>
      <c r="V1298">
        <f ca="1" t="shared" si="39"/>
        <v>6.33333333333333</v>
      </c>
      <c r="AC1298" s="2"/>
      <c r="AD1298" t="str">
        <f>IFERROR(__xludf.DUMMYFUNCTION("""COMPUTED_VALUE"""),"Scream 4 ")</f>
        <v>Scream 4 </v>
      </c>
      <c r="AE1298">
        <f t="shared" si="40"/>
        <v>38176781</v>
      </c>
    </row>
    <row r="1299" customHeight="1" spans="1:31">
      <c r="A1299" s="2" t="s">
        <v>1638</v>
      </c>
      <c r="B1299" s="2">
        <v>121</v>
      </c>
      <c r="C1299" s="2">
        <v>55500000</v>
      </c>
      <c r="D1299" s="2" t="s">
        <v>27</v>
      </c>
      <c r="E1299" s="2" t="s">
        <v>12</v>
      </c>
      <c r="F1299" t="s">
        <v>56</v>
      </c>
      <c r="G1299" t="s">
        <v>56</v>
      </c>
      <c r="N1299" s="2" t="s">
        <v>18</v>
      </c>
      <c r="O1299" s="2" t="s">
        <v>31</v>
      </c>
      <c r="P1299" s="2">
        <v>36000000</v>
      </c>
      <c r="Q1299" s="2">
        <v>6.2</v>
      </c>
      <c r="R1299" s="2" t="s">
        <v>2997</v>
      </c>
      <c r="S1299" s="2"/>
      <c r="U1299" s="2" t="s">
        <v>2998</v>
      </c>
      <c r="V1299">
        <f ca="1" t="shared" si="39"/>
        <v>7</v>
      </c>
      <c r="AC1299" s="2"/>
      <c r="AD1299" t="str">
        <f>IFERROR(__xludf.DUMMYFUNCTION("""COMPUTED_VALUE"""),"8MM ")</f>
        <v>8MM </v>
      </c>
      <c r="AE1299">
        <f t="shared" si="40"/>
        <v>36283381</v>
      </c>
    </row>
    <row r="1300" customHeight="1" spans="1:31">
      <c r="A1300" s="2" t="s">
        <v>1641</v>
      </c>
      <c r="B1300" s="2">
        <v>101</v>
      </c>
      <c r="C1300" s="2">
        <v>50213619</v>
      </c>
      <c r="D1300" s="2" t="s">
        <v>2261</v>
      </c>
      <c r="E1300" s="2" t="s">
        <v>40</v>
      </c>
      <c r="F1300" t="s">
        <v>72</v>
      </c>
      <c r="G1300" t="s">
        <v>30</v>
      </c>
      <c r="N1300" s="2" t="s">
        <v>18</v>
      </c>
      <c r="O1300" s="2" t="s">
        <v>19</v>
      </c>
      <c r="P1300" s="2">
        <v>36000000</v>
      </c>
      <c r="Q1300" s="2">
        <v>6.4</v>
      </c>
      <c r="R1300" s="2" t="s">
        <v>2999</v>
      </c>
      <c r="S1300" s="2"/>
      <c r="U1300" s="2" t="s">
        <v>3000</v>
      </c>
      <c r="V1300">
        <f ca="1" t="shared" si="39"/>
        <v>7.1</v>
      </c>
      <c r="AC1300" s="2"/>
      <c r="AD1300" t="str">
        <f>IFERROR(__xludf.DUMMYFUNCTION("""COMPUTED_VALUE"""),"The Doors ")</f>
        <v>The Doors </v>
      </c>
      <c r="AE1300">
        <f t="shared" si="40"/>
        <v>35183652</v>
      </c>
    </row>
    <row r="1301" customHeight="1" spans="1:31">
      <c r="A1301" s="2" t="s">
        <v>1636</v>
      </c>
      <c r="B1301" s="2">
        <v>107</v>
      </c>
      <c r="C1301" s="2">
        <v>42019483</v>
      </c>
      <c r="D1301" s="2" t="s">
        <v>2984</v>
      </c>
      <c r="E1301" s="2" t="s">
        <v>30</v>
      </c>
      <c r="F1301" t="s">
        <v>72</v>
      </c>
      <c r="G1301" t="s">
        <v>24</v>
      </c>
      <c r="N1301" s="2" t="s">
        <v>18</v>
      </c>
      <c r="O1301" s="2" t="s">
        <v>19</v>
      </c>
      <c r="P1301" s="2">
        <v>36000000</v>
      </c>
      <c r="Q1301" s="2">
        <v>6.4</v>
      </c>
      <c r="R1301" s="2" t="s">
        <v>3001</v>
      </c>
      <c r="S1301" s="2"/>
      <c r="U1301" s="2" t="s">
        <v>3002</v>
      </c>
      <c r="V1301">
        <f ca="1" t="shared" si="39"/>
        <v>7</v>
      </c>
      <c r="AC1301" s="2"/>
      <c r="AD1301" t="str">
        <f>IFERROR(__xludf.DUMMYFUNCTION("""COMPUTED_VALUE"""),"Sex Tape ")</f>
        <v>Sex Tape </v>
      </c>
      <c r="AE1301">
        <f t="shared" si="40"/>
        <v>38543379</v>
      </c>
    </row>
    <row r="1302" customHeight="1" spans="1:31">
      <c r="A1302" s="2" t="s">
        <v>1188</v>
      </c>
      <c r="B1302" s="2">
        <v>124</v>
      </c>
      <c r="C1302" s="2">
        <v>23360779</v>
      </c>
      <c r="D1302" s="2" t="s">
        <v>3003</v>
      </c>
      <c r="E1302" s="2" t="s">
        <v>12</v>
      </c>
      <c r="F1302" t="s">
        <v>56</v>
      </c>
      <c r="G1302" t="s">
        <v>17</v>
      </c>
      <c r="N1302" s="2" t="s">
        <v>18</v>
      </c>
      <c r="O1302" s="2" t="s">
        <v>19</v>
      </c>
      <c r="P1302" s="2">
        <v>34000000</v>
      </c>
      <c r="Q1302" s="2">
        <v>5.7</v>
      </c>
      <c r="R1302" s="2" t="s">
        <v>3004</v>
      </c>
      <c r="S1302" s="2"/>
      <c r="U1302" s="2" t="s">
        <v>3005</v>
      </c>
      <c r="V1302">
        <f ca="1" t="shared" si="39"/>
        <v>5.8</v>
      </c>
      <c r="AC1302" s="2"/>
      <c r="AD1302" t="str">
        <f>IFERROR(__xludf.DUMMYFUNCTION("""COMPUTED_VALUE"""),"Hanging Up ")</f>
        <v>Hanging Up </v>
      </c>
      <c r="AE1302">
        <f t="shared" si="40"/>
        <v>36037815</v>
      </c>
    </row>
    <row r="1303" customHeight="1" spans="1:31">
      <c r="A1303" s="2" t="s">
        <v>878</v>
      </c>
      <c r="B1303" s="2">
        <v>109</v>
      </c>
      <c r="C1303" s="2">
        <v>26183197</v>
      </c>
      <c r="D1303" s="2" t="s">
        <v>186</v>
      </c>
      <c r="E1303" s="2" t="s">
        <v>12</v>
      </c>
      <c r="F1303" t="s">
        <v>56</v>
      </c>
      <c r="G1303" t="s">
        <v>55</v>
      </c>
      <c r="N1303" s="2" t="s">
        <v>18</v>
      </c>
      <c r="O1303" s="2" t="s">
        <v>19</v>
      </c>
      <c r="P1303" s="2">
        <v>36000000</v>
      </c>
      <c r="Q1303" s="2">
        <v>6.1</v>
      </c>
      <c r="R1303" s="2" t="s">
        <v>3006</v>
      </c>
      <c r="S1303" s="2"/>
      <c r="U1303" s="2" t="s">
        <v>3007</v>
      </c>
      <c r="V1303">
        <f ca="1" t="shared" si="39"/>
        <v>7</v>
      </c>
      <c r="AC1303" s="2"/>
      <c r="AD1303" t="str">
        <f>IFERROR(__xludf.DUMMYFUNCTION("""COMPUTED_VALUE"""),"Final Destination 5 ")</f>
        <v>Final Destination 5 </v>
      </c>
      <c r="AE1303">
        <f t="shared" si="40"/>
        <v>42575626</v>
      </c>
    </row>
    <row r="1304" customHeight="1" spans="1:31">
      <c r="A1304" s="2" t="s">
        <v>929</v>
      </c>
      <c r="B1304" s="2">
        <v>105</v>
      </c>
      <c r="C1304" s="2">
        <v>20991497</v>
      </c>
      <c r="D1304" s="2" t="s">
        <v>521</v>
      </c>
      <c r="E1304" s="2" t="s">
        <v>40</v>
      </c>
      <c r="F1304" t="s">
        <v>15</v>
      </c>
      <c r="G1304" t="s">
        <v>17</v>
      </c>
      <c r="N1304" s="2" t="s">
        <v>18</v>
      </c>
      <c r="O1304" s="2" t="s">
        <v>19</v>
      </c>
      <c r="P1304" s="2">
        <v>37000000</v>
      </c>
      <c r="Q1304" s="2">
        <v>5.4</v>
      </c>
      <c r="R1304" s="2" t="s">
        <v>3008</v>
      </c>
      <c r="S1304" s="2"/>
      <c r="U1304" s="2" t="s">
        <v>3009</v>
      </c>
      <c r="V1304">
        <f ca="1" t="shared" si="39"/>
        <v>7.4</v>
      </c>
      <c r="AC1304" s="2"/>
      <c r="AD1304" t="str">
        <f>IFERROR(__xludf.DUMMYFUNCTION("""COMPUTED_VALUE"""),"Mickey Blue Eyes ")</f>
        <v>Mickey Blue Eyes </v>
      </c>
      <c r="AE1304">
        <f t="shared" si="40"/>
        <v>33864240</v>
      </c>
    </row>
    <row r="1305" customHeight="1" spans="1:31">
      <c r="A1305" s="2" t="s">
        <v>1030</v>
      </c>
      <c r="B1305" s="2">
        <v>130</v>
      </c>
      <c r="C1305" s="2">
        <v>13052741</v>
      </c>
      <c r="D1305" s="2" t="s">
        <v>2715</v>
      </c>
      <c r="E1305" s="2" t="s">
        <v>30</v>
      </c>
      <c r="F1305" t="s">
        <v>17</v>
      </c>
      <c r="G1305" t="s">
        <v>15</v>
      </c>
      <c r="N1305" s="2" t="s">
        <v>18</v>
      </c>
      <c r="O1305" s="2" t="s">
        <v>19</v>
      </c>
      <c r="P1305" s="2">
        <v>36000000</v>
      </c>
      <c r="Q1305" s="2">
        <v>6.7</v>
      </c>
      <c r="R1305" s="2" t="s">
        <v>3010</v>
      </c>
      <c r="S1305" s="2"/>
      <c r="U1305" s="2" t="s">
        <v>3011</v>
      </c>
      <c r="V1305">
        <f ca="1" t="shared" si="39"/>
        <v>6.7</v>
      </c>
      <c r="AC1305" s="2"/>
      <c r="AD1305" t="str">
        <f>IFERROR(__xludf.DUMMYFUNCTION("""COMPUTED_VALUE"""),"Pay It Forward ")</f>
        <v>Pay It Forward </v>
      </c>
      <c r="AE1305">
        <f t="shared" si="40"/>
        <v>33508799</v>
      </c>
    </row>
    <row r="1306" customHeight="1" spans="1:31">
      <c r="A1306" s="2" t="s">
        <v>1643</v>
      </c>
      <c r="B1306" s="2">
        <v>127</v>
      </c>
      <c r="C1306" s="2">
        <v>14378353</v>
      </c>
      <c r="D1306" s="2" t="s">
        <v>1300</v>
      </c>
      <c r="E1306" s="2" t="s">
        <v>30</v>
      </c>
      <c r="F1306" t="s">
        <v>30</v>
      </c>
      <c r="G1306" t="s">
        <v>28</v>
      </c>
      <c r="N1306" s="2" t="s">
        <v>18</v>
      </c>
      <c r="O1306" s="2" t="s">
        <v>19</v>
      </c>
      <c r="P1306" s="2">
        <v>36000000</v>
      </c>
      <c r="Q1306" s="2">
        <v>6.8</v>
      </c>
      <c r="R1306" s="2" t="s">
        <v>3012</v>
      </c>
      <c r="S1306" s="2"/>
      <c r="U1306" s="2" t="s">
        <v>3013</v>
      </c>
      <c r="V1306">
        <f ca="1" t="shared" si="39"/>
        <v>8.6</v>
      </c>
      <c r="AC1306" s="2"/>
      <c r="AD1306" t="str">
        <f>IFERROR(__xludf.DUMMYFUNCTION("""COMPUTED_VALUE"""),"Fever Pitch ")</f>
        <v>Fever Pitch </v>
      </c>
      <c r="AE1306">
        <f t="shared" si="40"/>
        <v>42070965</v>
      </c>
    </row>
    <row r="1307" customHeight="1" spans="1:31">
      <c r="A1307" s="2" t="s">
        <v>964</v>
      </c>
      <c r="B1307" s="2">
        <v>114</v>
      </c>
      <c r="C1307" s="2">
        <v>33037754</v>
      </c>
      <c r="D1307" s="2" t="s">
        <v>2539</v>
      </c>
      <c r="E1307" s="2" t="s">
        <v>30</v>
      </c>
      <c r="F1307" t="s">
        <v>40</v>
      </c>
      <c r="G1307" t="s">
        <v>56</v>
      </c>
      <c r="N1307" s="2" t="s">
        <v>18</v>
      </c>
      <c r="O1307" s="2" t="s">
        <v>19</v>
      </c>
      <c r="P1307" s="2">
        <v>37000000</v>
      </c>
      <c r="Q1307" s="2">
        <v>6</v>
      </c>
      <c r="R1307" s="2" t="s">
        <v>3014</v>
      </c>
      <c r="S1307" s="2"/>
      <c r="U1307" s="2" t="s">
        <v>3015</v>
      </c>
      <c r="V1307">
        <f ca="1" t="shared" si="39"/>
        <v>6.1</v>
      </c>
      <c r="AC1307" s="2"/>
      <c r="AD1307" t="str">
        <f>IFERROR(__xludf.DUMMYFUNCTION("""COMPUTED_VALUE"""),"Drillbit Taylor ")</f>
        <v>Drillbit Taylor </v>
      </c>
      <c r="AE1307">
        <f t="shared" si="40"/>
        <v>32853538</v>
      </c>
    </row>
    <row r="1308" customHeight="1" spans="1:31">
      <c r="A1308" s="2" t="s">
        <v>1332</v>
      </c>
      <c r="B1308" s="2">
        <v>106</v>
      </c>
      <c r="C1308" s="2">
        <v>12339633</v>
      </c>
      <c r="D1308" s="2" t="s">
        <v>1045</v>
      </c>
      <c r="E1308" s="2" t="s">
        <v>30</v>
      </c>
      <c r="F1308" t="s">
        <v>13</v>
      </c>
      <c r="G1308" t="s">
        <v>17</v>
      </c>
      <c r="N1308" s="2" t="s">
        <v>18</v>
      </c>
      <c r="O1308" s="2" t="s">
        <v>19</v>
      </c>
      <c r="P1308" s="2">
        <v>36000000</v>
      </c>
      <c r="Q1308" s="2">
        <v>7.8</v>
      </c>
      <c r="R1308" s="2" t="s">
        <v>3016</v>
      </c>
      <c r="S1308" s="2"/>
      <c r="U1308" s="2" t="s">
        <v>3017</v>
      </c>
      <c r="V1308">
        <f ca="1" t="shared" si="39"/>
        <v>5.8</v>
      </c>
      <c r="AC1308" s="2"/>
      <c r="AD1308" t="str">
        <f>IFERROR(__xludf.DUMMYFUNCTION("""COMPUTED_VALUE"""),"A Million Ways to Die in the West ")</f>
        <v>A Million Ways to Die in the West </v>
      </c>
      <c r="AE1308">
        <f t="shared" si="40"/>
        <v>42615549</v>
      </c>
    </row>
    <row r="1309" customHeight="1" spans="1:31">
      <c r="A1309" s="2" t="s">
        <v>1324</v>
      </c>
      <c r="B1309" s="2">
        <v>95</v>
      </c>
      <c r="C1309" s="2">
        <v>2954405</v>
      </c>
      <c r="D1309" s="2" t="s">
        <v>3018</v>
      </c>
      <c r="E1309" s="2" t="s">
        <v>59</v>
      </c>
      <c r="F1309" t="s">
        <v>30</v>
      </c>
      <c r="G1309" t="s">
        <v>72</v>
      </c>
      <c r="N1309" s="2" t="s">
        <v>18</v>
      </c>
      <c r="O1309" s="2" t="s">
        <v>19</v>
      </c>
      <c r="P1309" s="2">
        <v>36000000</v>
      </c>
      <c r="Q1309" s="2">
        <v>5.3</v>
      </c>
      <c r="R1309" s="2" t="s">
        <v>3019</v>
      </c>
      <c r="S1309" s="2"/>
      <c r="U1309" s="2" t="s">
        <v>3020</v>
      </c>
      <c r="V1309">
        <f ca="1" t="shared" si="39"/>
        <v>7.7</v>
      </c>
      <c r="AC1309" s="2"/>
      <c r="AD1309" t="str">
        <f>IFERROR(__xludf.DUMMYFUNCTION("""COMPUTED_VALUE"""),"The Shadow ")</f>
        <v>The Shadow </v>
      </c>
      <c r="AE1309">
        <f t="shared" si="40"/>
        <v>32055155</v>
      </c>
    </row>
    <row r="1310" customHeight="1" spans="1:31">
      <c r="A1310" s="2" t="s">
        <v>534</v>
      </c>
      <c r="B1310" s="2">
        <v>81</v>
      </c>
      <c r="C1310" s="2">
        <v>30105968</v>
      </c>
      <c r="D1310" s="2" t="s">
        <v>248</v>
      </c>
      <c r="E1310" s="2" t="s">
        <v>13</v>
      </c>
      <c r="F1310" t="s">
        <v>23</v>
      </c>
      <c r="G1310" t="s">
        <v>28</v>
      </c>
      <c r="N1310" s="2" t="s">
        <v>18</v>
      </c>
      <c r="O1310" s="2" t="s">
        <v>19</v>
      </c>
      <c r="P1310" s="2">
        <v>37000000</v>
      </c>
      <c r="Q1310" s="2">
        <v>4.5</v>
      </c>
      <c r="R1310" s="2" t="s">
        <v>3021</v>
      </c>
      <c r="S1310" s="2"/>
      <c r="U1310" s="2" t="s">
        <v>3022</v>
      </c>
      <c r="V1310">
        <f ca="1" t="shared" si="39"/>
        <v>8</v>
      </c>
      <c r="AC1310" s="2"/>
      <c r="AD1310" t="str">
        <f>IFERROR(__xludf.DUMMYFUNCTION("""COMPUTED_VALUE"""),"Extremely Loud &amp; Incredibly Close ")</f>
        <v>Extremely Loud &amp; Incredibly Close </v>
      </c>
      <c r="AE1310">
        <f t="shared" si="40"/>
        <v>31836616</v>
      </c>
    </row>
    <row r="1311" customHeight="1" spans="1:31">
      <c r="A1311" s="2" t="s">
        <v>1645</v>
      </c>
      <c r="B1311" s="2">
        <v>95</v>
      </c>
      <c r="C1311" s="2">
        <v>37788228</v>
      </c>
      <c r="D1311" s="2" t="s">
        <v>40</v>
      </c>
      <c r="E1311" s="2" t="s">
        <v>40</v>
      </c>
      <c r="F1311" t="s">
        <v>17</v>
      </c>
      <c r="G1311" t="s">
        <v>55</v>
      </c>
      <c r="N1311" s="2" t="s">
        <v>18</v>
      </c>
      <c r="O1311" s="2" t="s">
        <v>19</v>
      </c>
      <c r="P1311" s="2">
        <v>35200000</v>
      </c>
      <c r="Q1311" s="2">
        <v>5.4</v>
      </c>
      <c r="R1311" s="2" t="s">
        <v>3023</v>
      </c>
      <c r="S1311" s="2"/>
      <c r="U1311" s="2" t="s">
        <v>3024</v>
      </c>
      <c r="V1311">
        <f ca="1" t="shared" si="39"/>
        <v>6.7</v>
      </c>
      <c r="AC1311" s="2"/>
      <c r="AD1311" t="str">
        <f>IFERROR(__xludf.DUMMYFUNCTION("""COMPUTED_VALUE"""),"Morning Glory ")</f>
        <v>Morning Glory </v>
      </c>
      <c r="AE1311">
        <f t="shared" si="40"/>
        <v>30993437</v>
      </c>
    </row>
    <row r="1312" customHeight="1" spans="1:31">
      <c r="A1312" s="2" t="s">
        <v>788</v>
      </c>
      <c r="B1312" s="2">
        <v>108</v>
      </c>
      <c r="C1312" s="2">
        <v>277313371</v>
      </c>
      <c r="D1312" s="2" t="s">
        <v>40</v>
      </c>
      <c r="E1312" s="2" t="s">
        <v>40</v>
      </c>
      <c r="F1312" t="s">
        <v>56</v>
      </c>
      <c r="G1312" t="s">
        <v>24</v>
      </c>
      <c r="N1312" s="2" t="s">
        <v>18</v>
      </c>
      <c r="O1312" s="2" t="s">
        <v>19</v>
      </c>
      <c r="P1312" s="2">
        <v>35000000</v>
      </c>
      <c r="Q1312" s="2">
        <v>7.8</v>
      </c>
      <c r="R1312" s="2" t="s">
        <v>3025</v>
      </c>
      <c r="S1312" s="2"/>
      <c r="U1312" s="2" t="s">
        <v>3026</v>
      </c>
      <c r="V1312">
        <f ca="1" t="shared" si="39"/>
        <v>6.6</v>
      </c>
      <c r="AC1312" s="2"/>
      <c r="AD1312" t="str">
        <f>IFERROR(__xludf.DUMMYFUNCTION("""COMPUTED_VALUE"""),"Get Rich or Die Tryin' ")</f>
        <v>Get Rich or Die Tryin' </v>
      </c>
      <c r="AE1312">
        <f t="shared" si="40"/>
        <v>30981733</v>
      </c>
    </row>
    <row r="1313" customHeight="1" spans="1:31">
      <c r="A1313" s="2" t="s">
        <v>1647</v>
      </c>
      <c r="B1313" s="2">
        <v>105</v>
      </c>
      <c r="C1313" s="2">
        <v>2126511</v>
      </c>
      <c r="D1313" s="2" t="s">
        <v>3027</v>
      </c>
      <c r="E1313" s="2" t="s">
        <v>12</v>
      </c>
      <c r="F1313" t="s">
        <v>28</v>
      </c>
      <c r="G1313" t="s">
        <v>14</v>
      </c>
      <c r="N1313" s="2" t="s">
        <v>3028</v>
      </c>
      <c r="O1313" s="2" t="s">
        <v>1554</v>
      </c>
      <c r="P1313" s="2">
        <v>36000000</v>
      </c>
      <c r="Q1313" s="2">
        <v>7.2</v>
      </c>
      <c r="R1313" s="2" t="s">
        <v>3029</v>
      </c>
      <c r="S1313" s="2"/>
      <c r="U1313" s="2" t="s">
        <v>3030</v>
      </c>
      <c r="V1313">
        <f ca="1" t="shared" si="39"/>
        <v>7.3</v>
      </c>
      <c r="AC1313" s="2"/>
      <c r="AD1313" t="str">
        <f>IFERROR(__xludf.DUMMYFUNCTION("""COMPUTED_VALUE"""),"The Art of War ")</f>
        <v>The Art of War </v>
      </c>
      <c r="AE1313">
        <f t="shared" si="40"/>
        <v>30198989</v>
      </c>
    </row>
    <row r="1314" customHeight="1" spans="1:31">
      <c r="A1314" s="2" t="s">
        <v>682</v>
      </c>
      <c r="B1314" s="2">
        <v>95</v>
      </c>
      <c r="C1314" s="2">
        <v>205399422</v>
      </c>
      <c r="D1314" s="2" t="s">
        <v>505</v>
      </c>
      <c r="E1314" s="2" t="s">
        <v>12</v>
      </c>
      <c r="F1314" t="s">
        <v>14</v>
      </c>
      <c r="G1314" t="s">
        <v>55</v>
      </c>
      <c r="N1314" s="2" t="s">
        <v>18</v>
      </c>
      <c r="O1314" s="2" t="s">
        <v>19</v>
      </c>
      <c r="P1314" s="2">
        <v>33000000</v>
      </c>
      <c r="Q1314" s="2">
        <v>6.6</v>
      </c>
      <c r="R1314" s="2" t="s">
        <v>3031</v>
      </c>
      <c r="S1314" s="2"/>
      <c r="U1314" s="2" t="s">
        <v>3032</v>
      </c>
      <c r="V1314">
        <f ca="1" t="shared" si="39"/>
        <v>6.5</v>
      </c>
      <c r="AC1314" s="2"/>
      <c r="AD1314" t="str">
        <f>IFERROR(__xludf.DUMMYFUNCTION("""COMPUTED_VALUE"""),"Rent ")</f>
        <v>Rent </v>
      </c>
      <c r="AE1314">
        <f t="shared" si="40"/>
        <v>29077412</v>
      </c>
    </row>
    <row r="1315" customHeight="1" spans="1:31">
      <c r="A1315" s="2" t="s">
        <v>117</v>
      </c>
      <c r="B1315" s="2">
        <v>126</v>
      </c>
      <c r="C1315" s="2">
        <v>251188924</v>
      </c>
      <c r="D1315" s="2" t="s">
        <v>70</v>
      </c>
      <c r="E1315" s="2" t="s">
        <v>12</v>
      </c>
      <c r="F1315" t="s">
        <v>72</v>
      </c>
      <c r="G1315" t="s">
        <v>30</v>
      </c>
      <c r="N1315" s="2" t="s">
        <v>18</v>
      </c>
      <c r="O1315" s="2" t="s">
        <v>19</v>
      </c>
      <c r="P1315" s="2">
        <v>35000000</v>
      </c>
      <c r="Q1315" s="2">
        <v>7.6</v>
      </c>
      <c r="R1315" s="2" t="s">
        <v>3033</v>
      </c>
      <c r="S1315" s="2"/>
      <c r="U1315" s="2" t="s">
        <v>3034</v>
      </c>
      <c r="V1315">
        <f ca="1" t="shared" si="39"/>
        <v>6.5</v>
      </c>
      <c r="AC1315" s="2"/>
      <c r="AD1315" t="str">
        <f>IFERROR(__xludf.DUMMYFUNCTION("""COMPUTED_VALUE"""),"Bless the Child ")</f>
        <v>Bless the Child </v>
      </c>
      <c r="AE1315">
        <f t="shared" si="40"/>
        <v>29374071</v>
      </c>
    </row>
    <row r="1316" customHeight="1" spans="1:31">
      <c r="A1316" s="2" t="s">
        <v>1353</v>
      </c>
      <c r="B1316" s="2">
        <v>102</v>
      </c>
      <c r="C1316" s="2">
        <v>1068392</v>
      </c>
      <c r="D1316" s="2" t="s">
        <v>3035</v>
      </c>
      <c r="E1316" s="2" t="s">
        <v>59</v>
      </c>
      <c r="F1316" t="s">
        <v>30</v>
      </c>
      <c r="G1316" t="s">
        <v>24</v>
      </c>
      <c r="N1316" s="2" t="s">
        <v>18</v>
      </c>
      <c r="O1316" s="2" t="s">
        <v>1431</v>
      </c>
      <c r="P1316" s="2">
        <v>36000000</v>
      </c>
      <c r="Q1316" s="2">
        <v>5.9</v>
      </c>
      <c r="R1316" s="2" t="s">
        <v>3036</v>
      </c>
      <c r="S1316" s="2"/>
      <c r="U1316" s="2" t="s">
        <v>3037</v>
      </c>
      <c r="V1316">
        <f ca="1" t="shared" si="39"/>
        <v>5.5</v>
      </c>
      <c r="AC1316" s="2"/>
      <c r="AD1316" t="str">
        <f>IFERROR(__xludf.DUMMYFUNCTION("""COMPUTED_VALUE"""),"The Out-of-Towners ")</f>
        <v>The Out-of-Towners </v>
      </c>
      <c r="AE1316">
        <f t="shared" si="40"/>
        <v>28535678</v>
      </c>
    </row>
    <row r="1317" customHeight="1" spans="1:31">
      <c r="A1317" s="2" t="s">
        <v>399</v>
      </c>
      <c r="B1317" s="2">
        <v>121</v>
      </c>
      <c r="C1317" s="2">
        <v>144731527</v>
      </c>
      <c r="D1317" s="2" t="s">
        <v>150</v>
      </c>
      <c r="E1317" s="2" t="s">
        <v>12</v>
      </c>
      <c r="F1317" t="s">
        <v>30</v>
      </c>
      <c r="G1317" t="s">
        <v>28</v>
      </c>
      <c r="N1317" s="2" t="s">
        <v>18</v>
      </c>
      <c r="O1317" s="2" t="s">
        <v>19</v>
      </c>
      <c r="P1317" s="2">
        <v>35000000</v>
      </c>
      <c r="Q1317" s="2">
        <v>6.7</v>
      </c>
      <c r="R1317" s="2" t="s">
        <v>3038</v>
      </c>
      <c r="S1317" s="2"/>
      <c r="U1317" s="2" t="s">
        <v>3039</v>
      </c>
      <c r="V1317">
        <f ca="1" t="shared" si="39"/>
        <v>6.6</v>
      </c>
      <c r="AC1317" s="2"/>
      <c r="AD1317" t="str">
        <f>IFERROR(__xludf.DUMMYFUNCTION("""COMPUTED_VALUE"""),"The Island of Dr. Moreau ")</f>
        <v>The Island of Dr. Moreau </v>
      </c>
      <c r="AE1317">
        <f t="shared" si="40"/>
        <v>27663883</v>
      </c>
    </row>
    <row r="1318" customHeight="1" spans="1:31">
      <c r="A1318" s="2" t="s">
        <v>705</v>
      </c>
      <c r="B1318" s="2">
        <v>129</v>
      </c>
      <c r="C1318" s="2">
        <v>255950375</v>
      </c>
      <c r="D1318" s="2" t="s">
        <v>592</v>
      </c>
      <c r="E1318" s="2" t="s">
        <v>59</v>
      </c>
      <c r="F1318" t="s">
        <v>30</v>
      </c>
      <c r="G1318" t="s">
        <v>23</v>
      </c>
      <c r="N1318" s="2" t="s">
        <v>18</v>
      </c>
      <c r="O1318" s="2" t="s">
        <v>19</v>
      </c>
      <c r="P1318" s="2">
        <v>29000000</v>
      </c>
      <c r="Q1318" s="2">
        <v>7.7</v>
      </c>
      <c r="R1318" s="2" t="s">
        <v>3040</v>
      </c>
      <c r="S1318" s="2"/>
      <c r="U1318" s="2" t="s">
        <v>3041</v>
      </c>
      <c r="V1318">
        <f ca="1" t="shared" si="39"/>
        <v>7.1</v>
      </c>
      <c r="AC1318" s="2"/>
      <c r="AD1318" t="str">
        <f>IFERROR(__xludf.DUMMYFUNCTION("""COMPUTED_VALUE"""),"The Musketeer ")</f>
        <v>The Musketeer </v>
      </c>
      <c r="AE1318">
        <f t="shared" si="40"/>
        <v>27053711</v>
      </c>
    </row>
    <row r="1319" customHeight="1" spans="1:31">
      <c r="A1319" s="2" t="s">
        <v>1225</v>
      </c>
      <c r="B1319" s="2">
        <v>88</v>
      </c>
      <c r="C1319" s="2">
        <v>112692062</v>
      </c>
      <c r="D1319" s="2" t="s">
        <v>1192</v>
      </c>
      <c r="E1319" s="2" t="s">
        <v>12</v>
      </c>
      <c r="F1319" t="s">
        <v>56</v>
      </c>
      <c r="G1319" t="s">
        <v>40</v>
      </c>
      <c r="N1319" s="2" t="s">
        <v>18</v>
      </c>
      <c r="O1319" s="2" t="s">
        <v>19</v>
      </c>
      <c r="P1319" s="2">
        <v>35000000</v>
      </c>
      <c r="Q1319" s="2">
        <v>5.4</v>
      </c>
      <c r="R1319" s="2" t="s">
        <v>3042</v>
      </c>
      <c r="S1319" s="2"/>
      <c r="U1319" s="2" t="s">
        <v>3043</v>
      </c>
      <c r="V1319">
        <f ca="1" t="shared" si="39"/>
        <v>5.6</v>
      </c>
      <c r="AC1319" s="2"/>
      <c r="AD1319" t="str">
        <f>IFERROR(__xludf.DUMMYFUNCTION("""COMPUTED_VALUE"""),"The Other Boleyn Girl ")</f>
        <v>The Other Boleyn Girl </v>
      </c>
      <c r="AE1319">
        <f t="shared" si="40"/>
        <v>26814842</v>
      </c>
    </row>
    <row r="1320" customHeight="1" spans="1:31">
      <c r="A1320" s="2" t="s">
        <v>793</v>
      </c>
      <c r="B1320" s="2">
        <v>106</v>
      </c>
      <c r="C1320" s="2">
        <v>117528646</v>
      </c>
      <c r="D1320" s="2" t="s">
        <v>383</v>
      </c>
      <c r="E1320" s="2" t="s">
        <v>40</v>
      </c>
      <c r="F1320" t="s">
        <v>30</v>
      </c>
      <c r="G1320" t="s">
        <v>24</v>
      </c>
      <c r="N1320" s="2" t="s">
        <v>18</v>
      </c>
      <c r="O1320" s="2" t="s">
        <v>19</v>
      </c>
      <c r="P1320" s="2">
        <v>35000000</v>
      </c>
      <c r="Q1320" s="2">
        <v>6.9</v>
      </c>
      <c r="R1320" s="2" t="s">
        <v>3044</v>
      </c>
      <c r="S1320" s="2"/>
      <c r="U1320" s="2" t="s">
        <v>3045</v>
      </c>
      <c r="V1320">
        <f ca="1" t="shared" si="39"/>
        <v>7.3</v>
      </c>
      <c r="AC1320" s="2"/>
      <c r="AD1320" t="str">
        <f>IFERROR(__xludf.DUMMYFUNCTION("""COMPUTED_VALUE"""),"Sweet November ")</f>
        <v>Sweet November </v>
      </c>
      <c r="AE1320">
        <f t="shared" si="40"/>
        <v>25178046</v>
      </c>
    </row>
    <row r="1321" customHeight="1" spans="1:31">
      <c r="A1321" s="2" t="s">
        <v>1628</v>
      </c>
      <c r="B1321" s="2">
        <v>110</v>
      </c>
      <c r="C1321" s="2">
        <v>171031347</v>
      </c>
      <c r="D1321" s="2" t="s">
        <v>2497</v>
      </c>
      <c r="E1321" s="2" t="s">
        <v>13</v>
      </c>
      <c r="F1321" t="s">
        <v>23</v>
      </c>
      <c r="G1321" t="s">
        <v>56</v>
      </c>
      <c r="N1321" s="2" t="s">
        <v>18</v>
      </c>
      <c r="O1321" s="2" t="s">
        <v>19</v>
      </c>
      <c r="P1321" s="2">
        <v>38000000</v>
      </c>
      <c r="Q1321" s="2">
        <v>7.7</v>
      </c>
      <c r="R1321" s="2" t="s">
        <v>3046</v>
      </c>
      <c r="S1321" s="2"/>
      <c r="U1321" s="2" t="s">
        <v>3047</v>
      </c>
      <c r="V1321">
        <f ca="1" t="shared" si="39"/>
        <v>6.5</v>
      </c>
      <c r="AC1321" s="2"/>
      <c r="AD1321" t="str">
        <f>IFERROR(__xludf.DUMMYFUNCTION("""COMPUTED_VALUE"""),"The Reaping ")</f>
        <v>The Reaping </v>
      </c>
      <c r="AE1321">
        <f t="shared" si="40"/>
        <v>25117399</v>
      </c>
    </row>
    <row r="1322" customHeight="1" spans="1:31">
      <c r="A1322" s="2" t="s">
        <v>1044</v>
      </c>
      <c r="B1322" s="2">
        <v>109</v>
      </c>
      <c r="C1322" s="2">
        <v>124732962</v>
      </c>
      <c r="D1322" s="2" t="s">
        <v>521</v>
      </c>
      <c r="E1322" s="2" t="s">
        <v>40</v>
      </c>
      <c r="F1322" t="s">
        <v>56</v>
      </c>
      <c r="G1322" t="s">
        <v>30</v>
      </c>
      <c r="N1322" s="2" t="s">
        <v>18</v>
      </c>
      <c r="O1322" s="2" t="s">
        <v>19</v>
      </c>
      <c r="P1322" s="2">
        <v>35000000</v>
      </c>
      <c r="Q1322" s="2">
        <v>6.8</v>
      </c>
      <c r="R1322" s="2" t="s">
        <v>3048</v>
      </c>
      <c r="S1322" s="2"/>
      <c r="U1322" s="2" t="s">
        <v>3049</v>
      </c>
      <c r="V1322">
        <f ca="1" t="shared" si="39"/>
        <v>5.2</v>
      </c>
      <c r="AC1322" s="2"/>
      <c r="AD1322" t="str">
        <f>IFERROR(__xludf.DUMMYFUNCTION("""COMPUTED_VALUE"""),"Mean Streets ")</f>
        <v>Mean Streets </v>
      </c>
      <c r="AE1322">
        <f t="shared" si="40"/>
        <v>32533</v>
      </c>
    </row>
    <row r="1323" customHeight="1" spans="1:31">
      <c r="A1323" s="2" t="s">
        <v>1649</v>
      </c>
      <c r="B1323" s="2">
        <v>143</v>
      </c>
      <c r="C1323" s="2">
        <v>82300000</v>
      </c>
      <c r="D1323" s="2" t="s">
        <v>507</v>
      </c>
      <c r="E1323" s="2" t="s">
        <v>13</v>
      </c>
      <c r="F1323" t="s">
        <v>28</v>
      </c>
      <c r="G1323" t="s">
        <v>28</v>
      </c>
      <c r="N1323" s="2" t="s">
        <v>18</v>
      </c>
      <c r="O1323" s="2" t="s">
        <v>19</v>
      </c>
      <c r="P1323" s="2">
        <v>35000000</v>
      </c>
      <c r="Q1323" s="2">
        <v>6.4</v>
      </c>
      <c r="R1323" s="2" t="s">
        <v>3050</v>
      </c>
      <c r="S1323" s="2"/>
      <c r="U1323" s="2" t="s">
        <v>3051</v>
      </c>
      <c r="V1323">
        <f ca="1" t="shared" si="39"/>
        <v>6.3</v>
      </c>
      <c r="AC1323" s="2"/>
      <c r="AD1323" t="str">
        <f>IFERROR(__xludf.DUMMYFUNCTION("""COMPUTED_VALUE"""),"Renaissance Man ")</f>
        <v>Renaissance Man </v>
      </c>
      <c r="AE1323">
        <f t="shared" si="40"/>
        <v>24332196</v>
      </c>
    </row>
    <row r="1324" customHeight="1" spans="1:31">
      <c r="A1324" s="2" t="s">
        <v>793</v>
      </c>
      <c r="B1324" s="2">
        <v>120</v>
      </c>
      <c r="C1324" s="2">
        <v>134455175</v>
      </c>
      <c r="D1324" s="2" t="s">
        <v>383</v>
      </c>
      <c r="E1324" s="2" t="s">
        <v>40</v>
      </c>
      <c r="F1324" t="s">
        <v>23</v>
      </c>
      <c r="G1324" t="s">
        <v>56</v>
      </c>
      <c r="N1324" s="2" t="s">
        <v>18</v>
      </c>
      <c r="O1324" s="2" t="s">
        <v>19</v>
      </c>
      <c r="P1324" s="2">
        <v>35000000</v>
      </c>
      <c r="Q1324" s="2">
        <v>5.7</v>
      </c>
      <c r="R1324" s="2" t="s">
        <v>3052</v>
      </c>
      <c r="S1324" s="2"/>
      <c r="U1324" s="2" t="s">
        <v>3053</v>
      </c>
      <c r="V1324">
        <f ca="1" t="shared" si="39"/>
        <v>6.95</v>
      </c>
      <c r="AC1324" s="2"/>
      <c r="AD1324" t="str">
        <f>IFERROR(__xludf.DUMMYFUNCTION("""COMPUTED_VALUE"""),"Colombiana ")</f>
        <v>Colombiana </v>
      </c>
      <c r="AE1324">
        <f t="shared" si="40"/>
        <v>36665742</v>
      </c>
    </row>
    <row r="1325" customHeight="1" spans="1:31">
      <c r="A1325" s="2" t="s">
        <v>196</v>
      </c>
      <c r="B1325" s="2">
        <v>128</v>
      </c>
      <c r="C1325" s="2">
        <v>79100000</v>
      </c>
      <c r="D1325" s="2" t="s">
        <v>557</v>
      </c>
      <c r="E1325" s="2" t="s">
        <v>56</v>
      </c>
      <c r="F1325" t="s">
        <v>30</v>
      </c>
      <c r="G1325" t="s">
        <v>14</v>
      </c>
      <c r="N1325" s="2" t="s">
        <v>18</v>
      </c>
      <c r="O1325" s="2" t="s">
        <v>19</v>
      </c>
      <c r="P1325" s="2">
        <v>35000000</v>
      </c>
      <c r="Q1325" s="2">
        <v>7.3</v>
      </c>
      <c r="R1325" s="2" t="s">
        <v>3054</v>
      </c>
      <c r="S1325" s="2"/>
      <c r="U1325" s="2" t="s">
        <v>3055</v>
      </c>
      <c r="V1325">
        <f ca="1" t="shared" si="39"/>
        <v>7.2</v>
      </c>
      <c r="AC1325" s="2"/>
      <c r="AD1325" t="str">
        <f>IFERROR(__xludf.DUMMYFUNCTION("""COMPUTED_VALUE"""),"The Magic Sword: Quest for Camelot ")</f>
        <v>The Magic Sword: Quest for Camelot </v>
      </c>
      <c r="AE1325">
        <f t="shared" si="40"/>
        <v>22717672</v>
      </c>
    </row>
    <row r="1326" customHeight="1" spans="1:31">
      <c r="A1326" s="2" t="s">
        <v>884</v>
      </c>
      <c r="B1326" s="2">
        <v>123</v>
      </c>
      <c r="C1326" s="2">
        <v>81159365</v>
      </c>
      <c r="D1326" s="2" t="s">
        <v>805</v>
      </c>
      <c r="E1326" s="2" t="s">
        <v>56</v>
      </c>
      <c r="F1326" t="s">
        <v>28</v>
      </c>
      <c r="G1326" t="s">
        <v>17</v>
      </c>
      <c r="N1326" s="2" t="s">
        <v>18</v>
      </c>
      <c r="O1326" s="2" t="s">
        <v>19</v>
      </c>
      <c r="P1326" s="2">
        <v>35000000</v>
      </c>
      <c r="Q1326" s="2">
        <v>6.8</v>
      </c>
      <c r="R1326" s="2" t="s">
        <v>3056</v>
      </c>
      <c r="S1326" s="2"/>
      <c r="U1326" s="2" t="s">
        <v>3057</v>
      </c>
      <c r="V1326">
        <f ca="1" t="shared" si="39"/>
        <v>7.2</v>
      </c>
      <c r="AC1326" s="2"/>
      <c r="AD1326" t="str">
        <f>IFERROR(__xludf.DUMMYFUNCTION("""COMPUTED_VALUE"""),"City by the Sea ")</f>
        <v>City by the Sea </v>
      </c>
      <c r="AE1326">
        <f t="shared" si="40"/>
        <v>22433807</v>
      </c>
    </row>
    <row r="1327" customHeight="1" spans="1:31">
      <c r="A1327" s="2" t="s">
        <v>910</v>
      </c>
      <c r="B1327" s="2">
        <v>129</v>
      </c>
      <c r="C1327" s="2">
        <v>110008260</v>
      </c>
      <c r="D1327" s="2" t="s">
        <v>607</v>
      </c>
      <c r="E1327" s="2" t="s">
        <v>40</v>
      </c>
      <c r="F1327" t="s">
        <v>35</v>
      </c>
      <c r="G1327" t="s">
        <v>28</v>
      </c>
      <c r="N1327" s="2" t="s">
        <v>18</v>
      </c>
      <c r="O1327" s="2" t="s">
        <v>1160</v>
      </c>
      <c r="P1327" s="2">
        <v>35000000</v>
      </c>
      <c r="Q1327" s="2">
        <v>6.3</v>
      </c>
      <c r="R1327" s="2" t="s">
        <v>3058</v>
      </c>
      <c r="S1327" s="2"/>
      <c r="U1327" s="2" t="s">
        <v>3059</v>
      </c>
      <c r="V1327">
        <f ca="1" t="shared" si="39"/>
        <v>5.3</v>
      </c>
      <c r="AC1327" s="2"/>
      <c r="AD1327" t="str">
        <f>IFERROR(__xludf.DUMMYFUNCTION("""COMPUTED_VALUE"""),"At First Sight ")</f>
        <v>At First Sight </v>
      </c>
      <c r="AE1327">
        <f t="shared" si="40"/>
        <v>22326119</v>
      </c>
    </row>
    <row r="1328" customHeight="1" spans="1:31">
      <c r="A1328" s="2" t="s">
        <v>1651</v>
      </c>
      <c r="B1328" s="2">
        <v>105</v>
      </c>
      <c r="C1328" s="2">
        <v>67962333</v>
      </c>
      <c r="D1328" s="2" t="s">
        <v>607</v>
      </c>
      <c r="E1328" s="2" t="s">
        <v>40</v>
      </c>
      <c r="F1328" t="s">
        <v>30</v>
      </c>
      <c r="G1328" t="s">
        <v>56</v>
      </c>
      <c r="N1328" s="2" t="s">
        <v>18</v>
      </c>
      <c r="O1328" s="2" t="s">
        <v>19</v>
      </c>
      <c r="P1328" s="2">
        <v>35000000</v>
      </c>
      <c r="Q1328" s="2">
        <v>5.9</v>
      </c>
      <c r="R1328" s="2" t="s">
        <v>3060</v>
      </c>
      <c r="S1328" s="2"/>
      <c r="U1328" s="2" t="s">
        <v>3061</v>
      </c>
      <c r="V1328">
        <f ca="1" t="shared" si="39"/>
        <v>6.7</v>
      </c>
      <c r="AC1328" s="2"/>
      <c r="AD1328" t="str">
        <f>IFERROR(__xludf.DUMMYFUNCTION("""COMPUTED_VALUE"""),"Torque ")</f>
        <v>Torque </v>
      </c>
      <c r="AE1328">
        <f t="shared" si="40"/>
        <v>21176238</v>
      </c>
    </row>
    <row r="1329" customHeight="1" spans="1:31">
      <c r="A1329" s="2" t="s">
        <v>801</v>
      </c>
      <c r="B1329" s="2">
        <v>162</v>
      </c>
      <c r="C1329" s="2">
        <v>78651430</v>
      </c>
      <c r="D1329" s="2" t="s">
        <v>3062</v>
      </c>
      <c r="E1329" s="2" t="s">
        <v>30</v>
      </c>
      <c r="F1329" t="s">
        <v>40</v>
      </c>
      <c r="G1329" t="s">
        <v>56</v>
      </c>
      <c r="N1329" s="2" t="s">
        <v>18</v>
      </c>
      <c r="O1329" s="2" t="s">
        <v>19</v>
      </c>
      <c r="P1329" s="2">
        <v>27000000</v>
      </c>
      <c r="Q1329" s="2">
        <v>7.4</v>
      </c>
      <c r="R1329" s="2" t="s">
        <v>3063</v>
      </c>
      <c r="S1329" s="2"/>
      <c r="U1329" s="2" t="s">
        <v>3064</v>
      </c>
      <c r="V1329">
        <f ca="1" t="shared" si="39"/>
        <v>7.3</v>
      </c>
      <c r="AC1329" s="2"/>
      <c r="AD1329" t="str">
        <f>IFERROR(__xludf.DUMMYFUNCTION("""COMPUTED_VALUE"""),"City Hall ")</f>
        <v>City Hall </v>
      </c>
      <c r="AE1329">
        <f t="shared" si="40"/>
        <v>20299889</v>
      </c>
    </row>
    <row r="1330" customHeight="1" spans="1:31">
      <c r="A1330" s="2" t="s">
        <v>1227</v>
      </c>
      <c r="B1330" s="2">
        <v>138</v>
      </c>
      <c r="C1330" s="2">
        <v>64604977</v>
      </c>
      <c r="D1330" s="2" t="s">
        <v>814</v>
      </c>
      <c r="E1330" s="2" t="s">
        <v>56</v>
      </c>
      <c r="F1330" t="s">
        <v>30</v>
      </c>
      <c r="G1330" t="s">
        <v>17</v>
      </c>
      <c r="N1330" s="2" t="s">
        <v>18</v>
      </c>
      <c r="O1330" s="2" t="s">
        <v>19</v>
      </c>
      <c r="P1330" s="2">
        <v>35000000</v>
      </c>
      <c r="Q1330" s="2">
        <v>8.3</v>
      </c>
      <c r="R1330" s="2" t="s">
        <v>3065</v>
      </c>
      <c r="S1330" s="2"/>
      <c r="U1330" s="2" t="s">
        <v>3066</v>
      </c>
      <c r="V1330">
        <f ca="1" t="shared" si="39"/>
        <v>6.7</v>
      </c>
      <c r="AC1330" s="2"/>
      <c r="AD1330" t="str">
        <f>IFERROR(__xludf.DUMMYFUNCTION("""COMPUTED_VALUE"""),"Showgirls ")</f>
        <v>Showgirls </v>
      </c>
      <c r="AE1330">
        <f t="shared" si="40"/>
        <v>20302830</v>
      </c>
    </row>
    <row r="1331" customHeight="1" spans="1:31">
      <c r="A1331" s="2" t="s">
        <v>239</v>
      </c>
      <c r="B1331" s="2">
        <v>100</v>
      </c>
      <c r="C1331" s="2">
        <v>63939454</v>
      </c>
      <c r="D1331" s="2" t="s">
        <v>3067</v>
      </c>
      <c r="E1331" s="2" t="s">
        <v>13</v>
      </c>
      <c r="F1331" t="s">
        <v>72</v>
      </c>
      <c r="G1331" t="s">
        <v>71</v>
      </c>
      <c r="N1331" s="2" t="s">
        <v>18</v>
      </c>
      <c r="O1331" s="2" t="s">
        <v>19</v>
      </c>
      <c r="P1331" s="2">
        <v>35000000</v>
      </c>
      <c r="Q1331" s="2">
        <v>6.2</v>
      </c>
      <c r="R1331" s="2" t="s">
        <v>3068</v>
      </c>
      <c r="S1331" s="2"/>
      <c r="U1331" s="2" t="s">
        <v>3069</v>
      </c>
      <c r="V1331">
        <f ca="1" t="shared" si="39"/>
        <v>6.6</v>
      </c>
      <c r="AC1331" s="2"/>
      <c r="AD1331" t="str">
        <f>IFERROR(__xludf.DUMMYFUNCTION("""COMPUTED_VALUE"""),"Marie Antoinette ")</f>
        <v>Marie Antoinette </v>
      </c>
      <c r="AE1331">
        <f t="shared" si="40"/>
        <v>15962348</v>
      </c>
    </row>
    <row r="1332" customHeight="1" spans="1:31">
      <c r="A1332" s="2" t="s">
        <v>679</v>
      </c>
      <c r="B1332" s="2">
        <v>90</v>
      </c>
      <c r="C1332" s="2">
        <v>63826569</v>
      </c>
      <c r="D1332" s="2" t="s">
        <v>40</v>
      </c>
      <c r="E1332" s="2" t="s">
        <v>40</v>
      </c>
      <c r="F1332" t="s">
        <v>56</v>
      </c>
      <c r="G1332" t="s">
        <v>15</v>
      </c>
      <c r="N1332" s="2" t="s">
        <v>18</v>
      </c>
      <c r="O1332" s="2" t="s">
        <v>19</v>
      </c>
      <c r="P1332" s="2">
        <v>35000000</v>
      </c>
      <c r="Q1332" s="2">
        <v>6.3</v>
      </c>
      <c r="R1332" s="2" t="s">
        <v>3070</v>
      </c>
      <c r="S1332" s="2"/>
      <c r="U1332" s="2" t="s">
        <v>3071</v>
      </c>
      <c r="V1332">
        <f ca="1" t="shared" si="39"/>
        <v>7.3</v>
      </c>
      <c r="AC1332" s="2"/>
      <c r="AD1332" t="str">
        <f>IFERROR(__xludf.DUMMYFUNCTION("""COMPUTED_VALUE"""),"Kiss of Death ")</f>
        <v>Kiss of Death </v>
      </c>
      <c r="AE1332">
        <f t="shared" si="40"/>
        <v>14942321</v>
      </c>
    </row>
    <row r="1333" customHeight="1" spans="1:31">
      <c r="A1333" s="2" t="s">
        <v>543</v>
      </c>
      <c r="B1333" s="2">
        <v>108</v>
      </c>
      <c r="C1333" s="2">
        <v>60054449</v>
      </c>
      <c r="D1333" s="2" t="s">
        <v>843</v>
      </c>
      <c r="E1333" s="2" t="s">
        <v>12</v>
      </c>
      <c r="F1333" t="s">
        <v>40</v>
      </c>
      <c r="G1333" t="s">
        <v>29</v>
      </c>
      <c r="N1333" s="2" t="s">
        <v>18</v>
      </c>
      <c r="O1333" s="2" t="s">
        <v>19</v>
      </c>
      <c r="P1333" s="2">
        <v>35000000</v>
      </c>
      <c r="Q1333" s="2">
        <v>5.8</v>
      </c>
      <c r="R1333" s="2" t="s">
        <v>3072</v>
      </c>
      <c r="S1333" s="2"/>
      <c r="U1333" s="2" t="s">
        <v>3073</v>
      </c>
      <c r="V1333">
        <f ca="1" t="shared" si="39"/>
        <v>6.2</v>
      </c>
      <c r="AC1333" s="2"/>
      <c r="AD1333" t="str">
        <f>IFERROR(__xludf.DUMMYFUNCTION("""COMPUTED_VALUE"""),"Get Carter ")</f>
        <v>Get Carter </v>
      </c>
      <c r="AE1333">
        <f t="shared" si="40"/>
        <v>14967080</v>
      </c>
    </row>
    <row r="1334" customHeight="1" spans="1:31">
      <c r="A1334" s="2" t="s">
        <v>1502</v>
      </c>
      <c r="B1334" s="2">
        <v>101</v>
      </c>
      <c r="C1334" s="2">
        <v>26505000</v>
      </c>
      <c r="D1334" s="2" t="s">
        <v>72</v>
      </c>
      <c r="E1334" s="2" t="s">
        <v>72</v>
      </c>
      <c r="F1334" t="s">
        <v>30</v>
      </c>
      <c r="G1334" t="s">
        <v>56</v>
      </c>
      <c r="N1334" s="2" t="s">
        <v>18</v>
      </c>
      <c r="O1334" s="2" t="s">
        <v>19</v>
      </c>
      <c r="P1334" s="2">
        <v>1800000</v>
      </c>
      <c r="Q1334" s="2">
        <v>7.5</v>
      </c>
      <c r="R1334" s="2" t="s">
        <v>3074</v>
      </c>
      <c r="S1334" s="2"/>
      <c r="U1334" s="2" t="s">
        <v>3075</v>
      </c>
      <c r="V1334">
        <f ca="1" t="shared" si="39"/>
        <v>6.6</v>
      </c>
      <c r="AC1334" s="2"/>
      <c r="AD1334" t="str">
        <f>IFERROR(__xludf.DUMMYFUNCTION("""COMPUTED_VALUE"""),"The Impossible ")</f>
        <v>The Impossible </v>
      </c>
      <c r="AE1334">
        <f t="shared" si="40"/>
        <v>18996641</v>
      </c>
    </row>
    <row r="1335" customHeight="1" spans="1:31">
      <c r="A1335" s="2" t="s">
        <v>774</v>
      </c>
      <c r="B1335" s="2">
        <v>109</v>
      </c>
      <c r="C1335" s="2">
        <v>61280963</v>
      </c>
      <c r="D1335" s="2" t="s">
        <v>1764</v>
      </c>
      <c r="E1335" s="2" t="s">
        <v>72</v>
      </c>
      <c r="F1335" t="s">
        <v>56</v>
      </c>
      <c r="G1335" t="s">
        <v>72</v>
      </c>
      <c r="N1335" s="2" t="s">
        <v>18</v>
      </c>
      <c r="O1335" s="2" t="s">
        <v>19</v>
      </c>
      <c r="P1335" s="2">
        <v>33000000</v>
      </c>
      <c r="Q1335" s="2">
        <v>6.3</v>
      </c>
      <c r="R1335" s="2" t="s">
        <v>3076</v>
      </c>
      <c r="S1335" s="2"/>
      <c r="U1335" s="2" t="s">
        <v>3077</v>
      </c>
      <c r="V1335">
        <f ca="1" t="shared" ref="V1335:V1398" si="41">AVERAGEIF(A1219:A5004,U1335,Q1220:Q5004)</f>
        <v>6.3</v>
      </c>
      <c r="AC1335" s="2"/>
      <c r="AD1335" t="str">
        <f>IFERROR(__xludf.DUMMYFUNCTION("""COMPUTED_VALUE"""),"Ishtar ")</f>
        <v>Ishtar </v>
      </c>
      <c r="AE1335">
        <f t="shared" ref="AE1335:AE1398" si="42">C1219-B1219</f>
        <v>14375074</v>
      </c>
    </row>
    <row r="1336" customHeight="1" spans="1:31">
      <c r="A1336" s="2" t="s">
        <v>932</v>
      </c>
      <c r="B1336" s="2">
        <v>132</v>
      </c>
      <c r="C1336" s="2">
        <v>56876365</v>
      </c>
      <c r="D1336" s="2" t="s">
        <v>70</v>
      </c>
      <c r="E1336" s="2" t="s">
        <v>12</v>
      </c>
      <c r="F1336" t="s">
        <v>17</v>
      </c>
      <c r="G1336" t="s">
        <v>30</v>
      </c>
      <c r="N1336" s="2" t="s">
        <v>18</v>
      </c>
      <c r="O1336" s="2" t="s">
        <v>19</v>
      </c>
      <c r="P1336" s="2">
        <v>35000000</v>
      </c>
      <c r="Q1336" s="2">
        <v>6.4</v>
      </c>
      <c r="R1336" s="2" t="s">
        <v>3078</v>
      </c>
      <c r="S1336" s="2"/>
      <c r="U1336" s="2" t="s">
        <v>3079</v>
      </c>
      <c r="V1336">
        <f ca="1" t="shared" si="41"/>
        <v>6.2</v>
      </c>
      <c r="AC1336" s="2"/>
      <c r="AD1336" t="str">
        <f>IFERROR(__xludf.DUMMYFUNCTION("""COMPUTED_VALUE"""),"Fantastic Mr. Fox ")</f>
        <v>Fantastic Mr. Fox </v>
      </c>
      <c r="AE1336">
        <f t="shared" si="42"/>
        <v>20999016</v>
      </c>
    </row>
    <row r="1337" customHeight="1" spans="1:31">
      <c r="A1337" s="2" t="s">
        <v>932</v>
      </c>
      <c r="B1337" s="2">
        <v>123</v>
      </c>
      <c r="C1337" s="2">
        <v>59699513</v>
      </c>
      <c r="D1337" s="2" t="s">
        <v>3080</v>
      </c>
      <c r="E1337" s="2" t="s">
        <v>59</v>
      </c>
      <c r="F1337" t="s">
        <v>23</v>
      </c>
      <c r="G1337" t="s">
        <v>17</v>
      </c>
      <c r="N1337" s="2" t="s">
        <v>18</v>
      </c>
      <c r="O1337" s="2" t="s">
        <v>19</v>
      </c>
      <c r="P1337" s="2">
        <v>35000000</v>
      </c>
      <c r="Q1337" s="2">
        <v>7.2</v>
      </c>
      <c r="R1337" s="2" t="s">
        <v>3081</v>
      </c>
      <c r="S1337" s="2"/>
      <c r="U1337" s="2" t="s">
        <v>3082</v>
      </c>
      <c r="V1337">
        <f ca="1" t="shared" si="41"/>
        <v>3.5</v>
      </c>
      <c r="AC1337" s="2"/>
      <c r="AD1337" t="str">
        <f>IFERROR(__xludf.DUMMYFUNCTION("""COMPUTED_VALUE"""),"Life or Something Like It ")</f>
        <v>Life or Something Like It </v>
      </c>
      <c r="AE1337">
        <f t="shared" si="42"/>
        <v>14448486</v>
      </c>
    </row>
    <row r="1338" customHeight="1" spans="1:31">
      <c r="A1338" s="2" t="s">
        <v>1654</v>
      </c>
      <c r="B1338" s="2">
        <v>87</v>
      </c>
      <c r="C1338" s="2">
        <v>54132596</v>
      </c>
      <c r="D1338" s="2" t="s">
        <v>336</v>
      </c>
      <c r="E1338" s="2" t="s">
        <v>12</v>
      </c>
      <c r="F1338" t="s">
        <v>24</v>
      </c>
      <c r="G1338" t="s">
        <v>40</v>
      </c>
      <c r="N1338" s="2" t="s">
        <v>18</v>
      </c>
      <c r="O1338" s="2" t="s">
        <v>1554</v>
      </c>
      <c r="P1338" s="2">
        <v>34000000</v>
      </c>
      <c r="Q1338" s="2">
        <v>6.3</v>
      </c>
      <c r="R1338" s="2" t="s">
        <v>3083</v>
      </c>
      <c r="S1338" s="2"/>
      <c r="U1338" s="2" t="s">
        <v>3084</v>
      </c>
      <c r="V1338">
        <f ca="1" t="shared" si="41"/>
        <v>5.5</v>
      </c>
      <c r="AC1338" s="2"/>
      <c r="AD1338" t="str">
        <f>IFERROR(__xludf.DUMMYFUNCTION("""COMPUTED_VALUE"""),"Memoirs of an Invisible Man ")</f>
        <v>Memoirs of an Invisible Man </v>
      </c>
      <c r="AE1338">
        <f t="shared" si="42"/>
        <v>14357934</v>
      </c>
    </row>
    <row r="1339" customHeight="1" spans="1:31">
      <c r="A1339" s="2" t="s">
        <v>1657</v>
      </c>
      <c r="B1339" s="2">
        <v>109</v>
      </c>
      <c r="C1339" s="2">
        <v>52277485</v>
      </c>
      <c r="D1339" s="2" t="s">
        <v>592</v>
      </c>
      <c r="E1339" s="2" t="s">
        <v>59</v>
      </c>
      <c r="F1339" t="s">
        <v>30</v>
      </c>
      <c r="G1339" t="s">
        <v>30</v>
      </c>
      <c r="N1339" s="2" t="s">
        <v>18</v>
      </c>
      <c r="O1339" s="2" t="s">
        <v>19</v>
      </c>
      <c r="P1339" s="2">
        <v>35000000</v>
      </c>
      <c r="Q1339" s="2">
        <v>6.9</v>
      </c>
      <c r="R1339" s="2" t="s">
        <v>3085</v>
      </c>
      <c r="S1339" s="2"/>
      <c r="U1339" s="2" t="s">
        <v>3086</v>
      </c>
      <c r="V1339">
        <f ca="1" t="shared" si="41"/>
        <v>5.9</v>
      </c>
      <c r="AC1339" s="2"/>
      <c r="AD1339" t="str">
        <f>IFERROR(__xludf.DUMMYFUNCTION("""COMPUTED_VALUE"""),"Amélie ")</f>
        <v>Amélie </v>
      </c>
      <c r="AE1339">
        <f t="shared" si="42"/>
        <v>33201539</v>
      </c>
    </row>
    <row r="1340" customHeight="1" spans="1:31">
      <c r="A1340" s="2" t="s">
        <v>1006</v>
      </c>
      <c r="B1340" s="2">
        <v>109</v>
      </c>
      <c r="C1340" s="2">
        <v>55802754</v>
      </c>
      <c r="D1340" s="2" t="s">
        <v>607</v>
      </c>
      <c r="E1340" s="2" t="s">
        <v>40</v>
      </c>
      <c r="F1340" t="s">
        <v>83</v>
      </c>
      <c r="G1340" t="s">
        <v>40</v>
      </c>
      <c r="N1340" s="2" t="s">
        <v>18</v>
      </c>
      <c r="O1340" s="2" t="s">
        <v>19</v>
      </c>
      <c r="P1340" s="2">
        <v>35000000</v>
      </c>
      <c r="Q1340" s="2">
        <v>6.6</v>
      </c>
      <c r="R1340" s="2" t="s">
        <v>3087</v>
      </c>
      <c r="S1340" s="2"/>
      <c r="U1340" s="2" t="s">
        <v>3088</v>
      </c>
      <c r="V1340">
        <f ca="1" t="shared" si="41"/>
        <v>4.7</v>
      </c>
      <c r="AC1340" s="2"/>
      <c r="AD1340" t="str">
        <f>IFERROR(__xludf.DUMMYFUNCTION("""COMPUTED_VALUE"""),"New York Minute ")</f>
        <v>New York Minute </v>
      </c>
      <c r="AE1340">
        <f t="shared" si="42"/>
        <v>14018273</v>
      </c>
    </row>
    <row r="1341" customHeight="1" spans="1:31">
      <c r="A1341" s="2" t="s">
        <v>1659</v>
      </c>
      <c r="B1341" s="2">
        <v>92</v>
      </c>
      <c r="C1341" s="2">
        <v>55291815</v>
      </c>
      <c r="D1341" s="2" t="s">
        <v>40</v>
      </c>
      <c r="E1341" s="2" t="s">
        <v>40</v>
      </c>
      <c r="F1341" t="s">
        <v>71</v>
      </c>
      <c r="G1341" t="s">
        <v>17</v>
      </c>
      <c r="N1341" s="2" t="s">
        <v>18</v>
      </c>
      <c r="O1341" s="2" t="s">
        <v>19</v>
      </c>
      <c r="P1341" s="2">
        <v>35000000</v>
      </c>
      <c r="Q1341" s="2">
        <v>6</v>
      </c>
      <c r="R1341" s="2" t="s">
        <v>3089</v>
      </c>
      <c r="S1341" s="2"/>
      <c r="U1341" s="2" t="s">
        <v>3090</v>
      </c>
      <c r="V1341">
        <f ca="1" t="shared" si="41"/>
        <v>3.9</v>
      </c>
      <c r="AC1341" s="2"/>
      <c r="AD1341" t="str">
        <f>IFERROR(__xludf.DUMMYFUNCTION("""COMPUTED_VALUE"""),"Alfie ")</f>
        <v>Alfie </v>
      </c>
      <c r="AE1341">
        <f t="shared" si="42"/>
        <v>13395836</v>
      </c>
    </row>
    <row r="1342" customHeight="1" spans="1:31">
      <c r="A1342" s="2" t="s">
        <v>705</v>
      </c>
      <c r="B1342" s="2">
        <v>125</v>
      </c>
      <c r="C1342" s="2">
        <v>83299761</v>
      </c>
      <c r="D1342" s="2" t="s">
        <v>3091</v>
      </c>
      <c r="E1342" s="2" t="s">
        <v>59</v>
      </c>
      <c r="F1342" t="s">
        <v>30</v>
      </c>
      <c r="G1342" t="s">
        <v>24</v>
      </c>
      <c r="N1342" s="2" t="s">
        <v>18</v>
      </c>
      <c r="O1342" s="2" t="s">
        <v>19</v>
      </c>
      <c r="P1342" s="2">
        <v>35000000</v>
      </c>
      <c r="Q1342" s="2">
        <v>7.5</v>
      </c>
      <c r="R1342" s="2" t="s">
        <v>3092</v>
      </c>
      <c r="S1342" s="2"/>
      <c r="U1342" s="2" t="s">
        <v>3093</v>
      </c>
      <c r="V1342">
        <f ca="1" t="shared" si="41"/>
        <v>6.1</v>
      </c>
      <c r="AC1342" s="2"/>
      <c r="AD1342" t="str">
        <f>IFERROR(__xludf.DUMMYFUNCTION("""COMPUTED_VALUE"""),"Big Miracle ")</f>
        <v>Big Miracle </v>
      </c>
      <c r="AE1342">
        <f t="shared" si="42"/>
        <v>20113858</v>
      </c>
    </row>
    <row r="1343" customHeight="1" spans="1:31">
      <c r="A1343" s="2" t="s">
        <v>1259</v>
      </c>
      <c r="B1343" s="2">
        <v>202</v>
      </c>
      <c r="C1343" s="2">
        <v>48169908</v>
      </c>
      <c r="D1343" s="2" t="s">
        <v>2530</v>
      </c>
      <c r="E1343" s="2" t="s">
        <v>59</v>
      </c>
      <c r="F1343" t="s">
        <v>56</v>
      </c>
      <c r="G1343" t="s">
        <v>17</v>
      </c>
      <c r="N1343" s="2" t="s">
        <v>18</v>
      </c>
      <c r="O1343" s="2" t="s">
        <v>19</v>
      </c>
      <c r="P1343" s="2">
        <v>33000000</v>
      </c>
      <c r="Q1343" s="2">
        <v>7.7</v>
      </c>
      <c r="R1343" s="2" t="s">
        <v>3094</v>
      </c>
      <c r="S1343" s="2"/>
      <c r="U1343" s="2" t="s">
        <v>3095</v>
      </c>
      <c r="V1343">
        <f ca="1" t="shared" si="41"/>
        <v>6.7</v>
      </c>
      <c r="AC1343" s="2"/>
      <c r="AD1343" t="str">
        <f>IFERROR(__xludf.DUMMYFUNCTION("""COMPUTED_VALUE"""),"The Deep End of the Ocean ")</f>
        <v>The Deep End of the Ocean </v>
      </c>
      <c r="AE1343">
        <f t="shared" si="42"/>
        <v>13376400</v>
      </c>
    </row>
    <row r="1344" customHeight="1" spans="1:31">
      <c r="A1344" s="2" t="s">
        <v>910</v>
      </c>
      <c r="B1344" s="2">
        <v>134</v>
      </c>
      <c r="C1344" s="2">
        <v>67523385</v>
      </c>
      <c r="D1344" s="2" t="s">
        <v>40</v>
      </c>
      <c r="E1344" s="2" t="s">
        <v>40</v>
      </c>
      <c r="F1344" t="s">
        <v>14</v>
      </c>
      <c r="G1344" t="s">
        <v>24</v>
      </c>
      <c r="N1344" s="2" t="s">
        <v>18</v>
      </c>
      <c r="O1344" s="2" t="s">
        <v>19</v>
      </c>
      <c r="P1344" s="2">
        <v>35000000</v>
      </c>
      <c r="Q1344" s="2">
        <v>6.2</v>
      </c>
      <c r="R1344" s="2" t="s">
        <v>3096</v>
      </c>
      <c r="S1344" s="2"/>
      <c r="U1344" s="2" t="s">
        <v>3097</v>
      </c>
      <c r="V1344">
        <f ca="1" t="shared" si="41"/>
        <v>6.9</v>
      </c>
      <c r="AC1344" s="2"/>
      <c r="AD1344" t="str">
        <f>IFERROR(__xludf.DUMMYFUNCTION("""COMPUTED_VALUE"""),"Feardotcom ")</f>
        <v>Feardotcom </v>
      </c>
      <c r="AE1344">
        <f t="shared" si="42"/>
        <v>13207922</v>
      </c>
    </row>
    <row r="1345" customHeight="1" spans="1:31">
      <c r="A1345" s="2" t="s">
        <v>720</v>
      </c>
      <c r="B1345" s="2">
        <v>88</v>
      </c>
      <c r="C1345" s="2">
        <v>49474048</v>
      </c>
      <c r="D1345" s="2" t="s">
        <v>1201</v>
      </c>
      <c r="E1345" s="2" t="s">
        <v>40</v>
      </c>
      <c r="F1345" t="s">
        <v>40</v>
      </c>
      <c r="G1345" t="s">
        <v>28</v>
      </c>
      <c r="N1345" s="2" t="s">
        <v>18</v>
      </c>
      <c r="O1345" s="2" t="s">
        <v>19</v>
      </c>
      <c r="P1345" s="2">
        <v>35000000</v>
      </c>
      <c r="Q1345" s="2">
        <v>5.4</v>
      </c>
      <c r="R1345" s="2" t="s">
        <v>3098</v>
      </c>
      <c r="S1345" s="2"/>
      <c r="U1345" s="2" t="s">
        <v>3099</v>
      </c>
      <c r="V1345">
        <f ca="1" t="shared" si="41"/>
        <v>7.3</v>
      </c>
      <c r="AC1345" s="2"/>
      <c r="AD1345" t="str">
        <f>IFERROR(__xludf.DUMMYFUNCTION("""COMPUTED_VALUE"""),"Cirque du Freak: The Vampire's Assistant ")</f>
        <v>Cirque du Freak: The Vampire's Assistant </v>
      </c>
      <c r="AE1345">
        <f t="shared" si="42"/>
        <v>13838021</v>
      </c>
    </row>
    <row r="1346" customHeight="1" spans="1:31">
      <c r="A1346" s="2" t="s">
        <v>1662</v>
      </c>
      <c r="B1346" s="2">
        <v>92</v>
      </c>
      <c r="C1346" s="2">
        <v>45802315</v>
      </c>
      <c r="D1346" s="2" t="s">
        <v>120</v>
      </c>
      <c r="E1346" s="2" t="s">
        <v>12</v>
      </c>
      <c r="F1346" t="s">
        <v>56</v>
      </c>
      <c r="G1346" t="s">
        <v>15</v>
      </c>
      <c r="N1346" s="2" t="s">
        <v>18</v>
      </c>
      <c r="O1346" s="2" t="s">
        <v>19</v>
      </c>
      <c r="P1346" s="2">
        <v>35000000</v>
      </c>
      <c r="Q1346" s="2">
        <v>6.6</v>
      </c>
      <c r="R1346" s="2" t="s">
        <v>3100</v>
      </c>
      <c r="S1346" s="2"/>
      <c r="U1346" s="2" t="s">
        <v>3101</v>
      </c>
      <c r="V1346">
        <f ca="1" t="shared" si="41"/>
        <v>6.1</v>
      </c>
      <c r="AC1346" s="2"/>
      <c r="AD1346" t="str">
        <f>IFERROR(__xludf.DUMMYFUNCTION("""COMPUTED_VALUE"""),"Duplex ")</f>
        <v>Duplex </v>
      </c>
      <c r="AE1346">
        <f t="shared" si="42"/>
        <v>9651911</v>
      </c>
    </row>
    <row r="1347" customHeight="1" spans="1:31">
      <c r="A1347" s="2" t="s">
        <v>1500</v>
      </c>
      <c r="B1347" s="2">
        <v>91</v>
      </c>
      <c r="C1347" s="2">
        <v>43792641</v>
      </c>
      <c r="D1347" s="2" t="s">
        <v>607</v>
      </c>
      <c r="E1347" s="2" t="s">
        <v>40</v>
      </c>
      <c r="F1347" t="s">
        <v>28</v>
      </c>
      <c r="G1347" t="s">
        <v>17</v>
      </c>
      <c r="N1347" s="2" t="s">
        <v>18</v>
      </c>
      <c r="O1347" s="2" t="s">
        <v>19</v>
      </c>
      <c r="P1347" s="2">
        <v>35000000</v>
      </c>
      <c r="Q1347" s="2">
        <v>5.3</v>
      </c>
      <c r="R1347" s="2" t="s">
        <v>3102</v>
      </c>
      <c r="S1347" s="2"/>
      <c r="U1347" s="2" t="s">
        <v>3103</v>
      </c>
      <c r="V1347">
        <f ca="1" t="shared" si="41"/>
        <v>7.6</v>
      </c>
      <c r="AC1347" s="2"/>
      <c r="AD1347" t="str">
        <f>IFERROR(__xludf.DUMMYFUNCTION("""COMPUTED_VALUE"""),"Raise the Titanic ")</f>
        <v>Raise the Titanic </v>
      </c>
      <c r="AE1347">
        <f t="shared" si="42"/>
        <v>6999881</v>
      </c>
    </row>
    <row r="1348" customHeight="1" spans="1:31">
      <c r="A1348" s="2" t="s">
        <v>724</v>
      </c>
      <c r="B1348" s="2">
        <v>75</v>
      </c>
      <c r="C1348" s="2">
        <v>57651794</v>
      </c>
      <c r="D1348" s="2" t="s">
        <v>1573</v>
      </c>
      <c r="E1348" s="2" t="s">
        <v>40</v>
      </c>
      <c r="F1348" t="s">
        <v>56</v>
      </c>
      <c r="G1348" t="s">
        <v>23</v>
      </c>
      <c r="N1348" s="2" t="s">
        <v>18</v>
      </c>
      <c r="O1348" s="2" t="s">
        <v>19</v>
      </c>
      <c r="P1348" s="2">
        <v>33000000</v>
      </c>
      <c r="Q1348" s="2">
        <v>5.6</v>
      </c>
      <c r="R1348" s="2" t="s">
        <v>3104</v>
      </c>
      <c r="S1348" s="2"/>
      <c r="U1348" s="2" t="s">
        <v>3105</v>
      </c>
      <c r="V1348">
        <f ca="1" t="shared" si="41"/>
        <v>7.5</v>
      </c>
      <c r="AC1348" s="2"/>
      <c r="AD1348" t="str">
        <f>IFERROR(__xludf.DUMMYFUNCTION("""COMPUTED_VALUE"""),"Universal Soldier: The Return ")</f>
        <v>Universal Soldier: The Return </v>
      </c>
      <c r="AE1348">
        <f t="shared" si="42"/>
        <v>10431137</v>
      </c>
    </row>
    <row r="1349" customHeight="1" spans="1:31">
      <c r="A1349" s="2" t="s">
        <v>1664</v>
      </c>
      <c r="B1349" s="2">
        <v>98</v>
      </c>
      <c r="C1349" s="2">
        <v>43894863</v>
      </c>
      <c r="D1349" s="2" t="s">
        <v>607</v>
      </c>
      <c r="E1349" s="2" t="s">
        <v>40</v>
      </c>
      <c r="F1349" t="s">
        <v>13</v>
      </c>
      <c r="G1349" t="s">
        <v>55</v>
      </c>
      <c r="N1349" s="2" t="s">
        <v>18</v>
      </c>
      <c r="O1349" s="2" t="s">
        <v>19</v>
      </c>
      <c r="P1349" s="2">
        <v>30000000</v>
      </c>
      <c r="Q1349" s="2">
        <v>5.9</v>
      </c>
      <c r="R1349" s="2" t="s">
        <v>3106</v>
      </c>
      <c r="S1349" s="2"/>
      <c r="U1349" s="2" t="s">
        <v>3107</v>
      </c>
      <c r="V1349">
        <f ca="1" t="shared" si="41"/>
        <v>7.1</v>
      </c>
      <c r="AC1349" s="2"/>
      <c r="AD1349" t="str">
        <f>IFERROR(__xludf.DUMMYFUNCTION("""COMPUTED_VALUE"""),"Pandorum ")</f>
        <v>Pandorum </v>
      </c>
      <c r="AE1349">
        <f t="shared" si="42"/>
        <v>10325954</v>
      </c>
    </row>
    <row r="1350" customHeight="1" spans="1:31">
      <c r="A1350" s="2" t="s">
        <v>161</v>
      </c>
      <c r="B1350" s="2">
        <v>147</v>
      </c>
      <c r="C1350" s="2">
        <v>41954997</v>
      </c>
      <c r="D1350" s="2" t="s">
        <v>625</v>
      </c>
      <c r="E1350" s="2" t="s">
        <v>59</v>
      </c>
      <c r="F1350" t="s">
        <v>59</v>
      </c>
      <c r="G1350" t="s">
        <v>83</v>
      </c>
      <c r="N1350" s="2" t="s">
        <v>18</v>
      </c>
      <c r="O1350" s="2" t="s">
        <v>19</v>
      </c>
      <c r="P1350" s="2">
        <v>35000000</v>
      </c>
      <c r="Q1350" s="2">
        <v>7.8</v>
      </c>
      <c r="R1350" s="2" t="s">
        <v>3108</v>
      </c>
      <c r="S1350" s="2"/>
      <c r="U1350" s="2" t="s">
        <v>3109</v>
      </c>
      <c r="V1350">
        <f ca="1" t="shared" si="41"/>
        <v>7.65</v>
      </c>
      <c r="AC1350" s="2"/>
      <c r="AD1350" t="str">
        <f>IFERROR(__xludf.DUMMYFUNCTION("""COMPUTED_VALUE"""),"Impostor ")</f>
        <v>Impostor </v>
      </c>
      <c r="AE1350">
        <f t="shared" si="42"/>
        <v>6114135</v>
      </c>
    </row>
    <row r="1351" customHeight="1" spans="1:31">
      <c r="A1351" s="2" t="s">
        <v>750</v>
      </c>
      <c r="B1351" s="2">
        <v>100</v>
      </c>
      <c r="C1351" s="2">
        <v>39532308</v>
      </c>
      <c r="D1351" s="2" t="s">
        <v>1699</v>
      </c>
      <c r="E1351" s="2" t="s">
        <v>12</v>
      </c>
      <c r="F1351" t="s">
        <v>13</v>
      </c>
      <c r="G1351" t="s">
        <v>55</v>
      </c>
      <c r="N1351" s="2" t="s">
        <v>18</v>
      </c>
      <c r="O1351" s="2" t="s">
        <v>31</v>
      </c>
      <c r="P1351" s="2">
        <v>33000000</v>
      </c>
      <c r="Q1351" s="2">
        <v>6.7</v>
      </c>
      <c r="R1351" s="2" t="s">
        <v>3110</v>
      </c>
      <c r="S1351" s="2"/>
      <c r="U1351" s="2" t="s">
        <v>3111</v>
      </c>
      <c r="V1351">
        <f ca="1" t="shared" si="41"/>
        <v>8</v>
      </c>
      <c r="AC1351" s="2"/>
      <c r="AD1351" t="str">
        <f>IFERROR(__xludf.DUMMYFUNCTION("""COMPUTED_VALUE"""),"Extreme Ops ")</f>
        <v>Extreme Ops </v>
      </c>
      <c r="AE1351">
        <f t="shared" si="42"/>
        <v>4835875</v>
      </c>
    </row>
    <row r="1352" customHeight="1" spans="1:31">
      <c r="A1352" s="2" t="s">
        <v>1666</v>
      </c>
      <c r="B1352" s="2">
        <v>120</v>
      </c>
      <c r="C1352" s="2">
        <v>76600000</v>
      </c>
      <c r="D1352" s="2" t="s">
        <v>3112</v>
      </c>
      <c r="E1352" s="2" t="s">
        <v>14</v>
      </c>
      <c r="F1352" t="s">
        <v>30</v>
      </c>
      <c r="G1352" t="s">
        <v>24</v>
      </c>
      <c r="N1352" s="2" t="s">
        <v>18</v>
      </c>
      <c r="O1352" s="2" t="s">
        <v>19</v>
      </c>
      <c r="P1352" s="2">
        <v>10700000</v>
      </c>
      <c r="Q1352" s="2">
        <v>7.4</v>
      </c>
      <c r="R1352" s="2" t="s">
        <v>3113</v>
      </c>
      <c r="S1352" s="2"/>
      <c r="U1352" s="2" t="s">
        <v>3114</v>
      </c>
      <c r="V1352">
        <f ca="1" t="shared" si="41"/>
        <v>5.63333333333333</v>
      </c>
      <c r="AC1352" s="2"/>
      <c r="AD1352" t="str">
        <f>IFERROR(__xludf.DUMMYFUNCTION("""COMPUTED_VALUE"""),"Just Visiting ")</f>
        <v>Just Visiting </v>
      </c>
      <c r="AE1352">
        <f t="shared" si="42"/>
        <v>4776923</v>
      </c>
    </row>
    <row r="1353" customHeight="1" spans="1:31">
      <c r="A1353" s="2" t="s">
        <v>1628</v>
      </c>
      <c r="B1353" s="2">
        <v>104</v>
      </c>
      <c r="C1353" s="2">
        <v>39692139</v>
      </c>
      <c r="D1353" s="2" t="s">
        <v>2471</v>
      </c>
      <c r="E1353" s="2" t="s">
        <v>40</v>
      </c>
      <c r="F1353" t="s">
        <v>30</v>
      </c>
      <c r="G1353" t="s">
        <v>23</v>
      </c>
      <c r="N1353" s="2" t="s">
        <v>18</v>
      </c>
      <c r="O1353" s="2" t="s">
        <v>19</v>
      </c>
      <c r="P1353" s="2">
        <v>35000000</v>
      </c>
      <c r="Q1353" s="2">
        <v>6.2</v>
      </c>
      <c r="R1353" s="2" t="s">
        <v>3115</v>
      </c>
      <c r="S1353" s="2"/>
      <c r="U1353" s="2" t="s">
        <v>3116</v>
      </c>
      <c r="V1353">
        <f ca="1" t="shared" si="41"/>
        <v>6.675</v>
      </c>
      <c r="AC1353" s="2"/>
      <c r="AD1353" t="str">
        <f>IFERROR(__xludf.DUMMYFUNCTION("""COMPUTED_VALUE"""),"Sunshine ")</f>
        <v>Sunshine </v>
      </c>
      <c r="AE1353">
        <f t="shared" si="42"/>
        <v>3674965</v>
      </c>
    </row>
    <row r="1354" customHeight="1" spans="1:31">
      <c r="A1354" s="2" t="s">
        <v>702</v>
      </c>
      <c r="B1354" s="2">
        <v>103</v>
      </c>
      <c r="C1354" s="2">
        <v>40687294</v>
      </c>
      <c r="D1354" s="2" t="s">
        <v>915</v>
      </c>
      <c r="E1354" s="2" t="s">
        <v>12</v>
      </c>
      <c r="F1354" t="s">
        <v>30</v>
      </c>
      <c r="G1354" t="s">
        <v>24</v>
      </c>
      <c r="N1354" s="2" t="s">
        <v>18</v>
      </c>
      <c r="O1354" s="2" t="s">
        <v>121</v>
      </c>
      <c r="P1354" s="2">
        <v>35000000</v>
      </c>
      <c r="Q1354" s="2">
        <v>5.4</v>
      </c>
      <c r="R1354" s="2" t="s">
        <v>3117</v>
      </c>
      <c r="S1354" s="2"/>
      <c r="U1354" s="2" t="s">
        <v>3118</v>
      </c>
      <c r="V1354">
        <f ca="1" t="shared" si="41"/>
        <v>7.1</v>
      </c>
      <c r="AC1354" s="2"/>
      <c r="AD1354" t="str">
        <f>IFERROR(__xludf.DUMMYFUNCTION("""COMPUTED_VALUE"""),"A Thousand Words ")</f>
        <v>A Thousand Words </v>
      </c>
      <c r="AE1354">
        <f t="shared" si="42"/>
        <v>18438058</v>
      </c>
    </row>
    <row r="1355" customHeight="1" spans="1:31">
      <c r="A1355" s="2" t="s">
        <v>1332</v>
      </c>
      <c r="B1355" s="2">
        <v>109</v>
      </c>
      <c r="C1355" s="2">
        <v>37553932</v>
      </c>
      <c r="D1355" s="2" t="s">
        <v>1094</v>
      </c>
      <c r="E1355" s="2" t="s">
        <v>12</v>
      </c>
      <c r="F1355" t="s">
        <v>30</v>
      </c>
      <c r="G1355" t="s">
        <v>35</v>
      </c>
      <c r="N1355" s="2" t="s">
        <v>18</v>
      </c>
      <c r="O1355" s="2" t="s">
        <v>19</v>
      </c>
      <c r="P1355" s="2">
        <v>40000000</v>
      </c>
      <c r="Q1355" s="2">
        <v>6.7</v>
      </c>
      <c r="R1355" s="2" t="s">
        <v>3119</v>
      </c>
      <c r="S1355" s="2"/>
      <c r="U1355" s="2" t="s">
        <v>3120</v>
      </c>
      <c r="V1355">
        <f ca="1" t="shared" si="41"/>
        <v>4.5</v>
      </c>
      <c r="AC1355" s="2"/>
      <c r="AD1355" t="str">
        <f>IFERROR(__xludf.DUMMYFUNCTION("""COMPUTED_VALUE"""),"Delgo ")</f>
        <v>Delgo </v>
      </c>
      <c r="AE1355">
        <f t="shared" si="42"/>
        <v>511826</v>
      </c>
    </row>
    <row r="1356" customHeight="1" spans="1:31">
      <c r="A1356" s="2" t="s">
        <v>1668</v>
      </c>
      <c r="B1356" s="2">
        <v>104</v>
      </c>
      <c r="C1356" s="2">
        <v>37481242</v>
      </c>
      <c r="D1356" s="2" t="s">
        <v>607</v>
      </c>
      <c r="E1356" s="2" t="s">
        <v>40</v>
      </c>
      <c r="F1356" t="s">
        <v>17</v>
      </c>
      <c r="G1356" t="s">
        <v>72</v>
      </c>
      <c r="N1356" s="2" t="s">
        <v>18</v>
      </c>
      <c r="O1356" s="2" t="s">
        <v>19</v>
      </c>
      <c r="P1356" s="2">
        <v>35000000</v>
      </c>
      <c r="Q1356" s="2">
        <v>5.3</v>
      </c>
      <c r="R1356" s="2" t="s">
        <v>3121</v>
      </c>
      <c r="S1356" s="2"/>
      <c r="U1356" s="2" t="s">
        <v>3122</v>
      </c>
      <c r="V1356">
        <f ca="1" t="shared" si="41"/>
        <v>6.2</v>
      </c>
      <c r="AC1356" s="2"/>
      <c r="AD1356" t="str">
        <f>IFERROR(__xludf.DUMMYFUNCTION("""COMPUTED_VALUE"""),"The Gunman ")</f>
        <v>The Gunman </v>
      </c>
      <c r="AE1356">
        <f t="shared" si="42"/>
        <v>10640530</v>
      </c>
    </row>
    <row r="1357" customHeight="1" spans="1:31">
      <c r="A1357" s="2" t="s">
        <v>1670</v>
      </c>
      <c r="B1357" s="2">
        <v>112</v>
      </c>
      <c r="C1357" s="2">
        <v>39026186</v>
      </c>
      <c r="D1357" s="2" t="s">
        <v>521</v>
      </c>
      <c r="E1357" s="2" t="s">
        <v>40</v>
      </c>
      <c r="F1357" t="s">
        <v>28</v>
      </c>
      <c r="G1357" t="s">
        <v>40</v>
      </c>
      <c r="N1357" s="2" t="s">
        <v>18</v>
      </c>
      <c r="O1357" s="2" t="s">
        <v>19</v>
      </c>
      <c r="P1357" s="2">
        <v>35000000</v>
      </c>
      <c r="Q1357" s="2">
        <v>5.9</v>
      </c>
      <c r="R1357" s="2" t="s">
        <v>3123</v>
      </c>
      <c r="S1357" s="2"/>
      <c r="U1357" s="2" t="s">
        <v>3124</v>
      </c>
      <c r="V1357">
        <f ca="1" t="shared" si="41"/>
        <v>6.1</v>
      </c>
      <c r="AC1357" s="2"/>
      <c r="AD1357" t="str">
        <f>IFERROR(__xludf.DUMMYFUNCTION("""COMPUTED_VALUE"""),"Alex Rider: Operation Stormbreaker ")</f>
        <v>Alex Rider: Operation Stormbreaker </v>
      </c>
      <c r="AE1357">
        <f t="shared" si="42"/>
        <v>652433</v>
      </c>
    </row>
    <row r="1358" customHeight="1" spans="1:31">
      <c r="A1358" s="2" t="s">
        <v>1672</v>
      </c>
      <c r="B1358" s="2">
        <v>95</v>
      </c>
      <c r="C1358" s="2">
        <v>33422806</v>
      </c>
      <c r="D1358" s="2" t="s">
        <v>2232</v>
      </c>
      <c r="E1358" s="2" t="s">
        <v>13</v>
      </c>
      <c r="F1358" t="s">
        <v>17</v>
      </c>
      <c r="G1358" t="s">
        <v>24</v>
      </c>
      <c r="N1358" s="2" t="s">
        <v>18</v>
      </c>
      <c r="O1358" s="2" t="s">
        <v>19</v>
      </c>
      <c r="P1358" s="2">
        <v>50000000</v>
      </c>
      <c r="Q1358" s="2">
        <v>4.8</v>
      </c>
      <c r="R1358" s="2" t="s">
        <v>3125</v>
      </c>
      <c r="S1358" s="2"/>
      <c r="U1358" s="2" t="s">
        <v>3126</v>
      </c>
      <c r="V1358">
        <f ca="1" t="shared" si="41"/>
        <v>7.6</v>
      </c>
      <c r="AC1358" s="2"/>
      <c r="AD1358" t="str">
        <f>IFERROR(__xludf.DUMMYFUNCTION("""COMPUTED_VALUE"""),"Disturbia ")</f>
        <v>Disturbia </v>
      </c>
      <c r="AE1358">
        <f t="shared" si="42"/>
        <v>80050066</v>
      </c>
    </row>
    <row r="1359" customHeight="1" spans="1:31">
      <c r="A1359" s="2" t="s">
        <v>1675</v>
      </c>
      <c r="B1359" s="2">
        <v>102</v>
      </c>
      <c r="C1359" s="2">
        <v>33423521</v>
      </c>
      <c r="D1359" s="2" t="s">
        <v>406</v>
      </c>
      <c r="E1359" s="2" t="s">
        <v>12</v>
      </c>
      <c r="F1359" t="s">
        <v>15</v>
      </c>
      <c r="G1359" t="s">
        <v>24</v>
      </c>
      <c r="N1359" s="2" t="s">
        <v>18</v>
      </c>
      <c r="O1359" s="2" t="s">
        <v>1160</v>
      </c>
      <c r="P1359" s="2">
        <v>35000000</v>
      </c>
      <c r="Q1359" s="2">
        <v>3.8</v>
      </c>
      <c r="R1359" s="2" t="s">
        <v>3127</v>
      </c>
      <c r="S1359" s="2"/>
      <c r="U1359" s="2" t="s">
        <v>3128</v>
      </c>
      <c r="V1359">
        <f ca="1" t="shared" si="41"/>
        <v>6.6</v>
      </c>
      <c r="AC1359" s="2"/>
      <c r="AD1359" t="str">
        <f>IFERROR(__xludf.DUMMYFUNCTION("""COMPUTED_VALUE"""),"Hackers ")</f>
        <v>Hackers </v>
      </c>
      <c r="AE1359">
        <f t="shared" si="42"/>
        <v>7563893</v>
      </c>
    </row>
    <row r="1360" customHeight="1" spans="1:31">
      <c r="A1360" s="2" t="s">
        <v>1019</v>
      </c>
      <c r="B1360" s="2">
        <v>150</v>
      </c>
      <c r="C1360" s="2">
        <v>32519322</v>
      </c>
      <c r="D1360" s="2" t="s">
        <v>3035</v>
      </c>
      <c r="E1360" s="2" t="s">
        <v>59</v>
      </c>
      <c r="F1360" t="s">
        <v>13</v>
      </c>
      <c r="G1360" t="s">
        <v>56</v>
      </c>
      <c r="N1360" s="2" t="s">
        <v>18</v>
      </c>
      <c r="O1360" s="2" t="s">
        <v>707</v>
      </c>
      <c r="P1360" s="2">
        <v>35000000</v>
      </c>
      <c r="Q1360" s="2">
        <v>8.5</v>
      </c>
      <c r="R1360" s="2" t="s">
        <v>3129</v>
      </c>
      <c r="S1360" s="2"/>
      <c r="U1360" s="2" t="s">
        <v>3130</v>
      </c>
      <c r="V1360">
        <f ca="1" t="shared" si="41"/>
        <v>4.2</v>
      </c>
      <c r="AC1360" s="2"/>
      <c r="AD1360" t="str">
        <f>IFERROR(__xludf.DUMMYFUNCTION("""COMPUTED_VALUE"""),"The Hunting Party ")</f>
        <v>The Hunting Party </v>
      </c>
      <c r="AE1360">
        <f t="shared" si="42"/>
        <v>876570</v>
      </c>
    </row>
    <row r="1361" customHeight="1" spans="1:31">
      <c r="A1361" s="2" t="s">
        <v>1474</v>
      </c>
      <c r="B1361" s="2">
        <v>101</v>
      </c>
      <c r="C1361" s="2">
        <v>37617947</v>
      </c>
      <c r="D1361" s="2" t="s">
        <v>2419</v>
      </c>
      <c r="E1361" s="2" t="s">
        <v>30</v>
      </c>
      <c r="F1361" t="s">
        <v>56</v>
      </c>
      <c r="G1361" t="s">
        <v>17</v>
      </c>
      <c r="N1361" s="2" t="s">
        <v>18</v>
      </c>
      <c r="O1361" s="2" t="s">
        <v>19</v>
      </c>
      <c r="P1361" s="2">
        <v>30000000</v>
      </c>
      <c r="Q1361" s="2">
        <v>6.8</v>
      </c>
      <c r="R1361" s="2" t="s">
        <v>3131</v>
      </c>
      <c r="S1361" s="2"/>
      <c r="U1361" s="2" t="s">
        <v>3132</v>
      </c>
      <c r="V1361">
        <f ca="1" t="shared" si="41"/>
        <v>6.5</v>
      </c>
      <c r="AC1361" s="2"/>
      <c r="AD1361" t="str">
        <f>IFERROR(__xludf.DUMMYFUNCTION("""COMPUTED_VALUE"""),"The Hudsucker Proxy ")</f>
        <v>The Hudsucker Proxy </v>
      </c>
      <c r="AE1361">
        <f t="shared" si="42"/>
        <v>2869258</v>
      </c>
    </row>
    <row r="1362" customHeight="1" spans="1:31">
      <c r="A1362" s="2" t="s">
        <v>1274</v>
      </c>
      <c r="B1362" s="2">
        <v>108</v>
      </c>
      <c r="C1362" s="2">
        <v>32048809</v>
      </c>
      <c r="D1362" s="2" t="s">
        <v>72</v>
      </c>
      <c r="E1362" s="2" t="s">
        <v>72</v>
      </c>
      <c r="F1362" t="s">
        <v>35</v>
      </c>
      <c r="G1362" t="s">
        <v>30</v>
      </c>
      <c r="N1362" s="2" t="s">
        <v>18</v>
      </c>
      <c r="O1362" s="2" t="s">
        <v>159</v>
      </c>
      <c r="P1362" s="2">
        <v>30000000</v>
      </c>
      <c r="Q1362" s="2">
        <v>5.3</v>
      </c>
      <c r="R1362" s="2" t="s">
        <v>3133</v>
      </c>
      <c r="S1362" s="2"/>
      <c r="U1362" s="2" t="s">
        <v>3134</v>
      </c>
      <c r="V1362">
        <f ca="1" t="shared" si="41"/>
        <v>6.5</v>
      </c>
      <c r="AC1362" s="2"/>
      <c r="AD1362" t="str">
        <f>IFERROR(__xludf.DUMMYFUNCTION("""COMPUTED_VALUE"""),"The Warlords ")</f>
        <v>The Warlords </v>
      </c>
      <c r="AE1362">
        <f t="shared" si="42"/>
        <v>128865</v>
      </c>
    </row>
    <row r="1363" customHeight="1" spans="1:31">
      <c r="A1363" s="2" t="s">
        <v>876</v>
      </c>
      <c r="B1363" s="2">
        <v>98</v>
      </c>
      <c r="C1363" s="2">
        <v>33987757</v>
      </c>
      <c r="D1363" s="2" t="s">
        <v>103</v>
      </c>
      <c r="E1363" s="2" t="s">
        <v>30</v>
      </c>
      <c r="F1363" t="s">
        <v>17</v>
      </c>
      <c r="G1363" t="s">
        <v>24</v>
      </c>
      <c r="N1363" s="2" t="s">
        <v>18</v>
      </c>
      <c r="O1363" s="2" t="s">
        <v>19</v>
      </c>
      <c r="P1363" s="2">
        <v>27000000</v>
      </c>
      <c r="Q1363" s="2">
        <v>7.3</v>
      </c>
      <c r="R1363" s="2" t="s">
        <v>3135</v>
      </c>
      <c r="S1363" s="2"/>
      <c r="U1363" s="2" t="s">
        <v>3136</v>
      </c>
      <c r="V1363">
        <f ca="1" t="shared" si="41"/>
        <v>5.7</v>
      </c>
      <c r="AC1363" s="2"/>
      <c r="AD1363" t="str">
        <f>IFERROR(__xludf.DUMMYFUNCTION("""COMPUTED_VALUE"""),"Nomad: The Warrior ")</f>
        <v>Nomad: The Warrior </v>
      </c>
      <c r="AE1363">
        <f t="shared" si="42"/>
        <v>77119</v>
      </c>
    </row>
    <row r="1364" customHeight="1" spans="1:31">
      <c r="A1364" s="2" t="s">
        <v>1000</v>
      </c>
      <c r="B1364" s="2">
        <v>137</v>
      </c>
      <c r="C1364" s="2">
        <v>37304950</v>
      </c>
      <c r="D1364" s="2" t="s">
        <v>625</v>
      </c>
      <c r="E1364" s="2" t="s">
        <v>59</v>
      </c>
      <c r="F1364" t="s">
        <v>15</v>
      </c>
      <c r="G1364" t="s">
        <v>23</v>
      </c>
      <c r="N1364" s="2" t="s">
        <v>18</v>
      </c>
      <c r="O1364" s="2" t="s">
        <v>19</v>
      </c>
      <c r="P1364" s="2">
        <v>35000000</v>
      </c>
      <c r="Q1364" s="2">
        <v>6.6</v>
      </c>
      <c r="R1364" s="2" t="s">
        <v>3137</v>
      </c>
      <c r="S1364" s="2"/>
      <c r="U1364" s="2" t="s">
        <v>3138</v>
      </c>
      <c r="V1364">
        <f ca="1" t="shared" si="41"/>
        <v>7.3</v>
      </c>
      <c r="AC1364" s="2"/>
      <c r="AD1364" t="str">
        <f>IFERROR(__xludf.DUMMYFUNCTION("""COMPUTED_VALUE"""),"Snowpiercer ")</f>
        <v>Snowpiercer </v>
      </c>
      <c r="AE1364">
        <f t="shared" si="42"/>
        <v>4562903</v>
      </c>
    </row>
    <row r="1365" customHeight="1" spans="1:31">
      <c r="A1365" s="2" t="s">
        <v>1677</v>
      </c>
      <c r="B1365" s="2">
        <v>112</v>
      </c>
      <c r="C1365" s="2">
        <v>30691439</v>
      </c>
      <c r="D1365" s="2" t="s">
        <v>2613</v>
      </c>
      <c r="E1365" s="2" t="s">
        <v>72</v>
      </c>
      <c r="F1365" t="s">
        <v>30</v>
      </c>
      <c r="G1365" t="s">
        <v>23</v>
      </c>
      <c r="N1365" s="2" t="s">
        <v>18</v>
      </c>
      <c r="O1365" s="2" t="s">
        <v>19</v>
      </c>
      <c r="P1365" s="2">
        <v>35000000</v>
      </c>
      <c r="Q1365" s="2">
        <v>6.2</v>
      </c>
      <c r="R1365" s="2" t="s">
        <v>3139</v>
      </c>
      <c r="S1365" s="2"/>
      <c r="U1365" s="2" t="s">
        <v>3140</v>
      </c>
      <c r="V1365">
        <f ca="1" t="shared" si="41"/>
        <v>5</v>
      </c>
      <c r="AC1365" s="2"/>
      <c r="AD1365" t="str">
        <f>IFERROR(__xludf.DUMMYFUNCTION("""COMPUTED_VALUE"""),"The Crow ")</f>
        <v>The Crow </v>
      </c>
      <c r="AE1365">
        <f t="shared" si="42"/>
        <v>50693064</v>
      </c>
    </row>
    <row r="1366" customHeight="1" spans="1:31">
      <c r="A1366" s="2" t="s">
        <v>1679</v>
      </c>
      <c r="B1366" s="2">
        <v>101</v>
      </c>
      <c r="C1366" s="2">
        <v>30307804</v>
      </c>
      <c r="D1366" s="2" t="s">
        <v>2078</v>
      </c>
      <c r="E1366" s="2" t="s">
        <v>30</v>
      </c>
      <c r="F1366" t="s">
        <v>17</v>
      </c>
      <c r="G1366" t="s">
        <v>30</v>
      </c>
      <c r="N1366" s="2" t="s">
        <v>18</v>
      </c>
      <c r="O1366" s="2" t="s">
        <v>19</v>
      </c>
      <c r="P1366" s="2">
        <v>35000000</v>
      </c>
      <c r="Q1366" s="2">
        <v>5.2</v>
      </c>
      <c r="R1366" s="2" t="s">
        <v>3141</v>
      </c>
      <c r="S1366" s="2"/>
      <c r="U1366" s="2" t="s">
        <v>3142</v>
      </c>
      <c r="V1366">
        <f ca="1" t="shared" si="41"/>
        <v>7.3</v>
      </c>
      <c r="AC1366" s="2"/>
      <c r="AD1366" t="str">
        <f>IFERROR(__xludf.DUMMYFUNCTION("""COMPUTED_VALUE"""),"Baahubali: The Beginning ")</f>
        <v>Baahubali: The Beginning </v>
      </c>
      <c r="AE1366">
        <f t="shared" si="42"/>
        <v>6497841</v>
      </c>
    </row>
    <row r="1367" customHeight="1" spans="1:31">
      <c r="A1367" s="2" t="s">
        <v>823</v>
      </c>
      <c r="B1367" s="2">
        <v>103</v>
      </c>
      <c r="C1367" s="2">
        <v>30669413</v>
      </c>
      <c r="D1367" s="2" t="s">
        <v>1699</v>
      </c>
      <c r="E1367" s="2" t="s">
        <v>12</v>
      </c>
      <c r="F1367" t="s">
        <v>30</v>
      </c>
      <c r="G1367" t="s">
        <v>28</v>
      </c>
      <c r="N1367" s="2" t="s">
        <v>18</v>
      </c>
      <c r="O1367" s="2" t="s">
        <v>19</v>
      </c>
      <c r="P1367" s="2">
        <v>35000000</v>
      </c>
      <c r="Q1367" s="2">
        <v>6.2</v>
      </c>
      <c r="R1367" s="2" t="s">
        <v>3143</v>
      </c>
      <c r="S1367" s="2"/>
      <c r="U1367" s="2" t="s">
        <v>3144</v>
      </c>
      <c r="V1367">
        <f ca="1" t="shared" si="41"/>
        <v>2.1</v>
      </c>
      <c r="AC1367" s="2"/>
      <c r="AD1367" t="str">
        <f>IFERROR(__xludf.DUMMYFUNCTION("""COMPUTED_VALUE"""),"The Time Traveler's Wife ")</f>
        <v>The Time Traveler's Wife </v>
      </c>
      <c r="AE1367">
        <f t="shared" si="42"/>
        <v>63411371</v>
      </c>
    </row>
    <row r="1368" customHeight="1" spans="1:31">
      <c r="A1368" s="2" t="s">
        <v>945</v>
      </c>
      <c r="B1368" s="2">
        <v>101</v>
      </c>
      <c r="C1368" s="2">
        <v>28687835</v>
      </c>
      <c r="D1368" s="2" t="s">
        <v>805</v>
      </c>
      <c r="E1368" s="2" t="s">
        <v>56</v>
      </c>
      <c r="F1368" t="s">
        <v>24</v>
      </c>
      <c r="G1368" t="s">
        <v>30</v>
      </c>
      <c r="N1368" s="2" t="s">
        <v>18</v>
      </c>
      <c r="O1368" s="2" t="s">
        <v>19</v>
      </c>
      <c r="P1368" s="2">
        <v>35000000</v>
      </c>
      <c r="Q1368" s="2">
        <v>6.2</v>
      </c>
      <c r="R1368" s="2" t="s">
        <v>3145</v>
      </c>
      <c r="S1368" s="2"/>
      <c r="U1368" s="2" t="s">
        <v>3146</v>
      </c>
      <c r="V1368">
        <f ca="1" t="shared" si="41"/>
        <v>7</v>
      </c>
      <c r="AC1368" s="2"/>
      <c r="AD1368" t="str">
        <f>IFERROR(__xludf.DUMMYFUNCTION("""COMPUTED_VALUE"""),"Frankenweenie ")</f>
        <v>Frankenweenie </v>
      </c>
      <c r="AE1368">
        <f t="shared" si="42"/>
        <v>35287701</v>
      </c>
    </row>
    <row r="1369" customHeight="1" spans="1:31">
      <c r="A1369" s="2" t="s">
        <v>1681</v>
      </c>
      <c r="B1369" s="2">
        <v>112</v>
      </c>
      <c r="C1369" s="2">
        <v>26494611</v>
      </c>
      <c r="D1369" s="2" t="s">
        <v>3147</v>
      </c>
      <c r="E1369" s="2" t="s">
        <v>40</v>
      </c>
      <c r="F1369" t="s">
        <v>40</v>
      </c>
      <c r="G1369" t="s">
        <v>40</v>
      </c>
      <c r="N1369" s="2" t="s">
        <v>18</v>
      </c>
      <c r="O1369" s="2" t="s">
        <v>19</v>
      </c>
      <c r="P1369" s="2">
        <v>35000000</v>
      </c>
      <c r="Q1369" s="2">
        <v>6.6</v>
      </c>
      <c r="R1369" s="2" t="s">
        <v>3148</v>
      </c>
      <c r="S1369" s="2"/>
      <c r="U1369" s="2" t="s">
        <v>3149</v>
      </c>
      <c r="V1369">
        <f ca="1" t="shared" si="41"/>
        <v>5.35</v>
      </c>
      <c r="AC1369" s="2"/>
      <c r="AD1369" t="str">
        <f>IFERROR(__xludf.DUMMYFUNCTION("""COMPUTED_VALUE"""),"Serenity ")</f>
        <v>Serenity </v>
      </c>
      <c r="AE1369">
        <f t="shared" si="42"/>
        <v>25335816</v>
      </c>
    </row>
    <row r="1370" customHeight="1" spans="1:31">
      <c r="A1370" s="2" t="s">
        <v>1632</v>
      </c>
      <c r="B1370" s="2">
        <v>102</v>
      </c>
      <c r="C1370" s="2">
        <v>25266129</v>
      </c>
      <c r="D1370" s="2" t="s">
        <v>521</v>
      </c>
      <c r="E1370" s="2" t="s">
        <v>40</v>
      </c>
      <c r="F1370" t="s">
        <v>40</v>
      </c>
      <c r="G1370" t="s">
        <v>14</v>
      </c>
      <c r="N1370" s="2" t="s">
        <v>18</v>
      </c>
      <c r="O1370" s="2" t="s">
        <v>19</v>
      </c>
      <c r="P1370" s="2">
        <v>35000000</v>
      </c>
      <c r="Q1370" s="2">
        <v>6.2</v>
      </c>
      <c r="R1370" s="2" t="s">
        <v>3150</v>
      </c>
      <c r="S1370" s="2"/>
      <c r="U1370" s="2" t="s">
        <v>3151</v>
      </c>
      <c r="V1370">
        <f ca="1" t="shared" si="41"/>
        <v>5.6</v>
      </c>
      <c r="AC1370" s="2"/>
      <c r="AD1370" t="str">
        <f>IFERROR(__xludf.DUMMYFUNCTION("""COMPUTED_VALUE"""),"Against the Ropes ")</f>
        <v>Against the Ropes </v>
      </c>
      <c r="AE1370">
        <f t="shared" si="42"/>
        <v>5881394</v>
      </c>
    </row>
    <row r="1371" customHeight="1" spans="1:31">
      <c r="A1371" s="2" t="s">
        <v>207</v>
      </c>
      <c r="B1371" s="2">
        <v>101</v>
      </c>
      <c r="C1371" s="2">
        <v>25863915</v>
      </c>
      <c r="D1371" s="2" t="s">
        <v>448</v>
      </c>
      <c r="E1371" s="2" t="s">
        <v>12</v>
      </c>
      <c r="F1371" t="s">
        <v>35</v>
      </c>
      <c r="G1371" t="s">
        <v>40</v>
      </c>
      <c r="N1371" s="2" t="s">
        <v>18</v>
      </c>
      <c r="O1371" s="2" t="s">
        <v>19</v>
      </c>
      <c r="P1371" s="2">
        <v>35000000</v>
      </c>
      <c r="Q1371" s="2">
        <v>5.1</v>
      </c>
      <c r="R1371" s="2" t="s">
        <v>3152</v>
      </c>
      <c r="S1371" s="2"/>
      <c r="U1371" s="2" t="s">
        <v>3153</v>
      </c>
      <c r="V1371">
        <f ca="1" t="shared" si="41"/>
        <v>8.1</v>
      </c>
      <c r="AC1371" s="2"/>
      <c r="AD1371" t="str">
        <f>IFERROR(__xludf.DUMMYFUNCTION("""COMPUTED_VALUE"""),"Superman III ")</f>
        <v>Superman III </v>
      </c>
      <c r="AE1371">
        <f t="shared" si="42"/>
        <v>59999875</v>
      </c>
    </row>
    <row r="1372" customHeight="1" spans="1:31">
      <c r="A1372" s="2" t="s">
        <v>1000</v>
      </c>
      <c r="B1372" s="2">
        <v>155</v>
      </c>
      <c r="C1372" s="2">
        <v>25078937</v>
      </c>
      <c r="D1372" s="2" t="s">
        <v>814</v>
      </c>
      <c r="E1372" s="2" t="s">
        <v>56</v>
      </c>
      <c r="F1372" t="s">
        <v>13</v>
      </c>
      <c r="G1372" t="s">
        <v>55</v>
      </c>
      <c r="N1372" s="2" t="s">
        <v>18</v>
      </c>
      <c r="O1372" s="2" t="s">
        <v>19</v>
      </c>
      <c r="P1372" s="2">
        <v>30000000</v>
      </c>
      <c r="Q1372" s="2">
        <v>6.6</v>
      </c>
      <c r="R1372" s="2" t="s">
        <v>3154</v>
      </c>
      <c r="S1372" s="2"/>
      <c r="U1372" s="2" t="s">
        <v>3155</v>
      </c>
      <c r="V1372">
        <f ca="1" t="shared" si="41"/>
        <v>7.6</v>
      </c>
      <c r="AC1372" s="2"/>
      <c r="AD1372" t="str">
        <f>IFERROR(__xludf.DUMMYFUNCTION("""COMPUTED_VALUE"""),"Grudge Match ")</f>
        <v>Grudge Match </v>
      </c>
      <c r="AE1372">
        <f t="shared" si="42"/>
        <v>29802648</v>
      </c>
    </row>
    <row r="1373" customHeight="1" spans="1:31">
      <c r="A1373" s="2" t="s">
        <v>1683</v>
      </c>
      <c r="B1373" s="2">
        <v>109</v>
      </c>
      <c r="C1373" s="2">
        <v>28995450</v>
      </c>
      <c r="D1373" s="2" t="s">
        <v>214</v>
      </c>
      <c r="E1373" s="2" t="s">
        <v>40</v>
      </c>
      <c r="F1373" t="s">
        <v>83</v>
      </c>
      <c r="G1373" t="s">
        <v>30</v>
      </c>
      <c r="N1373" s="2" t="s">
        <v>18</v>
      </c>
      <c r="O1373" s="2" t="s">
        <v>31</v>
      </c>
      <c r="P1373" s="2">
        <v>35000000</v>
      </c>
      <c r="Q1373" s="2">
        <v>6.1</v>
      </c>
      <c r="R1373" s="2" t="s">
        <v>3156</v>
      </c>
      <c r="S1373" s="2"/>
      <c r="U1373" s="2" t="s">
        <v>3157</v>
      </c>
      <c r="V1373">
        <f ca="1" t="shared" si="41"/>
        <v>6.5</v>
      </c>
      <c r="AC1373" s="2"/>
      <c r="AD1373" t="str">
        <f>IFERROR(__xludf.DUMMYFUNCTION("""COMPUTED_VALUE"""),"Red Cliff ")</f>
        <v>Red Cliff </v>
      </c>
      <c r="AE1373">
        <f t="shared" si="42"/>
        <v>626659</v>
      </c>
    </row>
    <row r="1374" customHeight="1" spans="1:31">
      <c r="A1374" s="2" t="s">
        <v>1358</v>
      </c>
      <c r="B1374" s="2">
        <v>140</v>
      </c>
      <c r="C1374" s="2">
        <v>24276500</v>
      </c>
      <c r="D1374" s="2" t="s">
        <v>625</v>
      </c>
      <c r="E1374" s="2" t="s">
        <v>59</v>
      </c>
      <c r="F1374" t="s">
        <v>13</v>
      </c>
      <c r="G1374" t="s">
        <v>56</v>
      </c>
      <c r="N1374" s="2" t="s">
        <v>18</v>
      </c>
      <c r="O1374" s="2" t="s">
        <v>19</v>
      </c>
      <c r="P1374" s="2">
        <v>35000000</v>
      </c>
      <c r="Q1374" s="2">
        <v>6.6</v>
      </c>
      <c r="R1374" s="2" t="s">
        <v>3158</v>
      </c>
      <c r="S1374" s="2"/>
      <c r="U1374" s="2" t="s">
        <v>3159</v>
      </c>
      <c r="V1374">
        <f ca="1" t="shared" si="41"/>
        <v>7.7</v>
      </c>
      <c r="AC1374" s="2"/>
      <c r="AD1374" t="str">
        <f>IFERROR(__xludf.DUMMYFUNCTION("""COMPUTED_VALUE"""),"Sweet Home Alabama ")</f>
        <v>Sweet Home Alabama </v>
      </c>
      <c r="AE1374">
        <f t="shared" si="42"/>
        <v>127213964</v>
      </c>
    </row>
    <row r="1375" customHeight="1" spans="1:31">
      <c r="A1375" s="2" t="s">
        <v>1685</v>
      </c>
      <c r="B1375" s="2">
        <v>108</v>
      </c>
      <c r="C1375" s="2">
        <v>20981633</v>
      </c>
      <c r="D1375" s="2" t="s">
        <v>840</v>
      </c>
      <c r="E1375" s="2" t="s">
        <v>30</v>
      </c>
      <c r="F1375" t="s">
        <v>72</v>
      </c>
      <c r="G1375" t="s">
        <v>40</v>
      </c>
      <c r="N1375" s="2" t="s">
        <v>18</v>
      </c>
      <c r="O1375" s="2" t="s">
        <v>19</v>
      </c>
      <c r="P1375" s="2">
        <v>30000000</v>
      </c>
      <c r="Q1375" s="2">
        <v>5.9</v>
      </c>
      <c r="R1375" s="2" t="s">
        <v>3160</v>
      </c>
      <c r="S1375" s="2"/>
      <c r="U1375" s="2" t="s">
        <v>3161</v>
      </c>
      <c r="V1375">
        <f ca="1" t="shared" si="41"/>
        <v>6.1</v>
      </c>
      <c r="AC1375" s="2"/>
      <c r="AD1375" t="str">
        <f>IFERROR(__xludf.DUMMYFUNCTION("""COMPUTED_VALUE"""),"The Ugly Truth ")</f>
        <v>The Ugly Truth </v>
      </c>
      <c r="AE1375">
        <f t="shared" si="42"/>
        <v>88915118</v>
      </c>
    </row>
    <row r="1376" customHeight="1" spans="1:31">
      <c r="A1376" s="2" t="s">
        <v>1687</v>
      </c>
      <c r="B1376" s="2">
        <v>96</v>
      </c>
      <c r="C1376" s="2">
        <v>22913677</v>
      </c>
      <c r="D1376" s="2" t="s">
        <v>1017</v>
      </c>
      <c r="E1376" s="2" t="s">
        <v>40</v>
      </c>
      <c r="F1376" t="s">
        <v>56</v>
      </c>
      <c r="G1376" t="s">
        <v>40</v>
      </c>
      <c r="N1376" s="2" t="s">
        <v>18</v>
      </c>
      <c r="O1376" s="2" t="s">
        <v>19</v>
      </c>
      <c r="P1376" s="2">
        <v>35000000</v>
      </c>
      <c r="Q1376" s="2">
        <v>6.3</v>
      </c>
      <c r="R1376" s="2" t="s">
        <v>3162</v>
      </c>
      <c r="S1376" s="2"/>
      <c r="U1376" s="2" t="s">
        <v>3163</v>
      </c>
      <c r="V1376">
        <f ca="1" t="shared" si="41"/>
        <v>7.4</v>
      </c>
      <c r="AC1376" s="2"/>
      <c r="AD1376" t="str">
        <f>IFERROR(__xludf.DUMMYFUNCTION("""COMPUTED_VALUE"""),"Sgt. Bilko ")</f>
        <v>Sgt. Bilko </v>
      </c>
      <c r="AE1376">
        <f t="shared" si="42"/>
        <v>30399907</v>
      </c>
    </row>
    <row r="1377" customHeight="1" spans="1:31">
      <c r="A1377" s="2" t="s">
        <v>1689</v>
      </c>
      <c r="B1377" s="2">
        <v>123</v>
      </c>
      <c r="C1377" s="2">
        <v>34531832</v>
      </c>
      <c r="D1377" s="2" t="s">
        <v>592</v>
      </c>
      <c r="E1377" s="2" t="s">
        <v>59</v>
      </c>
      <c r="F1377" t="s">
        <v>17</v>
      </c>
      <c r="G1377" t="s">
        <v>23</v>
      </c>
      <c r="N1377" s="2" t="s">
        <v>18</v>
      </c>
      <c r="O1377" s="2" t="s">
        <v>31</v>
      </c>
      <c r="P1377" s="2">
        <v>35000000</v>
      </c>
      <c r="Q1377" s="2">
        <v>7.1</v>
      </c>
      <c r="R1377" s="2" t="s">
        <v>3164</v>
      </c>
      <c r="S1377" s="2"/>
      <c r="U1377" s="2" t="s">
        <v>3165</v>
      </c>
      <c r="V1377">
        <f ca="1" t="shared" si="41"/>
        <v>6.4</v>
      </c>
      <c r="AC1377" s="2"/>
      <c r="AD1377" t="str">
        <f>IFERROR(__xludf.DUMMYFUNCTION("""COMPUTED_VALUE"""),"Spy Kids 2: Island of Lost Dreams ")</f>
        <v>Spy Kids 2: Island of Lost Dreams </v>
      </c>
      <c r="AE1377">
        <f t="shared" si="42"/>
        <v>85570268</v>
      </c>
    </row>
    <row r="1378" customHeight="1" spans="1:31">
      <c r="A1378" s="2" t="s">
        <v>859</v>
      </c>
      <c r="B1378" s="2">
        <v>106</v>
      </c>
      <c r="C1378" s="2">
        <v>28064226</v>
      </c>
      <c r="D1378" s="2" t="s">
        <v>433</v>
      </c>
      <c r="E1378" s="2" t="s">
        <v>12</v>
      </c>
      <c r="F1378" t="s">
        <v>56</v>
      </c>
      <c r="G1378" t="s">
        <v>30</v>
      </c>
      <c r="N1378" s="2" t="s">
        <v>18</v>
      </c>
      <c r="O1378" s="2" t="s">
        <v>19</v>
      </c>
      <c r="P1378" s="2">
        <v>35000000</v>
      </c>
      <c r="Q1378" s="2">
        <v>5</v>
      </c>
      <c r="R1378" s="2" t="s">
        <v>3166</v>
      </c>
      <c r="S1378" s="2"/>
      <c r="U1378" s="2" t="s">
        <v>3167</v>
      </c>
      <c r="V1378">
        <f ca="1" t="shared" si="41"/>
        <v>7.6</v>
      </c>
      <c r="AC1378" s="2"/>
      <c r="AD1378" t="str">
        <f>IFERROR(__xludf.DUMMYFUNCTION("""COMPUTED_VALUE"""),"Star Trek: Generations ")</f>
        <v>Star Trek: Generations </v>
      </c>
      <c r="AE1378">
        <f t="shared" si="42"/>
        <v>75668750</v>
      </c>
    </row>
    <row r="1379" customHeight="1" spans="1:31">
      <c r="A1379" s="2" t="s">
        <v>1691</v>
      </c>
      <c r="B1379" s="2">
        <v>76</v>
      </c>
      <c r="C1379" s="2">
        <v>19447478</v>
      </c>
      <c r="D1379" s="2" t="s">
        <v>3168</v>
      </c>
      <c r="E1379" s="2" t="s">
        <v>13</v>
      </c>
      <c r="F1379" t="s">
        <v>30</v>
      </c>
      <c r="G1379" t="s">
        <v>39</v>
      </c>
      <c r="N1379" s="2" t="s">
        <v>18</v>
      </c>
      <c r="O1379" s="2" t="s">
        <v>31</v>
      </c>
      <c r="P1379" s="2">
        <v>35000000</v>
      </c>
      <c r="Q1379" s="2">
        <v>5.6</v>
      </c>
      <c r="R1379" s="2" t="s">
        <v>3169</v>
      </c>
      <c r="S1379" s="2"/>
      <c r="U1379" s="2" t="s">
        <v>3170</v>
      </c>
      <c r="V1379">
        <f ca="1" t="shared" si="41"/>
        <v>6.5</v>
      </c>
      <c r="AC1379" s="2"/>
      <c r="AD1379" t="str">
        <f>IFERROR(__xludf.DUMMYFUNCTION("""COMPUTED_VALUE"""),"The Grandmaster ")</f>
        <v>The Grandmaster </v>
      </c>
      <c r="AE1379">
        <f t="shared" si="42"/>
        <v>6594014</v>
      </c>
    </row>
    <row r="1380" customHeight="1" spans="1:31">
      <c r="A1380" s="2" t="s">
        <v>1227</v>
      </c>
      <c r="B1380" s="2">
        <v>107</v>
      </c>
      <c r="C1380" s="2">
        <v>19389454</v>
      </c>
      <c r="D1380" s="2" t="s">
        <v>975</v>
      </c>
      <c r="E1380" s="2" t="s">
        <v>40</v>
      </c>
      <c r="F1380" t="s">
        <v>13</v>
      </c>
      <c r="G1380" t="s">
        <v>15</v>
      </c>
      <c r="N1380" s="2" t="s">
        <v>18</v>
      </c>
      <c r="O1380" s="2" t="s">
        <v>19</v>
      </c>
      <c r="P1380" s="2">
        <v>55000000</v>
      </c>
      <c r="Q1380" s="2">
        <v>7.4</v>
      </c>
      <c r="R1380" s="2" t="s">
        <v>3171</v>
      </c>
      <c r="S1380" s="2"/>
      <c r="U1380" s="2" t="s">
        <v>3172</v>
      </c>
      <c r="V1380">
        <f ca="1" t="shared" si="41"/>
        <v>7.1</v>
      </c>
      <c r="AC1380" s="2"/>
      <c r="AD1380" t="str">
        <f>IFERROR(__xludf.DUMMYFUNCTION("""COMPUTED_VALUE"""),"Water for Elephants ")</f>
        <v>Water for Elephants </v>
      </c>
      <c r="AE1380">
        <f t="shared" si="42"/>
        <v>58700127</v>
      </c>
    </row>
    <row r="1381" customHeight="1" spans="1:31">
      <c r="A1381" s="2" t="s">
        <v>1693</v>
      </c>
      <c r="B1381" s="2">
        <v>82</v>
      </c>
      <c r="C1381" s="2">
        <v>25871834</v>
      </c>
      <c r="D1381" s="2" t="s">
        <v>3173</v>
      </c>
      <c r="E1381" s="2" t="s">
        <v>12</v>
      </c>
      <c r="F1381" t="s">
        <v>15</v>
      </c>
      <c r="G1381" t="s">
        <v>23</v>
      </c>
      <c r="N1381" s="2" t="s">
        <v>18</v>
      </c>
      <c r="O1381" s="2" t="s">
        <v>19</v>
      </c>
      <c r="P1381" s="2">
        <v>35000000</v>
      </c>
      <c r="Q1381" s="2">
        <v>4.5</v>
      </c>
      <c r="R1381" s="2" t="s">
        <v>3174</v>
      </c>
      <c r="S1381" s="2"/>
      <c r="U1381" s="2" t="s">
        <v>3175</v>
      </c>
      <c r="V1381">
        <f ca="1" t="shared" si="41"/>
        <v>6.4</v>
      </c>
      <c r="AC1381" s="2"/>
      <c r="AD1381" t="str">
        <f>IFERROR(__xludf.DUMMYFUNCTION("""COMPUTED_VALUE"""),"The Hurricane ")</f>
        <v>The Hurricane </v>
      </c>
      <c r="AE1381">
        <f t="shared" si="42"/>
        <v>50668760</v>
      </c>
    </row>
    <row r="1382" customHeight="1" spans="1:31">
      <c r="A1382" s="2" t="s">
        <v>1696</v>
      </c>
      <c r="B1382" s="2">
        <v>109</v>
      </c>
      <c r="C1382" s="2">
        <v>19692608</v>
      </c>
      <c r="D1382" s="2" t="s">
        <v>805</v>
      </c>
      <c r="E1382" s="2" t="s">
        <v>56</v>
      </c>
      <c r="F1382" t="s">
        <v>17</v>
      </c>
      <c r="G1382" t="s">
        <v>30</v>
      </c>
      <c r="N1382" s="2" t="s">
        <v>18</v>
      </c>
      <c r="O1382" s="2" t="s">
        <v>19</v>
      </c>
      <c r="P1382" s="2">
        <v>35000000</v>
      </c>
      <c r="Q1382" s="2">
        <v>6.2</v>
      </c>
      <c r="R1382" s="2" t="s">
        <v>3176</v>
      </c>
      <c r="S1382" s="2"/>
      <c r="U1382" s="2" t="s">
        <v>3177</v>
      </c>
      <c r="V1382">
        <f ca="1" t="shared" si="41"/>
        <v>7.3</v>
      </c>
      <c r="AC1382" s="2"/>
      <c r="AD1382" t="str">
        <f>IFERROR(__xludf.DUMMYFUNCTION("""COMPUTED_VALUE"""),"Enough ")</f>
        <v>Enough </v>
      </c>
      <c r="AE1382">
        <f t="shared" si="42"/>
        <v>39177100</v>
      </c>
    </row>
    <row r="1383" customHeight="1" spans="1:31">
      <c r="A1383" s="2" t="s">
        <v>1502</v>
      </c>
      <c r="B1383" s="2">
        <v>99</v>
      </c>
      <c r="C1383" s="2">
        <v>19294901</v>
      </c>
      <c r="D1383" s="2" t="s">
        <v>3178</v>
      </c>
      <c r="E1383" s="2" t="s">
        <v>40</v>
      </c>
      <c r="F1383" t="s">
        <v>23</v>
      </c>
      <c r="G1383" t="s">
        <v>72</v>
      </c>
      <c r="N1383" s="2" t="s">
        <v>18</v>
      </c>
      <c r="O1383" s="2" t="s">
        <v>19</v>
      </c>
      <c r="P1383" s="2">
        <v>35000000</v>
      </c>
      <c r="Q1383" s="2">
        <v>5</v>
      </c>
      <c r="R1383" s="2" t="s">
        <v>3179</v>
      </c>
      <c r="S1383" s="2"/>
      <c r="U1383" s="2" t="s">
        <v>3180</v>
      </c>
      <c r="V1383">
        <f ca="1" t="shared" si="41"/>
        <v>7.3</v>
      </c>
      <c r="AC1383" s="2"/>
      <c r="AD1383" t="str">
        <f>IFERROR(__xludf.DUMMYFUNCTION("""COMPUTED_VALUE"""),"Heartbreakers ")</f>
        <v>Heartbreakers </v>
      </c>
      <c r="AE1383">
        <f t="shared" si="42"/>
        <v>40333901</v>
      </c>
    </row>
    <row r="1384" customHeight="1" spans="1:31">
      <c r="A1384" s="2" t="s">
        <v>1144</v>
      </c>
      <c r="B1384" s="2">
        <v>91</v>
      </c>
      <c r="C1384" s="2">
        <v>20275446</v>
      </c>
      <c r="D1384" s="2" t="s">
        <v>150</v>
      </c>
      <c r="E1384" s="2" t="s">
        <v>12</v>
      </c>
      <c r="F1384" t="s">
        <v>14</v>
      </c>
      <c r="G1384" t="s">
        <v>24</v>
      </c>
      <c r="N1384" s="2" t="s">
        <v>18</v>
      </c>
      <c r="O1384" s="2" t="s">
        <v>19</v>
      </c>
      <c r="P1384" s="2">
        <v>35000000</v>
      </c>
      <c r="Q1384" s="2">
        <v>6.5</v>
      </c>
      <c r="R1384" s="2" t="s">
        <v>3181</v>
      </c>
      <c r="S1384" s="2"/>
      <c r="U1384" s="2" t="s">
        <v>3182</v>
      </c>
      <c r="V1384">
        <f ca="1" t="shared" si="41"/>
        <v>6</v>
      </c>
      <c r="AC1384" s="2"/>
      <c r="AD1384" t="str">
        <f>IFERROR(__xludf.DUMMYFUNCTION("""COMPUTED_VALUE"""),"Paul Blart: Mall Cop 2 ")</f>
        <v>Paul Blart: Mall Cop 2 </v>
      </c>
      <c r="AE1384">
        <f t="shared" si="42"/>
        <v>71038096</v>
      </c>
    </row>
    <row r="1385" customHeight="1" spans="1:31">
      <c r="A1385" s="2" t="s">
        <v>1494</v>
      </c>
      <c r="B1385" s="2">
        <v>87</v>
      </c>
      <c r="C1385" s="2">
        <v>34507079</v>
      </c>
      <c r="D1385" s="2" t="s">
        <v>635</v>
      </c>
      <c r="E1385" s="2" t="s">
        <v>12</v>
      </c>
      <c r="F1385" t="s">
        <v>40</v>
      </c>
      <c r="G1385" t="s">
        <v>55</v>
      </c>
      <c r="N1385" s="2" t="s">
        <v>18</v>
      </c>
      <c r="O1385" s="2" t="s">
        <v>19</v>
      </c>
      <c r="P1385" s="2">
        <v>35000000</v>
      </c>
      <c r="Q1385" s="2">
        <v>5.1</v>
      </c>
      <c r="R1385" s="2" t="s">
        <v>3183</v>
      </c>
      <c r="S1385" s="2"/>
      <c r="U1385" s="2" t="s">
        <v>3184</v>
      </c>
      <c r="V1385">
        <f ca="1" t="shared" si="41"/>
        <v>7.2</v>
      </c>
      <c r="AC1385" s="2"/>
      <c r="AD1385" t="str">
        <f>IFERROR(__xludf.DUMMYFUNCTION("""COMPUTED_VALUE"""),"Angel Eyes ")</f>
        <v>Angel Eyes </v>
      </c>
      <c r="AE1385">
        <f t="shared" si="42"/>
        <v>24044430</v>
      </c>
    </row>
    <row r="1386" customHeight="1" spans="1:31">
      <c r="A1386" s="2" t="s">
        <v>1203</v>
      </c>
      <c r="B1386" s="2">
        <v>125</v>
      </c>
      <c r="C1386" s="2">
        <v>18306166</v>
      </c>
      <c r="D1386" s="2" t="s">
        <v>456</v>
      </c>
      <c r="E1386" s="2" t="s">
        <v>13</v>
      </c>
      <c r="F1386" t="s">
        <v>30</v>
      </c>
      <c r="G1386" t="s">
        <v>72</v>
      </c>
      <c r="N1386" s="2" t="s">
        <v>18</v>
      </c>
      <c r="O1386" s="2" t="s">
        <v>31</v>
      </c>
      <c r="P1386" s="2">
        <v>35000000</v>
      </c>
      <c r="Q1386" s="2">
        <v>6.5</v>
      </c>
      <c r="R1386" s="2" t="s">
        <v>3185</v>
      </c>
      <c r="S1386" s="2"/>
      <c r="U1386" s="2" t="s">
        <v>3186</v>
      </c>
      <c r="V1386">
        <f ca="1" t="shared" si="41"/>
        <v>7.45</v>
      </c>
      <c r="AC1386" s="2"/>
      <c r="AD1386" t="str">
        <f>IFERROR(__xludf.DUMMYFUNCTION("""COMPUTED_VALUE"""),"Joe Somebody ")</f>
        <v>Joe Somebody </v>
      </c>
      <c r="AE1386">
        <f t="shared" si="42"/>
        <v>22770766</v>
      </c>
    </row>
    <row r="1387" customHeight="1" spans="1:31">
      <c r="A1387" s="2" t="s">
        <v>1012</v>
      </c>
      <c r="B1387" s="2">
        <v>118</v>
      </c>
      <c r="C1387" s="2">
        <v>17609982</v>
      </c>
      <c r="D1387" s="2" t="s">
        <v>582</v>
      </c>
      <c r="E1387" s="2" t="s">
        <v>12</v>
      </c>
      <c r="F1387" t="s">
        <v>23</v>
      </c>
      <c r="G1387" t="s">
        <v>55</v>
      </c>
      <c r="N1387" s="2" t="s">
        <v>18</v>
      </c>
      <c r="O1387" s="2" t="s">
        <v>19</v>
      </c>
      <c r="P1387" s="2">
        <v>35000000</v>
      </c>
      <c r="Q1387" s="2">
        <v>6.2</v>
      </c>
      <c r="R1387" s="2" t="s">
        <v>3187</v>
      </c>
      <c r="S1387" s="2"/>
      <c r="U1387" s="2" t="s">
        <v>3188</v>
      </c>
      <c r="V1387">
        <f ca="1" t="shared" si="41"/>
        <v>7.4</v>
      </c>
      <c r="AC1387" s="2"/>
      <c r="AD1387" t="str">
        <f>IFERROR(__xludf.DUMMYFUNCTION("""COMPUTED_VALUE"""),"The Ninth Gate ")</f>
        <v>The Ninth Gate </v>
      </c>
      <c r="AE1387">
        <f t="shared" si="42"/>
        <v>18653613</v>
      </c>
    </row>
    <row r="1388" customHeight="1" spans="1:31">
      <c r="A1388" s="2" t="s">
        <v>1299</v>
      </c>
      <c r="B1388" s="2">
        <v>98</v>
      </c>
      <c r="C1388" s="2">
        <v>16831505</v>
      </c>
      <c r="D1388" s="2" t="s">
        <v>1573</v>
      </c>
      <c r="E1388" s="2" t="s">
        <v>40</v>
      </c>
      <c r="F1388" t="s">
        <v>17</v>
      </c>
      <c r="G1388" t="s">
        <v>83</v>
      </c>
      <c r="N1388" s="2" t="s">
        <v>18</v>
      </c>
      <c r="O1388" s="2" t="s">
        <v>31</v>
      </c>
      <c r="P1388" s="2">
        <v>31000000</v>
      </c>
      <c r="Q1388" s="2">
        <v>6.3</v>
      </c>
      <c r="R1388" s="2" t="s">
        <v>3189</v>
      </c>
      <c r="S1388" s="2"/>
      <c r="U1388" s="2" t="s">
        <v>3190</v>
      </c>
      <c r="V1388">
        <f ca="1" t="shared" si="41"/>
        <v>6.9</v>
      </c>
      <c r="AC1388" s="2"/>
      <c r="AD1388" t="str">
        <f>IFERROR(__xludf.DUMMYFUNCTION("""COMPUTED_VALUE"""),"Extreme Measures ")</f>
        <v>Extreme Measures </v>
      </c>
      <c r="AE1388">
        <f t="shared" si="42"/>
        <v>17305093</v>
      </c>
    </row>
    <row r="1389" customHeight="1" spans="1:31">
      <c r="A1389" s="2" t="s">
        <v>1455</v>
      </c>
      <c r="B1389" s="2">
        <v>92</v>
      </c>
      <c r="C1389" s="2">
        <v>17596256</v>
      </c>
      <c r="D1389" s="2" t="s">
        <v>1201</v>
      </c>
      <c r="E1389" s="2" t="s">
        <v>40</v>
      </c>
      <c r="F1389" t="s">
        <v>14</v>
      </c>
      <c r="G1389" t="s">
        <v>83</v>
      </c>
      <c r="N1389" s="2" t="s">
        <v>18</v>
      </c>
      <c r="O1389" s="2" t="s">
        <v>19</v>
      </c>
      <c r="P1389" s="2">
        <v>35000000</v>
      </c>
      <c r="Q1389" s="2">
        <v>3.8</v>
      </c>
      <c r="R1389" s="2" t="s">
        <v>3191</v>
      </c>
      <c r="S1389" s="2"/>
      <c r="U1389" s="2" t="s">
        <v>3192</v>
      </c>
      <c r="V1389">
        <f ca="1" t="shared" si="41"/>
        <v>6.4</v>
      </c>
      <c r="AC1389" s="2"/>
      <c r="AD1389" t="str">
        <f>IFERROR(__xludf.DUMMYFUNCTION("""COMPUTED_VALUE"""),"Rock Star ")</f>
        <v>Rock Star </v>
      </c>
      <c r="AE1389">
        <f t="shared" si="42"/>
        <v>16991797</v>
      </c>
    </row>
    <row r="1390" customHeight="1" spans="1:31">
      <c r="A1390" s="2" t="s">
        <v>1060</v>
      </c>
      <c r="B1390" s="2">
        <v>92</v>
      </c>
      <c r="C1390" s="2">
        <v>14998070</v>
      </c>
      <c r="D1390" s="2" t="s">
        <v>3193</v>
      </c>
      <c r="E1390" s="2" t="s">
        <v>30</v>
      </c>
      <c r="F1390" t="s">
        <v>30</v>
      </c>
      <c r="G1390" t="s">
        <v>56</v>
      </c>
      <c r="N1390" s="2" t="s">
        <v>18</v>
      </c>
      <c r="O1390" s="2" t="s">
        <v>19</v>
      </c>
      <c r="P1390" s="2">
        <v>35000000</v>
      </c>
      <c r="Q1390" s="2">
        <v>6.2</v>
      </c>
      <c r="R1390" s="2" t="s">
        <v>3194</v>
      </c>
      <c r="S1390" s="2"/>
      <c r="U1390" s="2" t="s">
        <v>3195</v>
      </c>
      <c r="V1390">
        <f ca="1" t="shared" si="41"/>
        <v>5.9</v>
      </c>
      <c r="AC1390" s="2"/>
      <c r="AD1390" t="str">
        <f>IFERROR(__xludf.DUMMYFUNCTION("""COMPUTED_VALUE"""),"Precious ")</f>
        <v>Precious </v>
      </c>
      <c r="AE1390">
        <f t="shared" si="42"/>
        <v>47536850</v>
      </c>
    </row>
    <row r="1391" customHeight="1" spans="1:31">
      <c r="A1391" s="2" t="s">
        <v>742</v>
      </c>
      <c r="B1391" s="2">
        <v>115</v>
      </c>
      <c r="C1391" s="2">
        <v>14587732</v>
      </c>
      <c r="D1391" s="2" t="s">
        <v>706</v>
      </c>
      <c r="E1391" s="2" t="s">
        <v>12</v>
      </c>
      <c r="F1391" t="s">
        <v>56</v>
      </c>
      <c r="G1391" t="s">
        <v>24</v>
      </c>
      <c r="N1391" s="2" t="s">
        <v>18</v>
      </c>
      <c r="O1391" s="2" t="s">
        <v>19</v>
      </c>
      <c r="P1391" s="2">
        <v>35000000</v>
      </c>
      <c r="Q1391" s="2">
        <v>5.7</v>
      </c>
      <c r="R1391" s="2" t="s">
        <v>3196</v>
      </c>
      <c r="S1391" s="2"/>
      <c r="U1391" s="2" t="s">
        <v>3197</v>
      </c>
      <c r="V1391">
        <f ca="1" t="shared" si="41"/>
        <v>6.8</v>
      </c>
      <c r="AC1391" s="2"/>
      <c r="AD1391" t="str">
        <f>IFERROR(__xludf.DUMMYFUNCTION("""COMPUTED_VALUE"""),"White Squall ")</f>
        <v>White Squall </v>
      </c>
      <c r="AE1391">
        <f t="shared" si="42"/>
        <v>10299871</v>
      </c>
    </row>
    <row r="1392" customHeight="1" spans="1:31">
      <c r="A1392" s="2" t="s">
        <v>1531</v>
      </c>
      <c r="B1392" s="2">
        <v>120</v>
      </c>
      <c r="C1392" s="2">
        <v>18317151</v>
      </c>
      <c r="D1392" s="2" t="s">
        <v>3198</v>
      </c>
      <c r="E1392" s="2" t="s">
        <v>40</v>
      </c>
      <c r="F1392" t="s">
        <v>40</v>
      </c>
      <c r="G1392" t="s">
        <v>17</v>
      </c>
      <c r="N1392" s="2" t="s">
        <v>18</v>
      </c>
      <c r="O1392" s="2" t="s">
        <v>19</v>
      </c>
      <c r="P1392" s="2">
        <v>35000000</v>
      </c>
      <c r="Q1392" s="2">
        <v>6.7</v>
      </c>
      <c r="R1392" s="2" t="s">
        <v>3199</v>
      </c>
      <c r="S1392" s="2"/>
      <c r="U1392" s="2" t="s">
        <v>3200</v>
      </c>
      <c r="V1392">
        <f ca="1" t="shared" si="41"/>
        <v>5.5</v>
      </c>
      <c r="AC1392" s="2"/>
      <c r="AD1392" t="str">
        <f>IFERROR(__xludf.DUMMYFUNCTION("""COMPUTED_VALUE"""),"The Thing ")</f>
        <v>The Thing </v>
      </c>
      <c r="AE1392">
        <f t="shared" si="42"/>
        <v>13782729</v>
      </c>
    </row>
    <row r="1393" customHeight="1" spans="1:31">
      <c r="A1393" s="2" t="s">
        <v>1698</v>
      </c>
      <c r="B1393" s="2">
        <v>111</v>
      </c>
      <c r="C1393" s="2">
        <v>11405825</v>
      </c>
      <c r="D1393" s="2" t="s">
        <v>30</v>
      </c>
      <c r="E1393" s="2" t="s">
        <v>30</v>
      </c>
      <c r="F1393" t="s">
        <v>15</v>
      </c>
      <c r="G1393" t="s">
        <v>30</v>
      </c>
      <c r="N1393" s="2" t="s">
        <v>18</v>
      </c>
      <c r="O1393" s="2" t="s">
        <v>19</v>
      </c>
      <c r="P1393" s="2">
        <v>35000000</v>
      </c>
      <c r="Q1393" s="2">
        <v>6.8</v>
      </c>
      <c r="R1393" s="2" t="s">
        <v>3201</v>
      </c>
      <c r="S1393" s="2"/>
      <c r="U1393" s="2" t="s">
        <v>3202</v>
      </c>
      <c r="V1393">
        <f ca="1" t="shared" si="41"/>
        <v>6.9</v>
      </c>
      <c r="AC1393" s="2"/>
      <c r="AD1393" t="str">
        <f>IFERROR(__xludf.DUMMYFUNCTION("""COMPUTED_VALUE"""),"Riddick ")</f>
        <v>Riddick </v>
      </c>
      <c r="AE1393">
        <f t="shared" si="42"/>
        <v>41997663</v>
      </c>
    </row>
    <row r="1394" customHeight="1" spans="1:31">
      <c r="A1394" s="2" t="s">
        <v>807</v>
      </c>
      <c r="B1394" s="2">
        <v>94</v>
      </c>
      <c r="C1394" s="2">
        <v>13264986</v>
      </c>
      <c r="D1394" s="2" t="s">
        <v>3203</v>
      </c>
      <c r="E1394" s="2" t="s">
        <v>12</v>
      </c>
      <c r="F1394" t="s">
        <v>59</v>
      </c>
      <c r="G1394" t="s">
        <v>17</v>
      </c>
      <c r="N1394" s="2" t="s">
        <v>18</v>
      </c>
      <c r="O1394" s="2" t="s">
        <v>19</v>
      </c>
      <c r="P1394" s="2">
        <v>35000000</v>
      </c>
      <c r="Q1394" s="2">
        <v>6</v>
      </c>
      <c r="R1394" s="2" t="s">
        <v>3204</v>
      </c>
      <c r="S1394" s="2"/>
      <c r="U1394" s="2" t="s">
        <v>3205</v>
      </c>
      <c r="V1394">
        <f ca="1" t="shared" si="41"/>
        <v>6.4</v>
      </c>
      <c r="AC1394" s="2"/>
      <c r="AD1394" t="str">
        <f>IFERROR(__xludf.DUMMYFUNCTION("""COMPUTED_VALUE"""),"Switchback ")</f>
        <v>Switchback </v>
      </c>
      <c r="AE1394">
        <f t="shared" si="42"/>
        <v>6482077</v>
      </c>
    </row>
    <row r="1395" customHeight="1" spans="1:31">
      <c r="A1395" s="2" t="s">
        <v>1701</v>
      </c>
      <c r="B1395" s="2">
        <v>100</v>
      </c>
      <c r="C1395" s="2">
        <v>10991381</v>
      </c>
      <c r="D1395" s="2" t="s">
        <v>2530</v>
      </c>
      <c r="E1395" s="2" t="s">
        <v>59</v>
      </c>
      <c r="F1395" t="s">
        <v>24</v>
      </c>
      <c r="G1395" t="s">
        <v>29</v>
      </c>
      <c r="N1395" s="2" t="s">
        <v>18</v>
      </c>
      <c r="O1395" s="2" t="s">
        <v>31</v>
      </c>
      <c r="P1395" s="2">
        <v>35000000</v>
      </c>
      <c r="Q1395" s="2">
        <v>7.3</v>
      </c>
      <c r="R1395" s="2" t="s">
        <v>3206</v>
      </c>
      <c r="S1395" s="2"/>
      <c r="U1395" s="2" t="s">
        <v>3207</v>
      </c>
      <c r="V1395">
        <f ca="1" t="shared" si="41"/>
        <v>6.6</v>
      </c>
      <c r="AC1395" s="2"/>
      <c r="AD1395" t="str">
        <f>IFERROR(__xludf.DUMMYFUNCTION("""COMPUTED_VALUE"""),"Texas Rangers ")</f>
        <v>Texas Rangers </v>
      </c>
      <c r="AE1395">
        <f t="shared" si="42"/>
        <v>623264</v>
      </c>
    </row>
    <row r="1396" customHeight="1" spans="1:31">
      <c r="A1396" s="2" t="s">
        <v>610</v>
      </c>
      <c r="B1396" s="2">
        <v>101</v>
      </c>
      <c r="C1396" s="2">
        <v>10268846</v>
      </c>
      <c r="D1396" s="2" t="s">
        <v>448</v>
      </c>
      <c r="E1396" s="2" t="s">
        <v>12</v>
      </c>
      <c r="F1396" t="s">
        <v>13</v>
      </c>
      <c r="G1396" t="s">
        <v>30</v>
      </c>
      <c r="N1396" s="2" t="s">
        <v>18</v>
      </c>
      <c r="O1396" s="2" t="s">
        <v>19</v>
      </c>
      <c r="P1396" s="2">
        <v>35000000</v>
      </c>
      <c r="Q1396" s="2">
        <v>5.5</v>
      </c>
      <c r="R1396" s="2" t="s">
        <v>3208</v>
      </c>
      <c r="S1396" s="2"/>
      <c r="U1396" s="2" t="s">
        <v>3209</v>
      </c>
      <c r="V1396">
        <f ca="1" t="shared" si="41"/>
        <v>6.63333333333333</v>
      </c>
      <c r="AC1396" s="2"/>
      <c r="AD1396" t="str">
        <f>IFERROR(__xludf.DUMMYFUNCTION("""COMPUTED_VALUE"""),"City of Ember ")</f>
        <v>City of Ember </v>
      </c>
      <c r="AE1396">
        <f t="shared" si="42"/>
        <v>7871603</v>
      </c>
    </row>
    <row r="1397" customHeight="1" spans="1:31">
      <c r="A1397" s="2" t="s">
        <v>1236</v>
      </c>
      <c r="B1397" s="2">
        <v>139</v>
      </c>
      <c r="C1397" s="2">
        <v>13303319</v>
      </c>
      <c r="D1397" s="2" t="s">
        <v>2191</v>
      </c>
      <c r="E1397" s="2" t="s">
        <v>30</v>
      </c>
      <c r="F1397" t="s">
        <v>23</v>
      </c>
      <c r="G1397" t="s">
        <v>24</v>
      </c>
      <c r="N1397" s="2" t="s">
        <v>18</v>
      </c>
      <c r="O1397" s="2" t="s">
        <v>19</v>
      </c>
      <c r="P1397" s="2">
        <v>32000000</v>
      </c>
      <c r="Q1397" s="2">
        <v>6.7</v>
      </c>
      <c r="R1397" s="2" t="s">
        <v>3210</v>
      </c>
      <c r="S1397" s="2"/>
      <c r="U1397" s="2" t="s">
        <v>3211</v>
      </c>
      <c r="V1397">
        <f ca="1" t="shared" si="41"/>
        <v>8.1</v>
      </c>
      <c r="AC1397" s="2"/>
      <c r="AD1397" t="str">
        <f>IFERROR(__xludf.DUMMYFUNCTION("""COMPUTED_VALUE"""),"The Master ")</f>
        <v>The Master </v>
      </c>
      <c r="AE1397">
        <f t="shared" si="42"/>
        <v>16377130</v>
      </c>
    </row>
    <row r="1398" customHeight="1" spans="1:31">
      <c r="A1398" s="2" t="s">
        <v>1703</v>
      </c>
      <c r="B1398" s="2">
        <v>91</v>
      </c>
      <c r="C1398" s="2">
        <v>10076136</v>
      </c>
      <c r="D1398" s="2" t="s">
        <v>628</v>
      </c>
      <c r="E1398" s="2" t="s">
        <v>12</v>
      </c>
      <c r="F1398" t="s">
        <v>30</v>
      </c>
      <c r="G1398" t="s">
        <v>24</v>
      </c>
      <c r="N1398" s="2" t="s">
        <v>18</v>
      </c>
      <c r="O1398" s="2" t="s">
        <v>3212</v>
      </c>
      <c r="P1398" s="2">
        <v>35000000</v>
      </c>
      <c r="Q1398" s="2">
        <v>4.8</v>
      </c>
      <c r="R1398" s="2" t="s">
        <v>3213</v>
      </c>
      <c r="S1398" s="2"/>
      <c r="U1398" s="2" t="s">
        <v>3214</v>
      </c>
      <c r="V1398">
        <f ca="1" t="shared" si="41"/>
        <v>6.5</v>
      </c>
      <c r="AC1398" s="2"/>
      <c r="AD1398" t="str">
        <f>IFERROR(__xludf.DUMMYFUNCTION("""COMPUTED_VALUE"""),"The Express ")</f>
        <v>The Express </v>
      </c>
      <c r="AE1398">
        <f t="shared" si="42"/>
        <v>9589745</v>
      </c>
    </row>
    <row r="1399" customHeight="1" spans="1:31">
      <c r="A1399" s="2" t="s">
        <v>210</v>
      </c>
      <c r="B1399" s="2">
        <v>109</v>
      </c>
      <c r="C1399" s="2">
        <v>10499968</v>
      </c>
      <c r="D1399" s="2" t="s">
        <v>186</v>
      </c>
      <c r="E1399" s="2" t="s">
        <v>12</v>
      </c>
      <c r="F1399" t="s">
        <v>56</v>
      </c>
      <c r="G1399" t="s">
        <v>17</v>
      </c>
      <c r="N1399" s="2" t="s">
        <v>18</v>
      </c>
      <c r="O1399" s="2" t="s">
        <v>19</v>
      </c>
      <c r="P1399" s="2">
        <v>35000000</v>
      </c>
      <c r="Q1399" s="2">
        <v>5.7</v>
      </c>
      <c r="R1399" s="2" t="s">
        <v>3215</v>
      </c>
      <c r="S1399" s="2"/>
      <c r="U1399" s="2" t="s">
        <v>3216</v>
      </c>
      <c r="V1399">
        <f ca="1" t="shared" ref="V1399:V1462" si="43">AVERAGEIF(A1283:A5068,U1399,Q1284:Q5068)</f>
        <v>7.4</v>
      </c>
      <c r="AC1399" s="2"/>
      <c r="AD1399" t="str">
        <f>IFERROR(__xludf.DUMMYFUNCTION("""COMPUTED_VALUE"""),"The 5th Wave ")</f>
        <v>The 5th Wave </v>
      </c>
      <c r="AE1399">
        <f t="shared" ref="AE1399:AE1462" si="44">C1283-B1283</f>
        <v>34912870</v>
      </c>
    </row>
    <row r="1400" customHeight="1" spans="1:31">
      <c r="A1400" s="2" t="s">
        <v>1261</v>
      </c>
      <c r="B1400" s="2">
        <v>102</v>
      </c>
      <c r="C1400" s="2">
        <v>7659747</v>
      </c>
      <c r="D1400" s="2" t="s">
        <v>433</v>
      </c>
      <c r="E1400" s="2" t="s">
        <v>12</v>
      </c>
      <c r="F1400" t="s">
        <v>24</v>
      </c>
      <c r="G1400" t="s">
        <v>24</v>
      </c>
      <c r="N1400" s="2" t="s">
        <v>18</v>
      </c>
      <c r="O1400" s="2" t="s">
        <v>19</v>
      </c>
      <c r="P1400" s="2">
        <v>38000000</v>
      </c>
      <c r="Q1400" s="2">
        <v>5.1</v>
      </c>
      <c r="R1400" s="2" t="s">
        <v>3217</v>
      </c>
      <c r="S1400" s="2"/>
      <c r="U1400" s="2" t="s">
        <v>3218</v>
      </c>
      <c r="V1400">
        <f ca="1" t="shared" si="43"/>
        <v>7.6</v>
      </c>
      <c r="AC1400" s="2"/>
      <c r="AD1400" t="str">
        <f>IFERROR(__xludf.DUMMYFUNCTION("""COMPUTED_VALUE"""),"Creed ")</f>
        <v>Creed </v>
      </c>
      <c r="AE1400">
        <f t="shared" si="44"/>
        <v>109712752</v>
      </c>
    </row>
    <row r="1401" customHeight="1" spans="1:31">
      <c r="A1401" s="2" t="s">
        <v>1705</v>
      </c>
      <c r="B1401" s="2">
        <v>103</v>
      </c>
      <c r="C1401" s="2">
        <v>7948159</v>
      </c>
      <c r="D1401" s="2" t="s">
        <v>186</v>
      </c>
      <c r="E1401" s="2" t="s">
        <v>12</v>
      </c>
      <c r="F1401" t="s">
        <v>17</v>
      </c>
      <c r="G1401" t="s">
        <v>23</v>
      </c>
      <c r="N1401" s="2" t="s">
        <v>18</v>
      </c>
      <c r="O1401" s="2" t="s">
        <v>19</v>
      </c>
      <c r="P1401" s="2">
        <v>35000000</v>
      </c>
      <c r="Q1401" s="2">
        <v>6</v>
      </c>
      <c r="R1401" s="2" t="s">
        <v>3219</v>
      </c>
      <c r="S1401" s="2"/>
      <c r="U1401" s="2" t="s">
        <v>3220</v>
      </c>
      <c r="V1401">
        <f ca="1" t="shared" si="43"/>
        <v>7.1</v>
      </c>
      <c r="AC1401" s="2"/>
      <c r="AD1401" t="str">
        <f>IFERROR(__xludf.DUMMYFUNCTION("""COMPUTED_VALUE"""),"The Town ")</f>
        <v>The Town </v>
      </c>
      <c r="AE1401">
        <f t="shared" si="44"/>
        <v>92173085</v>
      </c>
    </row>
    <row r="1402" customHeight="1" spans="1:31">
      <c r="A1402" s="2" t="s">
        <v>1266</v>
      </c>
      <c r="B1402" s="2">
        <v>83</v>
      </c>
      <c r="C1402" s="2">
        <v>11631245</v>
      </c>
      <c r="D1402" s="2" t="s">
        <v>3221</v>
      </c>
      <c r="E1402" s="2" t="s">
        <v>12</v>
      </c>
      <c r="F1402" t="s">
        <v>24</v>
      </c>
      <c r="G1402" t="s">
        <v>14</v>
      </c>
      <c r="N1402" s="2" t="s">
        <v>18</v>
      </c>
      <c r="O1402" s="2" t="s">
        <v>19</v>
      </c>
      <c r="P1402" s="2">
        <v>35000000</v>
      </c>
      <c r="Q1402" s="2">
        <v>4.2</v>
      </c>
      <c r="R1402" s="2" t="s">
        <v>3222</v>
      </c>
      <c r="S1402" s="2"/>
      <c r="U1402" s="2" t="s">
        <v>3223</v>
      </c>
      <c r="V1402">
        <f ca="1" t="shared" si="43"/>
        <v>7.2</v>
      </c>
      <c r="AC1402" s="2"/>
      <c r="AD1402" t="str">
        <f>IFERROR(__xludf.DUMMYFUNCTION("""COMPUTED_VALUE"""),"What to Expect When You're Expecting ")</f>
        <v>What to Expect When You're Expecting </v>
      </c>
      <c r="AE1402">
        <f t="shared" si="44"/>
        <v>41102061</v>
      </c>
    </row>
    <row r="1403" customHeight="1" spans="1:31">
      <c r="A1403" s="2" t="s">
        <v>178</v>
      </c>
      <c r="B1403" s="2">
        <v>123</v>
      </c>
      <c r="C1403" s="2">
        <v>10137502</v>
      </c>
      <c r="D1403" s="2" t="s">
        <v>3224</v>
      </c>
      <c r="E1403" s="2" t="s">
        <v>13</v>
      </c>
      <c r="F1403" t="s">
        <v>56</v>
      </c>
      <c r="G1403" t="s">
        <v>28</v>
      </c>
      <c r="N1403" s="2" t="s">
        <v>18</v>
      </c>
      <c r="O1403" s="2" t="s">
        <v>19</v>
      </c>
      <c r="P1403" s="2">
        <v>35000000</v>
      </c>
      <c r="Q1403" s="2">
        <v>7.4</v>
      </c>
      <c r="R1403" s="2" t="s">
        <v>3225</v>
      </c>
      <c r="S1403" s="2"/>
      <c r="U1403" s="2" t="s">
        <v>3226</v>
      </c>
      <c r="V1403">
        <f ca="1" t="shared" si="43"/>
        <v>3.1</v>
      </c>
      <c r="AC1403" s="2"/>
      <c r="AD1403" t="str">
        <f>IFERROR(__xludf.DUMMYFUNCTION("""COMPUTED_VALUE"""),"Burn After Reading ")</f>
        <v>Burn After Reading </v>
      </c>
      <c r="AE1403">
        <f t="shared" si="44"/>
        <v>60338795</v>
      </c>
    </row>
    <row r="1404" customHeight="1" spans="1:31">
      <c r="A1404" s="2" t="s">
        <v>1707</v>
      </c>
      <c r="B1404" s="2">
        <v>101</v>
      </c>
      <c r="C1404" s="2">
        <v>6448817</v>
      </c>
      <c r="D1404" s="2" t="s">
        <v>22</v>
      </c>
      <c r="E1404" s="2" t="s">
        <v>12</v>
      </c>
      <c r="F1404" t="s">
        <v>30</v>
      </c>
      <c r="G1404" t="s">
        <v>17</v>
      </c>
      <c r="N1404" s="2" t="s">
        <v>18</v>
      </c>
      <c r="O1404" s="2" t="s">
        <v>19</v>
      </c>
      <c r="P1404" s="2">
        <v>35000000</v>
      </c>
      <c r="Q1404" s="2">
        <v>4.6</v>
      </c>
      <c r="R1404" s="2" t="s">
        <v>3227</v>
      </c>
      <c r="S1404" s="2"/>
      <c r="U1404" s="2" t="s">
        <v>3228</v>
      </c>
      <c r="V1404">
        <f ca="1" t="shared" si="43"/>
        <v>6.9</v>
      </c>
      <c r="AC1404" s="2"/>
      <c r="AD1404" t="str">
        <f>IFERROR(__xludf.DUMMYFUNCTION("""COMPUTED_VALUE"""),"Nim's Island ")</f>
        <v>Nim's Island </v>
      </c>
      <c r="AE1404">
        <f t="shared" si="44"/>
        <v>48006407</v>
      </c>
    </row>
    <row r="1405" customHeight="1" spans="1:31">
      <c r="A1405" s="2" t="s">
        <v>94</v>
      </c>
      <c r="B1405" s="2">
        <v>117</v>
      </c>
      <c r="C1405" s="2">
        <v>7458269</v>
      </c>
      <c r="D1405" s="2" t="s">
        <v>521</v>
      </c>
      <c r="E1405" s="2" t="s">
        <v>40</v>
      </c>
      <c r="F1405" t="s">
        <v>23</v>
      </c>
      <c r="G1405" t="s">
        <v>24</v>
      </c>
      <c r="N1405" s="2" t="s">
        <v>18</v>
      </c>
      <c r="O1405" s="2" t="s">
        <v>19</v>
      </c>
      <c r="P1405" s="2">
        <v>35000000</v>
      </c>
      <c r="Q1405" s="2">
        <v>6.9</v>
      </c>
      <c r="R1405" s="2" t="s">
        <v>3229</v>
      </c>
      <c r="S1405" s="2"/>
      <c r="U1405" s="2" t="s">
        <v>3230</v>
      </c>
      <c r="V1405">
        <f ca="1" t="shared" si="43"/>
        <v>6.2</v>
      </c>
      <c r="AC1405" s="2"/>
      <c r="AD1405" t="str">
        <f>IFERROR(__xludf.DUMMYFUNCTION("""COMPUTED_VALUE"""),"Rush ")</f>
        <v>Rush </v>
      </c>
      <c r="AE1405">
        <f t="shared" si="44"/>
        <v>26903586</v>
      </c>
    </row>
    <row r="1406" customHeight="1" spans="1:31">
      <c r="A1406" s="2" t="s">
        <v>399</v>
      </c>
      <c r="B1406" s="2">
        <v>114</v>
      </c>
      <c r="C1406" s="2">
        <v>4651977</v>
      </c>
      <c r="D1406" s="2" t="s">
        <v>30</v>
      </c>
      <c r="E1406" s="2" t="s">
        <v>30</v>
      </c>
      <c r="F1406" t="s">
        <v>40</v>
      </c>
      <c r="G1406" t="s">
        <v>17</v>
      </c>
      <c r="N1406" s="2" t="s">
        <v>18</v>
      </c>
      <c r="O1406" s="2" t="s">
        <v>19</v>
      </c>
      <c r="P1406" s="2">
        <v>35000000</v>
      </c>
      <c r="Q1406" s="2">
        <v>6.9</v>
      </c>
      <c r="R1406" s="2" t="s">
        <v>3231</v>
      </c>
      <c r="S1406" s="2"/>
      <c r="U1406" s="2" t="s">
        <v>3232</v>
      </c>
      <c r="V1406">
        <f ca="1" t="shared" si="43"/>
        <v>6.3</v>
      </c>
      <c r="AC1406" s="2"/>
      <c r="AD1406" t="str">
        <f>IFERROR(__xludf.DUMMYFUNCTION("""COMPUTED_VALUE"""),"Magnolia ")</f>
        <v>Magnolia </v>
      </c>
      <c r="AE1406">
        <f t="shared" si="44"/>
        <v>22450787</v>
      </c>
    </row>
    <row r="1407" customHeight="1" spans="1:31">
      <c r="A1407" s="2" t="s">
        <v>1012</v>
      </c>
      <c r="B1407" s="2">
        <v>330</v>
      </c>
      <c r="C1407" s="2">
        <v>4496583</v>
      </c>
      <c r="D1407" s="2" t="s">
        <v>718</v>
      </c>
      <c r="E1407" s="2" t="s">
        <v>56</v>
      </c>
      <c r="F1407" t="s">
        <v>28</v>
      </c>
      <c r="G1407" t="s">
        <v>28</v>
      </c>
      <c r="N1407" s="2" t="s">
        <v>18</v>
      </c>
      <c r="O1407" s="2" t="s">
        <v>19</v>
      </c>
      <c r="P1407" s="2">
        <v>35000000</v>
      </c>
      <c r="Q1407" s="2">
        <v>8</v>
      </c>
      <c r="R1407" s="2" t="s">
        <v>3233</v>
      </c>
      <c r="S1407" s="2"/>
      <c r="U1407" s="2" t="s">
        <v>3234</v>
      </c>
      <c r="V1407">
        <f ca="1" t="shared" si="43"/>
        <v>5.85</v>
      </c>
      <c r="AC1407" s="2"/>
      <c r="AD1407" t="str">
        <f>IFERROR(__xludf.DUMMYFUNCTION("""COMPUTED_VALUE"""),"Cop Out ")</f>
        <v>Cop Out </v>
      </c>
      <c r="AE1407">
        <f t="shared" si="44"/>
        <v>44867242</v>
      </c>
    </row>
    <row r="1408" customHeight="1" spans="1:31">
      <c r="A1408" s="2" t="s">
        <v>1709</v>
      </c>
      <c r="B1408" s="2">
        <v>121</v>
      </c>
      <c r="C1408" s="2">
        <v>2221994</v>
      </c>
      <c r="D1408" s="2" t="s">
        <v>511</v>
      </c>
      <c r="E1408" s="2" t="s">
        <v>12</v>
      </c>
      <c r="F1408" t="s">
        <v>29</v>
      </c>
      <c r="G1408" t="s">
        <v>30</v>
      </c>
      <c r="N1408" s="2" t="s">
        <v>18</v>
      </c>
      <c r="O1408" s="2" t="s">
        <v>3235</v>
      </c>
      <c r="P1408" s="2">
        <v>35000000</v>
      </c>
      <c r="Q1408" s="2">
        <v>6.4</v>
      </c>
      <c r="R1408" s="2" t="s">
        <v>3236</v>
      </c>
      <c r="S1408" s="2"/>
      <c r="U1408" s="2" t="s">
        <v>3237</v>
      </c>
      <c r="V1408">
        <f ca="1" t="shared" si="43"/>
        <v>8</v>
      </c>
      <c r="AC1408" s="2"/>
      <c r="AD1408" t="str">
        <f>IFERROR(__xludf.DUMMYFUNCTION("""COMPUTED_VALUE"""),"How to Be Single ")</f>
        <v>How to Be Single </v>
      </c>
      <c r="AE1408">
        <f t="shared" si="44"/>
        <v>46813256</v>
      </c>
    </row>
    <row r="1409" customHeight="1" spans="1:31">
      <c r="A1409" s="2" t="s">
        <v>733</v>
      </c>
      <c r="B1409" s="2">
        <v>114</v>
      </c>
      <c r="C1409" s="2">
        <v>6592103</v>
      </c>
      <c r="D1409" s="2" t="s">
        <v>814</v>
      </c>
      <c r="E1409" s="2" t="s">
        <v>56</v>
      </c>
      <c r="F1409" t="s">
        <v>17</v>
      </c>
      <c r="G1409" t="s">
        <v>55</v>
      </c>
      <c r="N1409" s="2" t="s">
        <v>18</v>
      </c>
      <c r="O1409" s="2" t="s">
        <v>707</v>
      </c>
      <c r="P1409" s="2">
        <v>35000000</v>
      </c>
      <c r="Q1409" s="2">
        <v>6.3</v>
      </c>
      <c r="R1409" s="2" t="s">
        <v>3238</v>
      </c>
      <c r="S1409" s="2"/>
      <c r="U1409" s="2" t="s">
        <v>3239</v>
      </c>
      <c r="V1409">
        <f ca="1" t="shared" si="43"/>
        <v>7</v>
      </c>
      <c r="AC1409" s="2"/>
      <c r="AD1409" t="str">
        <f>IFERROR(__xludf.DUMMYFUNCTION("""COMPUTED_VALUE"""),"Dolphin Tale ")</f>
        <v>Dolphin Tale </v>
      </c>
      <c r="AE1409">
        <f t="shared" si="44"/>
        <v>72279577</v>
      </c>
    </row>
    <row r="1410" customHeight="1" spans="1:31">
      <c r="A1410" s="2" t="s">
        <v>401</v>
      </c>
      <c r="B1410" s="2">
        <v>148</v>
      </c>
      <c r="C1410" s="2">
        <v>630779</v>
      </c>
      <c r="D1410" s="2" t="s">
        <v>3240</v>
      </c>
      <c r="E1410" s="2" t="s">
        <v>30</v>
      </c>
      <c r="F1410" t="s">
        <v>83</v>
      </c>
      <c r="G1410" t="s">
        <v>39</v>
      </c>
      <c r="N1410" s="2" t="s">
        <v>18</v>
      </c>
      <c r="O1410" s="2" t="s">
        <v>19</v>
      </c>
      <c r="P1410" s="2">
        <v>35000000</v>
      </c>
      <c r="Q1410" s="2">
        <v>6.8</v>
      </c>
      <c r="R1410" s="2" t="s">
        <v>3241</v>
      </c>
      <c r="S1410" s="2"/>
      <c r="U1410" s="2" t="s">
        <v>3242</v>
      </c>
      <c r="V1410">
        <f ca="1" t="shared" si="43"/>
        <v>3.5</v>
      </c>
      <c r="AC1410" s="2"/>
      <c r="AD1410" t="str">
        <f>IFERROR(__xludf.DUMMYFUNCTION("""COMPUTED_VALUE"""),"Twilight ")</f>
        <v>Twilight </v>
      </c>
      <c r="AE1410">
        <f t="shared" si="44"/>
        <v>191449353</v>
      </c>
    </row>
    <row r="1411" customHeight="1" spans="1:31">
      <c r="A1411" s="2" t="s">
        <v>1055</v>
      </c>
      <c r="B1411" s="2">
        <v>113</v>
      </c>
      <c r="C1411" s="2">
        <v>102413606</v>
      </c>
      <c r="D1411" s="2" t="s">
        <v>596</v>
      </c>
      <c r="E1411" s="2" t="s">
        <v>12</v>
      </c>
      <c r="F1411" t="s">
        <v>56</v>
      </c>
      <c r="G1411" t="s">
        <v>55</v>
      </c>
      <c r="N1411" s="2" t="s">
        <v>18</v>
      </c>
      <c r="O1411" s="2" t="s">
        <v>19</v>
      </c>
      <c r="P1411" s="2">
        <v>34000000</v>
      </c>
      <c r="Q1411" s="2">
        <v>6.8</v>
      </c>
      <c r="R1411" s="2" t="s">
        <v>3243</v>
      </c>
      <c r="S1411" s="2"/>
      <c r="U1411" s="2" t="s">
        <v>3244</v>
      </c>
      <c r="V1411">
        <f ca="1" t="shared" si="43"/>
        <v>7.5</v>
      </c>
      <c r="AC1411" s="2"/>
      <c r="AD1411" t="str">
        <f>IFERROR(__xludf.DUMMYFUNCTION("""COMPUTED_VALUE"""),"John Q ")</f>
        <v>John Q </v>
      </c>
      <c r="AE1411">
        <f t="shared" si="44"/>
        <v>71026515</v>
      </c>
    </row>
    <row r="1412" customHeight="1" spans="1:31">
      <c r="A1412" s="2" t="s">
        <v>1711</v>
      </c>
      <c r="B1412" s="2">
        <v>91</v>
      </c>
      <c r="C1412" s="2">
        <v>10214013</v>
      </c>
      <c r="D1412" s="2" t="s">
        <v>40</v>
      </c>
      <c r="E1412" s="2" t="s">
        <v>40</v>
      </c>
      <c r="F1412" t="s">
        <v>30</v>
      </c>
      <c r="G1412" t="s">
        <v>40</v>
      </c>
      <c r="N1412" s="2" t="s">
        <v>18</v>
      </c>
      <c r="O1412" s="2" t="s">
        <v>19</v>
      </c>
      <c r="P1412" s="2">
        <v>35000000</v>
      </c>
      <c r="Q1412" s="2">
        <v>5.4</v>
      </c>
      <c r="R1412" s="2" t="s">
        <v>3245</v>
      </c>
      <c r="S1412" s="2"/>
      <c r="U1412" s="2" t="s">
        <v>3246</v>
      </c>
      <c r="V1412">
        <f ca="1" t="shared" si="43"/>
        <v>7.4</v>
      </c>
      <c r="AC1412" s="2"/>
      <c r="AD1412" t="str">
        <f>IFERROR(__xludf.DUMMYFUNCTION("""COMPUTED_VALUE"""),"Blue Streak ")</f>
        <v>Blue Streak </v>
      </c>
      <c r="AE1412">
        <f t="shared" si="44"/>
        <v>68208097</v>
      </c>
    </row>
    <row r="1413" customHeight="1" spans="1:31">
      <c r="A1413" s="2" t="s">
        <v>196</v>
      </c>
      <c r="B1413" s="2">
        <v>139</v>
      </c>
      <c r="C1413" s="2">
        <v>32000000</v>
      </c>
      <c r="D1413" s="2" t="s">
        <v>103</v>
      </c>
      <c r="E1413" s="2" t="s">
        <v>30</v>
      </c>
      <c r="F1413" t="s">
        <v>24</v>
      </c>
      <c r="G1413" t="s">
        <v>24</v>
      </c>
      <c r="N1413" s="2" t="s">
        <v>18</v>
      </c>
      <c r="O1413" s="2" t="s">
        <v>19</v>
      </c>
      <c r="P1413" s="2">
        <v>30000000</v>
      </c>
      <c r="Q1413" s="2">
        <v>7.2</v>
      </c>
      <c r="R1413" s="2" t="s">
        <v>3247</v>
      </c>
      <c r="S1413" s="2"/>
      <c r="U1413" s="2" t="s">
        <v>3248</v>
      </c>
      <c r="V1413">
        <f ca="1" t="shared" si="43"/>
        <v>6.8</v>
      </c>
      <c r="AC1413" s="2"/>
      <c r="AD1413" t="str">
        <f>IFERROR(__xludf.DUMMYFUNCTION("""COMPUTED_VALUE"""),"We're the Millers ")</f>
        <v>We're the Millers </v>
      </c>
      <c r="AE1413">
        <f t="shared" si="44"/>
        <v>150368853</v>
      </c>
    </row>
    <row r="1414" customHeight="1" spans="1:31">
      <c r="A1414" s="2" t="s">
        <v>450</v>
      </c>
      <c r="B1414" s="2">
        <v>96</v>
      </c>
      <c r="C1414" s="2">
        <v>10139254</v>
      </c>
      <c r="D1414" s="2" t="s">
        <v>677</v>
      </c>
      <c r="E1414" s="2" t="s">
        <v>30</v>
      </c>
      <c r="F1414" t="s">
        <v>13</v>
      </c>
      <c r="G1414" t="s">
        <v>29</v>
      </c>
      <c r="N1414" s="2" t="s">
        <v>18</v>
      </c>
      <c r="O1414" s="2" t="s">
        <v>19</v>
      </c>
      <c r="P1414" s="2">
        <v>35000000</v>
      </c>
      <c r="Q1414" s="2">
        <v>7.3</v>
      </c>
      <c r="R1414" s="2" t="s">
        <v>3249</v>
      </c>
      <c r="S1414" s="2"/>
      <c r="U1414" s="2" t="s">
        <v>3250</v>
      </c>
      <c r="V1414">
        <f ca="1" t="shared" si="43"/>
        <v>6.8</v>
      </c>
      <c r="AC1414" s="2"/>
      <c r="AD1414" t="str">
        <f>IFERROR(__xludf.DUMMYFUNCTION("""COMPUTED_VALUE"""),"Breakdown ")</f>
        <v>Breakdown </v>
      </c>
      <c r="AE1414">
        <f t="shared" si="44"/>
        <v>50129093</v>
      </c>
    </row>
    <row r="1415" customHeight="1" spans="1:31">
      <c r="A1415" s="2" t="s">
        <v>1713</v>
      </c>
      <c r="B1415" s="2">
        <v>102</v>
      </c>
      <c r="C1415" s="2">
        <v>11227940</v>
      </c>
      <c r="D1415" s="2" t="s">
        <v>3251</v>
      </c>
      <c r="E1415" s="2" t="s">
        <v>12</v>
      </c>
      <c r="F1415" t="s">
        <v>40</v>
      </c>
      <c r="G1415" t="s">
        <v>28</v>
      </c>
      <c r="N1415" s="2" t="s">
        <v>18</v>
      </c>
      <c r="O1415" s="2" t="s">
        <v>19</v>
      </c>
      <c r="P1415" s="2">
        <v>34000000</v>
      </c>
      <c r="Q1415" s="2">
        <v>5.2</v>
      </c>
      <c r="R1415" s="2" t="s">
        <v>3252</v>
      </c>
      <c r="S1415" s="2"/>
      <c r="U1415" s="2" t="s">
        <v>3253</v>
      </c>
      <c r="V1415">
        <f ca="1" t="shared" si="43"/>
        <v>6.2</v>
      </c>
      <c r="AC1415" s="2"/>
      <c r="AD1415" t="str">
        <f>IFERROR(__xludf.DUMMYFUNCTION("""COMPUTED_VALUE"""),"Never Say Never Again ")</f>
        <v>Never Say Never Again </v>
      </c>
      <c r="AE1415">
        <f t="shared" si="44"/>
        <v>55499879</v>
      </c>
    </row>
    <row r="1416" customHeight="1" spans="1:31">
      <c r="A1416" s="2" t="s">
        <v>634</v>
      </c>
      <c r="B1416" s="2">
        <v>96</v>
      </c>
      <c r="C1416" s="2">
        <v>183125</v>
      </c>
      <c r="D1416" s="2" t="s">
        <v>186</v>
      </c>
      <c r="E1416" s="2" t="s">
        <v>12</v>
      </c>
      <c r="F1416" t="s">
        <v>28</v>
      </c>
      <c r="G1416" t="s">
        <v>24</v>
      </c>
      <c r="N1416" s="2" t="s">
        <v>18</v>
      </c>
      <c r="O1416" s="2" t="s">
        <v>19</v>
      </c>
      <c r="P1416" s="2">
        <v>35000000</v>
      </c>
      <c r="Q1416" s="2">
        <v>5.5</v>
      </c>
      <c r="R1416" s="2" t="s">
        <v>3254</v>
      </c>
      <c r="S1416" s="2"/>
      <c r="U1416" s="2" t="s">
        <v>3255</v>
      </c>
      <c r="V1416">
        <f ca="1" t="shared" si="43"/>
        <v>7.6</v>
      </c>
      <c r="AC1416" s="2"/>
      <c r="AD1416" t="str">
        <f>IFERROR(__xludf.DUMMYFUNCTION("""COMPUTED_VALUE"""),"Hot Tub Time Machine ")</f>
        <v>Hot Tub Time Machine </v>
      </c>
      <c r="AE1416">
        <f t="shared" si="44"/>
        <v>50213518</v>
      </c>
    </row>
    <row r="1417" customHeight="1" spans="1:31">
      <c r="A1417" s="2" t="s">
        <v>1715</v>
      </c>
      <c r="B1417" s="2">
        <v>101</v>
      </c>
      <c r="C1417" s="2">
        <v>15081783</v>
      </c>
      <c r="D1417" s="2" t="s">
        <v>250</v>
      </c>
      <c r="E1417" s="2" t="s">
        <v>13</v>
      </c>
      <c r="F1417" t="s">
        <v>14</v>
      </c>
      <c r="G1417" t="s">
        <v>17</v>
      </c>
      <c r="N1417" s="2" t="s">
        <v>3256</v>
      </c>
      <c r="O1417" s="2" t="s">
        <v>1160</v>
      </c>
      <c r="P1417" s="2">
        <v>34000000</v>
      </c>
      <c r="Q1417" s="2">
        <v>7.7</v>
      </c>
      <c r="R1417" s="2" t="s">
        <v>3257</v>
      </c>
      <c r="S1417" s="2"/>
      <c r="U1417" s="2" t="s">
        <v>3258</v>
      </c>
      <c r="V1417">
        <f ca="1" t="shared" si="43"/>
        <v>7.2</v>
      </c>
      <c r="AC1417" s="2"/>
      <c r="AD1417" t="str">
        <f>IFERROR(__xludf.DUMMYFUNCTION("""COMPUTED_VALUE"""),"Dolphin Tale 2 ")</f>
        <v>Dolphin Tale 2 </v>
      </c>
      <c r="AE1417">
        <f t="shared" si="44"/>
        <v>42019376</v>
      </c>
    </row>
    <row r="1418" customHeight="1" spans="1:31">
      <c r="A1418" s="2" t="s">
        <v>1718</v>
      </c>
      <c r="B1418" s="2">
        <v>128</v>
      </c>
      <c r="C1418" s="2">
        <v>37432299</v>
      </c>
      <c r="D1418" s="2" t="s">
        <v>103</v>
      </c>
      <c r="E1418" s="2" t="s">
        <v>30</v>
      </c>
      <c r="F1418" t="s">
        <v>30</v>
      </c>
      <c r="G1418" t="s">
        <v>24</v>
      </c>
      <c r="N1418" s="2" t="s">
        <v>18</v>
      </c>
      <c r="O1418" s="2" t="s">
        <v>19</v>
      </c>
      <c r="P1418" s="2">
        <v>34000000</v>
      </c>
      <c r="Q1418" s="2">
        <v>7.1</v>
      </c>
      <c r="R1418" s="2" t="s">
        <v>3259</v>
      </c>
      <c r="S1418" s="2"/>
      <c r="U1418" s="2" t="s">
        <v>3260</v>
      </c>
      <c r="V1418">
        <f ca="1" t="shared" si="43"/>
        <v>6.5</v>
      </c>
      <c r="AC1418" s="2"/>
      <c r="AD1418" t="str">
        <f>IFERROR(__xludf.DUMMYFUNCTION("""COMPUTED_VALUE"""),"Reindeer Games ")</f>
        <v>Reindeer Games </v>
      </c>
      <c r="AE1418">
        <f t="shared" si="44"/>
        <v>23360655</v>
      </c>
    </row>
    <row r="1419" customHeight="1" spans="1:31">
      <c r="A1419" s="2" t="s">
        <v>1721</v>
      </c>
      <c r="B1419" s="2">
        <v>109</v>
      </c>
      <c r="C1419" s="2">
        <v>10654581</v>
      </c>
      <c r="D1419" s="2" t="s">
        <v>1045</v>
      </c>
      <c r="E1419" s="2" t="s">
        <v>30</v>
      </c>
      <c r="F1419" t="s">
        <v>40</v>
      </c>
      <c r="G1419" t="s">
        <v>30</v>
      </c>
      <c r="N1419" s="2" t="s">
        <v>18</v>
      </c>
      <c r="O1419" s="2" t="s">
        <v>19</v>
      </c>
      <c r="P1419" s="2">
        <v>34000000</v>
      </c>
      <c r="Q1419" s="2">
        <v>5.3</v>
      </c>
      <c r="R1419" s="2" t="s">
        <v>3261</v>
      </c>
      <c r="S1419" s="2"/>
      <c r="U1419" s="2" t="s">
        <v>3262</v>
      </c>
      <c r="V1419">
        <f ca="1" t="shared" si="43"/>
        <v>7.9</v>
      </c>
      <c r="AC1419" s="2"/>
      <c r="AD1419" t="str">
        <f>IFERROR(__xludf.DUMMYFUNCTION("""COMPUTED_VALUE"""),"A Man Apart ")</f>
        <v>A Man Apart </v>
      </c>
      <c r="AE1419">
        <f t="shared" si="44"/>
        <v>26183088</v>
      </c>
    </row>
    <row r="1420" customHeight="1" spans="1:31">
      <c r="A1420" s="2" t="s">
        <v>1724</v>
      </c>
      <c r="B1420" s="2">
        <v>114</v>
      </c>
      <c r="C1420" s="2">
        <v>6543194</v>
      </c>
      <c r="D1420" s="2" t="s">
        <v>887</v>
      </c>
      <c r="E1420" s="2" t="s">
        <v>13</v>
      </c>
      <c r="F1420" t="s">
        <v>56</v>
      </c>
      <c r="G1420" t="s">
        <v>56</v>
      </c>
      <c r="N1420" s="2" t="s">
        <v>18</v>
      </c>
      <c r="O1420" s="2" t="s">
        <v>19</v>
      </c>
      <c r="P1420" s="2">
        <v>34000000</v>
      </c>
      <c r="Q1420" s="2">
        <v>5.6</v>
      </c>
      <c r="R1420" s="2" t="s">
        <v>3263</v>
      </c>
      <c r="S1420" s="2"/>
      <c r="U1420" s="2" t="s">
        <v>3264</v>
      </c>
      <c r="V1420">
        <f ca="1" t="shared" si="43"/>
        <v>6.6</v>
      </c>
      <c r="AC1420" s="2"/>
      <c r="AD1420" t="str">
        <f>IFERROR(__xludf.DUMMYFUNCTION("""COMPUTED_VALUE"""),"Aloha ")</f>
        <v>Aloha </v>
      </c>
      <c r="AE1420">
        <f t="shared" si="44"/>
        <v>20991392</v>
      </c>
    </row>
    <row r="1421" customHeight="1" spans="1:31">
      <c r="A1421" s="2" t="s">
        <v>1179</v>
      </c>
      <c r="B1421" s="2">
        <v>105</v>
      </c>
      <c r="C1421" s="2">
        <v>13101142</v>
      </c>
      <c r="D1421" s="2" t="s">
        <v>1573</v>
      </c>
      <c r="E1421" s="2" t="s">
        <v>40</v>
      </c>
      <c r="F1421" t="s">
        <v>56</v>
      </c>
      <c r="G1421" t="s">
        <v>39</v>
      </c>
      <c r="N1421" s="2" t="s">
        <v>18</v>
      </c>
      <c r="O1421" s="2" t="s">
        <v>19</v>
      </c>
      <c r="P1421" s="2">
        <v>35000000</v>
      </c>
      <c r="Q1421" s="2">
        <v>5.7</v>
      </c>
      <c r="R1421" s="2" t="s">
        <v>3265</v>
      </c>
      <c r="S1421" s="2"/>
      <c r="U1421" s="2" t="s">
        <v>3266</v>
      </c>
      <c r="V1421">
        <f ca="1" t="shared" si="43"/>
        <v>6.56666666666667</v>
      </c>
      <c r="AC1421" s="2"/>
      <c r="AD1421" t="str">
        <f>IFERROR(__xludf.DUMMYFUNCTION("""COMPUTED_VALUE"""),"Ghosts of Mississippi ")</f>
        <v>Ghosts of Mississippi </v>
      </c>
      <c r="AE1421">
        <f t="shared" si="44"/>
        <v>13052611</v>
      </c>
    </row>
    <row r="1422" customHeight="1" spans="1:31">
      <c r="A1422" s="2" t="s">
        <v>1542</v>
      </c>
      <c r="B1422" s="2">
        <v>141</v>
      </c>
      <c r="C1422" s="2">
        <v>8324748</v>
      </c>
      <c r="D1422" s="2" t="s">
        <v>2457</v>
      </c>
      <c r="E1422" s="2" t="s">
        <v>59</v>
      </c>
      <c r="F1422" t="s">
        <v>30</v>
      </c>
      <c r="G1422" t="s">
        <v>15</v>
      </c>
      <c r="N1422" s="2" t="s">
        <v>18</v>
      </c>
      <c r="O1422" s="2" t="s">
        <v>31</v>
      </c>
      <c r="P1422" s="2">
        <v>35000000</v>
      </c>
      <c r="Q1422" s="2">
        <v>7.1</v>
      </c>
      <c r="R1422" s="2" t="s">
        <v>3267</v>
      </c>
      <c r="S1422" s="2"/>
      <c r="U1422" s="2" t="s">
        <v>3268</v>
      </c>
      <c r="V1422">
        <f ca="1" t="shared" si="43"/>
        <v>6.5</v>
      </c>
      <c r="AC1422" s="2"/>
      <c r="AD1422" t="str">
        <f>IFERROR(__xludf.DUMMYFUNCTION("""COMPUTED_VALUE"""),"Snow Falling on Cedars ")</f>
        <v>Snow Falling on Cedars </v>
      </c>
      <c r="AE1422">
        <f t="shared" si="44"/>
        <v>14378226</v>
      </c>
    </row>
    <row r="1423" customHeight="1" spans="1:31">
      <c r="A1423" s="2" t="s">
        <v>1030</v>
      </c>
      <c r="B1423" s="2">
        <v>138</v>
      </c>
      <c r="C1423" s="2">
        <v>141340178</v>
      </c>
      <c r="D1423" s="2" t="s">
        <v>1655</v>
      </c>
      <c r="E1423" s="2" t="s">
        <v>30</v>
      </c>
      <c r="F1423" t="s">
        <v>35</v>
      </c>
      <c r="G1423" t="s">
        <v>15</v>
      </c>
      <c r="N1423" s="2" t="s">
        <v>18</v>
      </c>
      <c r="O1423" s="2" t="s">
        <v>19</v>
      </c>
      <c r="P1423" s="2">
        <v>40000000</v>
      </c>
      <c r="Q1423" s="2">
        <v>7.6</v>
      </c>
      <c r="R1423" s="2" t="s">
        <v>3269</v>
      </c>
      <c r="S1423" s="2"/>
      <c r="U1423" s="2" t="s">
        <v>3270</v>
      </c>
      <c r="V1423">
        <f ca="1" t="shared" si="43"/>
        <v>7.2</v>
      </c>
      <c r="AC1423" s="2"/>
      <c r="AD1423" t="str">
        <f>IFERROR(__xludf.DUMMYFUNCTION("""COMPUTED_VALUE"""),"The Rite ")</f>
        <v>The Rite </v>
      </c>
      <c r="AE1423">
        <f t="shared" si="44"/>
        <v>33037640</v>
      </c>
    </row>
    <row r="1424" customHeight="1" spans="1:31">
      <c r="A1424" s="2" t="s">
        <v>940</v>
      </c>
      <c r="B1424" s="2">
        <v>101</v>
      </c>
      <c r="C1424" s="2">
        <v>51758599</v>
      </c>
      <c r="D1424" s="2" t="s">
        <v>1425</v>
      </c>
      <c r="E1424" s="2" t="s">
        <v>12</v>
      </c>
      <c r="F1424" t="s">
        <v>13</v>
      </c>
      <c r="G1424" t="s">
        <v>14</v>
      </c>
      <c r="N1424" s="2" t="s">
        <v>18</v>
      </c>
      <c r="O1424" s="2" t="s">
        <v>19</v>
      </c>
      <c r="P1424" s="2">
        <v>33000000</v>
      </c>
      <c r="Q1424" s="2">
        <v>5.5</v>
      </c>
      <c r="R1424" s="2" t="s">
        <v>3271</v>
      </c>
      <c r="S1424" s="2"/>
      <c r="U1424" s="2" t="s">
        <v>3272</v>
      </c>
      <c r="V1424">
        <f ca="1" t="shared" si="43"/>
        <v>7</v>
      </c>
      <c r="AC1424" s="2"/>
      <c r="AD1424" t="str">
        <f>IFERROR(__xludf.DUMMYFUNCTION("""COMPUTED_VALUE"""),"Gattaca ")</f>
        <v>Gattaca </v>
      </c>
      <c r="AE1424">
        <f t="shared" si="44"/>
        <v>12339527</v>
      </c>
    </row>
    <row r="1425" customHeight="1" spans="1:31">
      <c r="A1425" s="2" t="s">
        <v>571</v>
      </c>
      <c r="B1425" s="2">
        <v>99</v>
      </c>
      <c r="C1425" s="2">
        <v>117559438</v>
      </c>
      <c r="D1425" s="2" t="s">
        <v>635</v>
      </c>
      <c r="E1425" s="2" t="s">
        <v>12</v>
      </c>
      <c r="F1425" t="s">
        <v>17</v>
      </c>
      <c r="G1425" t="s">
        <v>28</v>
      </c>
      <c r="N1425" s="2" t="s">
        <v>18</v>
      </c>
      <c r="O1425" s="2" t="s">
        <v>19</v>
      </c>
      <c r="P1425" s="2">
        <v>30000000</v>
      </c>
      <c r="Q1425" s="2">
        <v>5.1</v>
      </c>
      <c r="R1425" s="2" t="s">
        <v>3273</v>
      </c>
      <c r="S1425" s="2"/>
      <c r="U1425" s="2" t="s">
        <v>3274</v>
      </c>
      <c r="V1425">
        <f ca="1" t="shared" si="43"/>
        <v>7.1</v>
      </c>
      <c r="AC1425" s="2"/>
      <c r="AD1425" t="str">
        <f>IFERROR(__xludf.DUMMYFUNCTION("""COMPUTED_VALUE"""),"Isn't She Great ")</f>
        <v>Isn't She Great </v>
      </c>
      <c r="AE1425">
        <f t="shared" si="44"/>
        <v>2954310</v>
      </c>
    </row>
    <row r="1426" customHeight="1" spans="1:31">
      <c r="A1426" s="2" t="s">
        <v>1726</v>
      </c>
      <c r="B1426" s="2">
        <v>85</v>
      </c>
      <c r="C1426" s="2">
        <v>4091</v>
      </c>
      <c r="D1426" s="2" t="s">
        <v>124</v>
      </c>
      <c r="E1426" s="2" t="s">
        <v>13</v>
      </c>
      <c r="F1426" t="s">
        <v>30</v>
      </c>
      <c r="G1426" t="s">
        <v>39</v>
      </c>
      <c r="N1426" s="2" t="s">
        <v>18</v>
      </c>
      <c r="O1426" s="2" t="s">
        <v>3275</v>
      </c>
      <c r="P1426" s="2">
        <v>34000000</v>
      </c>
      <c r="Q1426" s="2">
        <v>6.3</v>
      </c>
      <c r="R1426" s="2" t="s">
        <v>3276</v>
      </c>
      <c r="S1426" s="2"/>
      <c r="U1426" s="2" t="s">
        <v>3277</v>
      </c>
      <c r="V1426">
        <f ca="1" t="shared" si="43"/>
        <v>6.2</v>
      </c>
      <c r="AC1426" s="2"/>
      <c r="AD1426" t="str">
        <f>IFERROR(__xludf.DUMMYFUNCTION("""COMPUTED_VALUE"""),"Space Chimps ")</f>
        <v>Space Chimps </v>
      </c>
      <c r="AE1426">
        <f t="shared" si="44"/>
        <v>30105887</v>
      </c>
    </row>
    <row r="1427" customHeight="1" spans="1:31">
      <c r="A1427" s="2" t="s">
        <v>1728</v>
      </c>
      <c r="B1427" s="2">
        <v>89</v>
      </c>
      <c r="C1427" s="2">
        <v>21426805</v>
      </c>
      <c r="D1427" s="2" t="s">
        <v>152</v>
      </c>
      <c r="E1427" s="2" t="s">
        <v>12</v>
      </c>
      <c r="F1427" t="s">
        <v>13</v>
      </c>
      <c r="G1427" t="s">
        <v>28</v>
      </c>
      <c r="N1427" s="2" t="s">
        <v>18</v>
      </c>
      <c r="O1427" s="2" t="s">
        <v>19</v>
      </c>
      <c r="P1427" s="2">
        <v>30000000</v>
      </c>
      <c r="Q1427" s="2">
        <v>4.9</v>
      </c>
      <c r="R1427" s="2" t="s">
        <v>3278</v>
      </c>
      <c r="S1427" s="2"/>
      <c r="U1427" s="2" t="s">
        <v>3279</v>
      </c>
      <c r="V1427">
        <f ca="1" t="shared" si="43"/>
        <v>6.5</v>
      </c>
      <c r="AC1427" s="2"/>
      <c r="AD1427" t="str">
        <f>IFERROR(__xludf.DUMMYFUNCTION("""COMPUTED_VALUE"""),"Head of State ")</f>
        <v>Head of State </v>
      </c>
      <c r="AE1427">
        <f t="shared" si="44"/>
        <v>37788133</v>
      </c>
    </row>
    <row r="1428" customHeight="1" spans="1:31">
      <c r="A1428" s="2" t="s">
        <v>1730</v>
      </c>
      <c r="B1428" s="2">
        <v>99</v>
      </c>
      <c r="C1428" s="2">
        <v>35057332</v>
      </c>
      <c r="D1428" s="2" t="s">
        <v>3280</v>
      </c>
      <c r="E1428" s="2" t="s">
        <v>30</v>
      </c>
      <c r="F1428" t="s">
        <v>30</v>
      </c>
      <c r="G1428" t="s">
        <v>17</v>
      </c>
      <c r="N1428" s="2" t="s">
        <v>18</v>
      </c>
      <c r="O1428" s="2" t="s">
        <v>19</v>
      </c>
      <c r="P1428" s="2">
        <v>33000000</v>
      </c>
      <c r="Q1428" s="2">
        <v>6.5</v>
      </c>
      <c r="R1428" s="2" t="s">
        <v>3281</v>
      </c>
      <c r="S1428" s="2"/>
      <c r="U1428" s="2" t="s">
        <v>3282</v>
      </c>
      <c r="V1428">
        <f ca="1" t="shared" si="43"/>
        <v>6</v>
      </c>
      <c r="AC1428" s="2"/>
      <c r="AD1428" t="str">
        <f>IFERROR(__xludf.DUMMYFUNCTION("""COMPUTED_VALUE"""),"The Hangover ")</f>
        <v>The Hangover </v>
      </c>
      <c r="AE1428">
        <f t="shared" si="44"/>
        <v>277313263</v>
      </c>
    </row>
    <row r="1429" customHeight="1" spans="1:31">
      <c r="A1429" s="2" t="s">
        <v>1407</v>
      </c>
      <c r="B1429" s="2">
        <v>105</v>
      </c>
      <c r="C1429" s="2">
        <v>34014398</v>
      </c>
      <c r="D1429" s="2" t="s">
        <v>3283</v>
      </c>
      <c r="E1429" s="2" t="s">
        <v>12</v>
      </c>
      <c r="F1429" t="s">
        <v>39</v>
      </c>
      <c r="G1429" t="s">
        <v>24</v>
      </c>
      <c r="N1429" s="2" t="s">
        <v>18</v>
      </c>
      <c r="O1429" s="2" t="s">
        <v>293</v>
      </c>
      <c r="P1429" s="2">
        <v>33000000</v>
      </c>
      <c r="Q1429" s="2">
        <v>5.6</v>
      </c>
      <c r="R1429" s="2" t="s">
        <v>3284</v>
      </c>
      <c r="S1429" s="2"/>
      <c r="U1429" s="2" t="s">
        <v>3285</v>
      </c>
      <c r="V1429">
        <f ca="1" t="shared" si="43"/>
        <v>6.9</v>
      </c>
      <c r="AC1429" s="2"/>
      <c r="AD1429" t="str">
        <f>IFERROR(__xludf.DUMMYFUNCTION("""COMPUTED_VALUE"""),"Ip Man 3 ")</f>
        <v>Ip Man 3 </v>
      </c>
      <c r="AE1429">
        <f t="shared" si="44"/>
        <v>2126406</v>
      </c>
    </row>
    <row r="1430" customHeight="1" spans="1:31">
      <c r="A1430" s="2" t="s">
        <v>1732</v>
      </c>
      <c r="B1430" s="2">
        <v>97</v>
      </c>
      <c r="C1430" s="2">
        <v>28927720</v>
      </c>
      <c r="D1430" s="2" t="s">
        <v>3286</v>
      </c>
      <c r="E1430" s="2" t="s">
        <v>56</v>
      </c>
      <c r="F1430" t="s">
        <v>14</v>
      </c>
      <c r="G1430" t="s">
        <v>15</v>
      </c>
      <c r="N1430" s="2" t="s">
        <v>18</v>
      </c>
      <c r="O1430" s="2" t="s">
        <v>19</v>
      </c>
      <c r="P1430" s="2">
        <v>33000000</v>
      </c>
      <c r="Q1430" s="2">
        <v>5.3</v>
      </c>
      <c r="R1430" s="2" t="s">
        <v>3287</v>
      </c>
      <c r="S1430" s="2"/>
      <c r="U1430" s="2" t="s">
        <v>3288</v>
      </c>
      <c r="V1430">
        <f ca="1" t="shared" si="43"/>
        <v>7.3</v>
      </c>
      <c r="AC1430" s="2"/>
      <c r="AD1430" t="str">
        <f>IFERROR(__xludf.DUMMYFUNCTION("""COMPUTED_VALUE"""),"Austin Powers: The Spy Who Shagged Me ")</f>
        <v>Austin Powers: The Spy Who Shagged Me </v>
      </c>
      <c r="AE1430">
        <f t="shared" si="44"/>
        <v>205399327</v>
      </c>
    </row>
    <row r="1431" customHeight="1" spans="1:31">
      <c r="A1431" s="2" t="s">
        <v>1735</v>
      </c>
      <c r="B1431" s="2">
        <v>140</v>
      </c>
      <c r="C1431" s="2">
        <v>33682273</v>
      </c>
      <c r="D1431" s="2" t="s">
        <v>186</v>
      </c>
      <c r="E1431" s="2" t="s">
        <v>12</v>
      </c>
      <c r="F1431" t="s">
        <v>40</v>
      </c>
      <c r="G1431" t="s">
        <v>71</v>
      </c>
      <c r="N1431" s="2" t="s">
        <v>18</v>
      </c>
      <c r="O1431" s="2" t="s">
        <v>19</v>
      </c>
      <c r="P1431" s="2">
        <v>33000000</v>
      </c>
      <c r="Q1431" s="2">
        <v>6.5</v>
      </c>
      <c r="R1431" s="2" t="s">
        <v>3289</v>
      </c>
      <c r="S1431" s="2"/>
      <c r="U1431" s="2" t="s">
        <v>3290</v>
      </c>
      <c r="V1431">
        <f ca="1" t="shared" si="43"/>
        <v>7</v>
      </c>
      <c r="AC1431" s="2"/>
      <c r="AD1431" t="str">
        <f>IFERROR(__xludf.DUMMYFUNCTION("""COMPUTED_VALUE"""),"Batman ")</f>
        <v>Batman </v>
      </c>
      <c r="AE1431">
        <f t="shared" si="44"/>
        <v>251188798</v>
      </c>
    </row>
    <row r="1432" customHeight="1" spans="1:31">
      <c r="A1432" s="2" t="s">
        <v>1737</v>
      </c>
      <c r="B1432" s="2">
        <v>118</v>
      </c>
      <c r="C1432" s="2">
        <v>4280577</v>
      </c>
      <c r="D1432" s="2" t="s">
        <v>2015</v>
      </c>
      <c r="E1432" s="2" t="s">
        <v>30</v>
      </c>
      <c r="F1432" t="s">
        <v>23</v>
      </c>
      <c r="G1432" t="s">
        <v>17</v>
      </c>
      <c r="N1432" s="2" t="s">
        <v>18</v>
      </c>
      <c r="O1432" s="2" t="s">
        <v>19</v>
      </c>
      <c r="P1432" s="2">
        <v>10000000</v>
      </c>
      <c r="Q1432" s="2">
        <v>6.8</v>
      </c>
      <c r="R1432" s="2" t="s">
        <v>3291</v>
      </c>
      <c r="S1432" s="2"/>
      <c r="U1432" s="2" t="s">
        <v>3292</v>
      </c>
      <c r="V1432">
        <f ca="1" t="shared" si="43"/>
        <v>6.4</v>
      </c>
      <c r="AC1432" s="2"/>
      <c r="AD1432" t="str">
        <f>IFERROR(__xludf.DUMMYFUNCTION("""COMPUTED_VALUE"""),"There Be Dragons ")</f>
        <v>There Be Dragons </v>
      </c>
      <c r="AE1432">
        <f t="shared" si="44"/>
        <v>1068290</v>
      </c>
    </row>
    <row r="1433" customHeight="1" spans="1:31">
      <c r="A1433" s="2" t="s">
        <v>1740</v>
      </c>
      <c r="B1433" s="2">
        <v>94</v>
      </c>
      <c r="C1433" s="2">
        <v>17120019</v>
      </c>
      <c r="D1433" s="2" t="s">
        <v>150</v>
      </c>
      <c r="E1433" s="2" t="s">
        <v>12</v>
      </c>
      <c r="F1433" t="s">
        <v>30</v>
      </c>
      <c r="G1433" t="s">
        <v>14</v>
      </c>
      <c r="N1433" s="2" t="s">
        <v>18</v>
      </c>
      <c r="O1433" s="2" t="s">
        <v>19</v>
      </c>
      <c r="P1433" s="2">
        <v>30000000</v>
      </c>
      <c r="Q1433" s="2">
        <v>6.5</v>
      </c>
      <c r="R1433" s="2" t="s">
        <v>3293</v>
      </c>
      <c r="S1433" s="2"/>
      <c r="U1433" s="2" t="s">
        <v>3294</v>
      </c>
      <c r="V1433">
        <f ca="1" t="shared" si="43"/>
        <v>5.6</v>
      </c>
      <c r="AC1433" s="2"/>
      <c r="AD1433" t="str">
        <f>IFERROR(__xludf.DUMMYFUNCTION("""COMPUTED_VALUE"""),"Lethal Weapon 3 ")</f>
        <v>Lethal Weapon 3 </v>
      </c>
      <c r="AE1433">
        <f t="shared" si="44"/>
        <v>144731406</v>
      </c>
    </row>
    <row r="1434" customHeight="1" spans="1:31">
      <c r="A1434" s="2" t="s">
        <v>161</v>
      </c>
      <c r="B1434" s="2">
        <v>124</v>
      </c>
      <c r="C1434" s="2">
        <v>8406264</v>
      </c>
      <c r="D1434" s="2" t="s">
        <v>521</v>
      </c>
      <c r="E1434" s="2" t="s">
        <v>40</v>
      </c>
      <c r="F1434" t="s">
        <v>15</v>
      </c>
      <c r="G1434" t="s">
        <v>17</v>
      </c>
      <c r="N1434" s="2" t="s">
        <v>18</v>
      </c>
      <c r="O1434" s="2" t="s">
        <v>19</v>
      </c>
      <c r="P1434" s="2">
        <v>38000000</v>
      </c>
      <c r="Q1434" s="2">
        <v>6</v>
      </c>
      <c r="R1434" s="2" t="s">
        <v>3295</v>
      </c>
      <c r="S1434" s="2"/>
      <c r="U1434" s="2" t="s">
        <v>3296</v>
      </c>
      <c r="V1434">
        <f ca="1" t="shared" si="43"/>
        <v>8.2</v>
      </c>
      <c r="AC1434" s="2"/>
      <c r="AD1434" t="str">
        <f>IFERROR(__xludf.DUMMYFUNCTION("""COMPUTED_VALUE"""),"The Blind Side ")</f>
        <v>The Blind Side </v>
      </c>
      <c r="AE1434">
        <f t="shared" si="44"/>
        <v>255950246</v>
      </c>
    </row>
    <row r="1435" customHeight="1" spans="1:31">
      <c r="A1435" s="2" t="s">
        <v>1742</v>
      </c>
      <c r="B1435" s="2">
        <v>134</v>
      </c>
      <c r="C1435" s="2">
        <v>309125409</v>
      </c>
      <c r="D1435" s="2" t="s">
        <v>11</v>
      </c>
      <c r="E1435" s="2" t="s">
        <v>12</v>
      </c>
      <c r="F1435" t="s">
        <v>35</v>
      </c>
      <c r="G1435" t="s">
        <v>30</v>
      </c>
      <c r="N1435" s="2" t="s">
        <v>18</v>
      </c>
      <c r="O1435" s="2" t="s">
        <v>19</v>
      </c>
      <c r="P1435" s="2">
        <v>32500000</v>
      </c>
      <c r="Q1435" s="2">
        <v>8.4</v>
      </c>
      <c r="R1435" s="2" t="s">
        <v>3297</v>
      </c>
      <c r="S1435" s="2"/>
      <c r="U1435" s="2" t="s">
        <v>3298</v>
      </c>
      <c r="V1435">
        <f ca="1" t="shared" si="43"/>
        <v>7.8</v>
      </c>
      <c r="AC1435" s="2"/>
      <c r="AD1435" t="str">
        <f>IFERROR(__xludf.DUMMYFUNCTION("""COMPUTED_VALUE"""),"Spy Kids ")</f>
        <v>Spy Kids </v>
      </c>
      <c r="AE1435">
        <f t="shared" si="44"/>
        <v>112691974</v>
      </c>
    </row>
    <row r="1436" customHeight="1" spans="1:31">
      <c r="A1436" s="2" t="s">
        <v>1744</v>
      </c>
      <c r="B1436" s="2">
        <v>113</v>
      </c>
      <c r="C1436" s="2">
        <v>10955425</v>
      </c>
      <c r="D1436" s="2" t="s">
        <v>1094</v>
      </c>
      <c r="E1436" s="2" t="s">
        <v>12</v>
      </c>
      <c r="F1436" t="s">
        <v>30</v>
      </c>
      <c r="G1436" t="s">
        <v>56</v>
      </c>
      <c r="N1436" s="2" t="s">
        <v>18</v>
      </c>
      <c r="O1436" s="2" t="s">
        <v>31</v>
      </c>
      <c r="P1436" s="2">
        <v>30000000</v>
      </c>
      <c r="Q1436" s="2">
        <v>6</v>
      </c>
      <c r="R1436" s="2" t="s">
        <v>3299</v>
      </c>
      <c r="S1436" s="2"/>
      <c r="U1436" s="2" t="s">
        <v>3300</v>
      </c>
      <c r="V1436">
        <f ca="1" t="shared" si="43"/>
        <v>7.1</v>
      </c>
      <c r="AC1436" s="2"/>
      <c r="AD1436" t="str">
        <f>IFERROR(__xludf.DUMMYFUNCTION("""COMPUTED_VALUE"""),"Horrible Bosses ")</f>
        <v>Horrible Bosses </v>
      </c>
      <c r="AE1436">
        <f t="shared" si="44"/>
        <v>117528540</v>
      </c>
    </row>
    <row r="1437" customHeight="1" spans="1:31">
      <c r="A1437" s="2" t="s">
        <v>1538</v>
      </c>
      <c r="B1437" s="2">
        <v>124</v>
      </c>
      <c r="C1437" s="2">
        <v>34180954</v>
      </c>
      <c r="D1437" s="2" t="s">
        <v>103</v>
      </c>
      <c r="E1437" s="2" t="s">
        <v>30</v>
      </c>
      <c r="F1437" t="s">
        <v>39</v>
      </c>
      <c r="G1437" t="s">
        <v>23</v>
      </c>
      <c r="N1437" s="2" t="s">
        <v>18</v>
      </c>
      <c r="O1437" s="2" t="s">
        <v>19</v>
      </c>
      <c r="P1437" s="2">
        <v>32000000</v>
      </c>
      <c r="Q1437" s="2">
        <v>7.6</v>
      </c>
      <c r="R1437" s="2" t="s">
        <v>3301</v>
      </c>
      <c r="S1437" s="2"/>
      <c r="U1437" s="2" t="s">
        <v>3302</v>
      </c>
      <c r="V1437">
        <f ca="1" t="shared" si="43"/>
        <v>7.7</v>
      </c>
      <c r="AC1437" s="2"/>
      <c r="AD1437" t="str">
        <f>IFERROR(__xludf.DUMMYFUNCTION("""COMPUTED_VALUE"""),"True Grit ")</f>
        <v>True Grit </v>
      </c>
      <c r="AE1437">
        <f t="shared" si="44"/>
        <v>171031237</v>
      </c>
    </row>
    <row r="1438" customHeight="1" spans="1:31">
      <c r="A1438" s="2" t="s">
        <v>194</v>
      </c>
      <c r="B1438" s="2">
        <v>97</v>
      </c>
      <c r="C1438" s="2">
        <v>173381405</v>
      </c>
      <c r="D1438" s="2" t="s">
        <v>1017</v>
      </c>
      <c r="E1438" s="2" t="s">
        <v>40</v>
      </c>
      <c r="F1438" t="s">
        <v>56</v>
      </c>
      <c r="G1438" t="s">
        <v>14</v>
      </c>
      <c r="N1438" s="2" t="s">
        <v>18</v>
      </c>
      <c r="O1438" s="2" t="s">
        <v>19</v>
      </c>
      <c r="P1438" s="2">
        <v>33000000</v>
      </c>
      <c r="Q1438" s="2">
        <v>6.9</v>
      </c>
      <c r="R1438" s="2" t="s">
        <v>3303</v>
      </c>
      <c r="S1438" s="2"/>
      <c r="U1438" s="2" t="s">
        <v>3304</v>
      </c>
      <c r="V1438">
        <f ca="1" t="shared" si="43"/>
        <v>7.3</v>
      </c>
      <c r="AC1438" s="2"/>
      <c r="AD1438" t="str">
        <f>IFERROR(__xludf.DUMMYFUNCTION("""COMPUTED_VALUE"""),"The Devil Wears Prada ")</f>
        <v>The Devil Wears Prada </v>
      </c>
      <c r="AE1438">
        <f t="shared" si="44"/>
        <v>124732853</v>
      </c>
    </row>
    <row r="1439" customHeight="1" spans="1:31">
      <c r="A1439" s="2" t="s">
        <v>273</v>
      </c>
      <c r="B1439" s="2">
        <v>123</v>
      </c>
      <c r="C1439" s="2">
        <v>104632573</v>
      </c>
      <c r="D1439" s="2" t="s">
        <v>2891</v>
      </c>
      <c r="E1439" s="2" t="s">
        <v>30</v>
      </c>
      <c r="F1439" t="s">
        <v>17</v>
      </c>
      <c r="G1439" t="s">
        <v>39</v>
      </c>
      <c r="N1439" s="2" t="s">
        <v>18</v>
      </c>
      <c r="O1439" s="2" t="s">
        <v>19</v>
      </c>
      <c r="P1439" s="2">
        <v>32000000</v>
      </c>
      <c r="Q1439" s="2">
        <v>6.4</v>
      </c>
      <c r="R1439" s="2" t="s">
        <v>3305</v>
      </c>
      <c r="S1439" s="2"/>
      <c r="U1439" s="2" t="s">
        <v>3306</v>
      </c>
      <c r="V1439">
        <f ca="1" t="shared" si="43"/>
        <v>6.9</v>
      </c>
      <c r="AC1439" s="2"/>
      <c r="AD1439" t="str">
        <f>IFERROR(__xludf.DUMMYFUNCTION("""COMPUTED_VALUE"""),"Star Trek: The Motion Picture ")</f>
        <v>Star Trek: The Motion Picture </v>
      </c>
      <c r="AE1439">
        <f t="shared" si="44"/>
        <v>82299857</v>
      </c>
    </row>
    <row r="1440" customHeight="1" spans="1:31">
      <c r="A1440" s="2" t="s">
        <v>1073</v>
      </c>
      <c r="B1440" s="2">
        <v>99</v>
      </c>
      <c r="C1440" s="2">
        <v>81150692</v>
      </c>
      <c r="D1440" s="2" t="s">
        <v>3307</v>
      </c>
      <c r="E1440" s="2" t="s">
        <v>13</v>
      </c>
      <c r="F1440" t="s">
        <v>17</v>
      </c>
      <c r="G1440" t="s">
        <v>83</v>
      </c>
      <c r="N1440" s="2" t="s">
        <v>18</v>
      </c>
      <c r="O1440" s="2" t="s">
        <v>121</v>
      </c>
      <c r="P1440" s="2">
        <v>35000000</v>
      </c>
      <c r="Q1440" s="2">
        <v>5.1</v>
      </c>
      <c r="R1440" s="2" t="s">
        <v>3308</v>
      </c>
      <c r="S1440" s="2"/>
      <c r="U1440" s="2" t="s">
        <v>3309</v>
      </c>
      <c r="V1440">
        <f ca="1" t="shared" si="43"/>
        <v>6.8</v>
      </c>
      <c r="AC1440" s="2"/>
      <c r="AD1440" t="str">
        <f>IFERROR(__xludf.DUMMYFUNCTION("""COMPUTED_VALUE"""),"Identity Thief ")</f>
        <v>Identity Thief </v>
      </c>
      <c r="AE1440">
        <f t="shared" si="44"/>
        <v>134455055</v>
      </c>
    </row>
    <row r="1441" customHeight="1" spans="1:31">
      <c r="A1441" s="2" t="s">
        <v>399</v>
      </c>
      <c r="B1441" s="2">
        <v>101</v>
      </c>
      <c r="C1441" s="2">
        <v>60328558</v>
      </c>
      <c r="D1441" s="2" t="s">
        <v>3310</v>
      </c>
      <c r="E1441" s="2" t="s">
        <v>40</v>
      </c>
      <c r="F1441" t="s">
        <v>30</v>
      </c>
      <c r="G1441" t="s">
        <v>35</v>
      </c>
      <c r="N1441" s="2" t="s">
        <v>18</v>
      </c>
      <c r="O1441" s="2" t="s">
        <v>19</v>
      </c>
      <c r="P1441" s="2">
        <v>32000000</v>
      </c>
      <c r="Q1441" s="2">
        <v>7</v>
      </c>
      <c r="R1441" s="2" t="s">
        <v>3311</v>
      </c>
      <c r="S1441" s="2"/>
      <c r="U1441" s="2" t="s">
        <v>3312</v>
      </c>
      <c r="V1441">
        <f ca="1" t="shared" si="43"/>
        <v>7.2</v>
      </c>
      <c r="AC1441" s="2"/>
      <c r="AD1441" t="str">
        <f>IFERROR(__xludf.DUMMYFUNCTION("""COMPUTED_VALUE"""),"Cape Fear ")</f>
        <v>Cape Fear </v>
      </c>
      <c r="AE1441">
        <f t="shared" si="44"/>
        <v>79099872</v>
      </c>
    </row>
    <row r="1442" customHeight="1" spans="1:31">
      <c r="A1442" s="2" t="s">
        <v>1746</v>
      </c>
      <c r="B1442" s="2">
        <v>92</v>
      </c>
      <c r="C1442" s="2">
        <v>80197993</v>
      </c>
      <c r="D1442" s="2" t="s">
        <v>3313</v>
      </c>
      <c r="E1442" s="2" t="s">
        <v>40</v>
      </c>
      <c r="F1442" t="s">
        <v>35</v>
      </c>
      <c r="G1442" t="s">
        <v>30</v>
      </c>
      <c r="N1442" s="2" t="s">
        <v>18</v>
      </c>
      <c r="O1442" s="2" t="s">
        <v>293</v>
      </c>
      <c r="P1442" s="2">
        <v>32000000</v>
      </c>
      <c r="Q1442" s="2">
        <v>5.7</v>
      </c>
      <c r="R1442" s="2" t="s">
        <v>3314</v>
      </c>
      <c r="S1442" s="2"/>
      <c r="U1442" s="2" t="s">
        <v>3315</v>
      </c>
      <c r="V1442">
        <f ca="1" t="shared" si="43"/>
        <v>7.7</v>
      </c>
      <c r="AC1442" s="2"/>
      <c r="AD1442" t="str">
        <f>IFERROR(__xludf.DUMMYFUNCTION("""COMPUTED_VALUE"""),"21 ")</f>
        <v>21 </v>
      </c>
      <c r="AE1442">
        <f t="shared" si="44"/>
        <v>81159242</v>
      </c>
    </row>
    <row r="1443" customHeight="1" spans="1:31">
      <c r="A1443" s="2" t="s">
        <v>369</v>
      </c>
      <c r="B1443" s="2">
        <v>131</v>
      </c>
      <c r="C1443" s="2">
        <v>169076745</v>
      </c>
      <c r="D1443" s="2" t="s">
        <v>607</v>
      </c>
      <c r="E1443" s="2" t="s">
        <v>40</v>
      </c>
      <c r="F1443" t="s">
        <v>17</v>
      </c>
      <c r="G1443" t="s">
        <v>23</v>
      </c>
      <c r="N1443" s="2" t="s">
        <v>18</v>
      </c>
      <c r="O1443" s="2" t="s">
        <v>19</v>
      </c>
      <c r="P1443" s="2">
        <v>32500000</v>
      </c>
      <c r="Q1443" s="2">
        <v>6.8</v>
      </c>
      <c r="R1443" s="2" t="s">
        <v>3316</v>
      </c>
      <c r="S1443" s="2"/>
      <c r="U1443" s="2" t="s">
        <v>3317</v>
      </c>
      <c r="V1443">
        <f ca="1" t="shared" si="43"/>
        <v>7.6</v>
      </c>
      <c r="AC1443" s="2"/>
      <c r="AD1443" t="str">
        <f>IFERROR(__xludf.DUMMYFUNCTION("""COMPUTED_VALUE"""),"Trainwreck ")</f>
        <v>Trainwreck </v>
      </c>
      <c r="AE1443">
        <f t="shared" si="44"/>
        <v>110008131</v>
      </c>
    </row>
    <row r="1444" customHeight="1" spans="1:31">
      <c r="A1444" s="2" t="s">
        <v>1483</v>
      </c>
      <c r="B1444" s="2">
        <v>107</v>
      </c>
      <c r="C1444" s="2">
        <v>101470202</v>
      </c>
      <c r="D1444" s="2" t="s">
        <v>1086</v>
      </c>
      <c r="E1444" s="2" t="s">
        <v>40</v>
      </c>
      <c r="F1444" t="s">
        <v>17</v>
      </c>
      <c r="G1444" t="s">
        <v>72</v>
      </c>
      <c r="N1444" s="2" t="s">
        <v>18</v>
      </c>
      <c r="O1444" s="2" t="s">
        <v>19</v>
      </c>
      <c r="P1444" s="2">
        <v>32000000</v>
      </c>
      <c r="Q1444" s="2">
        <v>6.7</v>
      </c>
      <c r="R1444" s="2" t="s">
        <v>3318</v>
      </c>
      <c r="S1444" s="2"/>
      <c r="U1444" s="2" t="s">
        <v>3319</v>
      </c>
      <c r="V1444">
        <f ca="1" t="shared" si="43"/>
        <v>7.5</v>
      </c>
      <c r="AC1444" s="2"/>
      <c r="AD1444" t="str">
        <f>IFERROR(__xludf.DUMMYFUNCTION("""COMPUTED_VALUE"""),"Guess Who ")</f>
        <v>Guess Who </v>
      </c>
      <c r="AE1444">
        <f t="shared" si="44"/>
        <v>67962228</v>
      </c>
    </row>
    <row r="1445" customHeight="1" spans="1:31">
      <c r="A1445" s="2" t="s">
        <v>1749</v>
      </c>
      <c r="B1445" s="2">
        <v>103</v>
      </c>
      <c r="C1445" s="2">
        <v>50041732</v>
      </c>
      <c r="D1445" s="2" t="s">
        <v>72</v>
      </c>
      <c r="E1445" s="2" t="s">
        <v>72</v>
      </c>
      <c r="F1445" t="s">
        <v>17</v>
      </c>
      <c r="G1445" t="s">
        <v>14</v>
      </c>
      <c r="N1445" s="2" t="s">
        <v>18</v>
      </c>
      <c r="O1445" s="2" t="s">
        <v>19</v>
      </c>
      <c r="P1445" s="2">
        <v>29000000</v>
      </c>
      <c r="Q1445" s="2">
        <v>6.2</v>
      </c>
      <c r="R1445" s="2" t="s">
        <v>3320</v>
      </c>
      <c r="S1445" s="2"/>
      <c r="U1445" s="2" t="s">
        <v>3321</v>
      </c>
      <c r="V1445">
        <f ca="1" t="shared" si="43"/>
        <v>7.8</v>
      </c>
      <c r="AC1445" s="2"/>
      <c r="AD1445" t="str">
        <f>IFERROR(__xludf.DUMMYFUNCTION("""COMPUTED_VALUE"""),"The English Patient ")</f>
        <v>The English Patient </v>
      </c>
      <c r="AE1445">
        <f t="shared" si="44"/>
        <v>78651268</v>
      </c>
    </row>
    <row r="1446" customHeight="1" spans="1:31">
      <c r="A1446" s="2" t="s">
        <v>1718</v>
      </c>
      <c r="B1446" s="2">
        <v>129</v>
      </c>
      <c r="C1446" s="2">
        <v>48814909</v>
      </c>
      <c r="D1446" s="2" t="s">
        <v>562</v>
      </c>
      <c r="E1446" s="2" t="s">
        <v>59</v>
      </c>
      <c r="F1446" t="s">
        <v>30</v>
      </c>
      <c r="G1446" t="s">
        <v>56</v>
      </c>
      <c r="N1446" s="2" t="s">
        <v>18</v>
      </c>
      <c r="O1446" s="2" t="s">
        <v>19</v>
      </c>
      <c r="P1446" s="2">
        <v>32000000</v>
      </c>
      <c r="Q1446" s="2">
        <v>7.2</v>
      </c>
      <c r="R1446" s="2" t="s">
        <v>3322</v>
      </c>
      <c r="S1446" s="2"/>
      <c r="U1446" s="2" t="s">
        <v>3323</v>
      </c>
      <c r="V1446">
        <f ca="1" t="shared" si="43"/>
        <v>7.4</v>
      </c>
      <c r="AC1446" s="2"/>
      <c r="AD1446" t="str">
        <f>IFERROR(__xludf.DUMMYFUNCTION("""COMPUTED_VALUE"""),"L.A. Confidential ")</f>
        <v>L.A. Confidential </v>
      </c>
      <c r="AE1446">
        <f t="shared" si="44"/>
        <v>64604839</v>
      </c>
    </row>
    <row r="1447" customHeight="1" spans="1:31">
      <c r="A1447" s="2" t="s">
        <v>1752</v>
      </c>
      <c r="B1447" s="2">
        <v>107</v>
      </c>
      <c r="C1447" s="2">
        <v>57744720</v>
      </c>
      <c r="D1447" s="2" t="s">
        <v>150</v>
      </c>
      <c r="E1447" s="2" t="s">
        <v>12</v>
      </c>
      <c r="F1447" t="s">
        <v>72</v>
      </c>
      <c r="G1447" t="s">
        <v>15</v>
      </c>
      <c r="N1447" s="2" t="s">
        <v>18</v>
      </c>
      <c r="O1447" s="2" t="s">
        <v>19</v>
      </c>
      <c r="P1447" s="2">
        <v>20000000</v>
      </c>
      <c r="Q1447" s="2">
        <v>6.2</v>
      </c>
      <c r="R1447" s="2" t="s">
        <v>3324</v>
      </c>
      <c r="S1447" s="2"/>
      <c r="U1447" s="2" t="s">
        <v>3325</v>
      </c>
      <c r="V1447">
        <f ca="1" t="shared" si="43"/>
        <v>6.9</v>
      </c>
      <c r="AC1447" s="2"/>
      <c r="AD1447" t="str">
        <f>IFERROR(__xludf.DUMMYFUNCTION("""COMPUTED_VALUE"""),"Sky High ")</f>
        <v>Sky High </v>
      </c>
      <c r="AE1447">
        <f t="shared" si="44"/>
        <v>63939354</v>
      </c>
    </row>
    <row r="1448" customHeight="1" spans="1:31">
      <c r="A1448" s="2" t="s">
        <v>1755</v>
      </c>
      <c r="B1448" s="2">
        <v>89</v>
      </c>
      <c r="C1448" s="2">
        <v>21784432</v>
      </c>
      <c r="D1448" s="2" t="s">
        <v>40</v>
      </c>
      <c r="E1448" s="2" t="s">
        <v>40</v>
      </c>
      <c r="F1448" t="s">
        <v>56</v>
      </c>
      <c r="G1448" t="s">
        <v>14</v>
      </c>
      <c r="N1448" s="2" t="s">
        <v>18</v>
      </c>
      <c r="O1448" s="2" t="s">
        <v>19</v>
      </c>
      <c r="P1448" s="2">
        <v>35000000</v>
      </c>
      <c r="Q1448" s="2">
        <v>5.6</v>
      </c>
      <c r="R1448" s="2" t="s">
        <v>3326</v>
      </c>
      <c r="S1448" s="2"/>
      <c r="U1448" s="2" t="s">
        <v>3327</v>
      </c>
      <c r="V1448">
        <f ca="1" t="shared" si="43"/>
        <v>7.5</v>
      </c>
      <c r="AC1448" s="2"/>
      <c r="AD1448" t="str">
        <f>IFERROR(__xludf.DUMMYFUNCTION("""COMPUTED_VALUE"""),"In &amp; Out ")</f>
        <v>In &amp; Out </v>
      </c>
      <c r="AE1448">
        <f t="shared" si="44"/>
        <v>63826479</v>
      </c>
    </row>
    <row r="1449" customHeight="1" spans="1:31">
      <c r="A1449" s="2" t="s">
        <v>1507</v>
      </c>
      <c r="B1449" s="2">
        <v>113</v>
      </c>
      <c r="C1449" s="2">
        <v>37911876</v>
      </c>
      <c r="D1449" s="2" t="s">
        <v>635</v>
      </c>
      <c r="E1449" s="2" t="s">
        <v>12</v>
      </c>
      <c r="F1449" t="s">
        <v>14</v>
      </c>
      <c r="G1449" t="s">
        <v>24</v>
      </c>
      <c r="N1449" s="2" t="s">
        <v>18</v>
      </c>
      <c r="O1449" s="2" t="s">
        <v>19</v>
      </c>
      <c r="P1449" s="2">
        <v>32000000</v>
      </c>
      <c r="Q1449" s="2">
        <v>4.4</v>
      </c>
      <c r="R1449" s="2" t="s">
        <v>3328</v>
      </c>
      <c r="S1449" s="2"/>
      <c r="U1449" s="2" t="s">
        <v>3329</v>
      </c>
      <c r="V1449">
        <f ca="1" t="shared" si="43"/>
        <v>6.2</v>
      </c>
      <c r="AC1449" s="2"/>
      <c r="AD1449" t="str">
        <f>IFERROR(__xludf.DUMMYFUNCTION("""COMPUTED_VALUE"""),"Species ")</f>
        <v>Species </v>
      </c>
      <c r="AE1449">
        <f t="shared" si="44"/>
        <v>60054341</v>
      </c>
    </row>
    <row r="1450" customHeight="1" spans="1:31">
      <c r="A1450" s="2" t="s">
        <v>282</v>
      </c>
      <c r="B1450" s="2">
        <v>93</v>
      </c>
      <c r="C1450" s="2">
        <v>54696902</v>
      </c>
      <c r="D1450" s="2" t="s">
        <v>2069</v>
      </c>
      <c r="E1450" s="2" t="s">
        <v>28</v>
      </c>
      <c r="F1450" t="s">
        <v>30</v>
      </c>
      <c r="G1450" t="s">
        <v>30</v>
      </c>
      <c r="N1450" s="2" t="s">
        <v>18</v>
      </c>
      <c r="O1450" s="2" t="s">
        <v>19</v>
      </c>
      <c r="P1450" s="2">
        <v>32000000</v>
      </c>
      <c r="Q1450" s="2">
        <v>7.5</v>
      </c>
      <c r="R1450" s="2" t="s">
        <v>3330</v>
      </c>
      <c r="S1450" s="2"/>
      <c r="U1450" s="2" t="s">
        <v>3331</v>
      </c>
      <c r="V1450">
        <f ca="1" t="shared" si="43"/>
        <v>7.7</v>
      </c>
      <c r="AC1450" s="2"/>
      <c r="AD1450" t="str">
        <f>IFERROR(__xludf.DUMMYFUNCTION("""COMPUTED_VALUE"""),"A Nightmare on Elm Street ")</f>
        <v>A Nightmare on Elm Street </v>
      </c>
      <c r="AE1450">
        <f t="shared" si="44"/>
        <v>26504899</v>
      </c>
    </row>
    <row r="1451" customHeight="1" spans="1:31">
      <c r="A1451" s="2" t="s">
        <v>1264</v>
      </c>
      <c r="B1451" s="2">
        <v>120</v>
      </c>
      <c r="C1451" s="2">
        <v>36733909</v>
      </c>
      <c r="D1451" s="2" t="s">
        <v>3224</v>
      </c>
      <c r="E1451" s="2" t="s">
        <v>13</v>
      </c>
      <c r="F1451" t="s">
        <v>30</v>
      </c>
      <c r="G1451" t="s">
        <v>30</v>
      </c>
      <c r="N1451" s="2" t="s">
        <v>18</v>
      </c>
      <c r="O1451" s="2" t="s">
        <v>19</v>
      </c>
      <c r="P1451" s="2">
        <v>32000000</v>
      </c>
      <c r="Q1451" s="2">
        <v>7.1</v>
      </c>
      <c r="R1451" s="2" t="s">
        <v>3332</v>
      </c>
      <c r="S1451" s="2"/>
      <c r="U1451" s="2" t="s">
        <v>3333</v>
      </c>
      <c r="V1451">
        <f ca="1" t="shared" si="43"/>
        <v>5.2</v>
      </c>
      <c r="AC1451" s="2"/>
      <c r="AD1451" t="str">
        <f>IFERROR(__xludf.DUMMYFUNCTION("""COMPUTED_VALUE"""),"The Cell ")</f>
        <v>The Cell </v>
      </c>
      <c r="AE1451">
        <f t="shared" si="44"/>
        <v>61280854</v>
      </c>
    </row>
    <row r="1452" customHeight="1" spans="1:31">
      <c r="A1452" s="2" t="s">
        <v>490</v>
      </c>
      <c r="B1452" s="2">
        <v>98</v>
      </c>
      <c r="C1452" s="2">
        <v>35063732</v>
      </c>
      <c r="D1452" s="2" t="s">
        <v>328</v>
      </c>
      <c r="E1452" s="2" t="s">
        <v>28</v>
      </c>
      <c r="F1452" t="s">
        <v>30</v>
      </c>
      <c r="G1452" t="s">
        <v>17</v>
      </c>
      <c r="N1452" s="2" t="s">
        <v>18</v>
      </c>
      <c r="O1452" s="2" t="s">
        <v>19</v>
      </c>
      <c r="P1452" s="2">
        <v>32000000</v>
      </c>
      <c r="Q1452" s="2">
        <v>6.4</v>
      </c>
      <c r="R1452" s="2" t="s">
        <v>3334</v>
      </c>
      <c r="S1452" s="2"/>
      <c r="U1452" s="2" t="s">
        <v>3335</v>
      </c>
      <c r="V1452">
        <f ca="1" t="shared" si="43"/>
        <v>6.8</v>
      </c>
      <c r="AC1452" s="2"/>
      <c r="AD1452" t="str">
        <f>IFERROR(__xludf.DUMMYFUNCTION("""COMPUTED_VALUE"""),"The Man in the Iron Mask ")</f>
        <v>The Man in the Iron Mask </v>
      </c>
      <c r="AE1452">
        <f t="shared" si="44"/>
        <v>56876233</v>
      </c>
    </row>
    <row r="1453" customHeight="1" spans="1:31">
      <c r="A1453" s="2" t="s">
        <v>1096</v>
      </c>
      <c r="B1453" s="2">
        <v>105</v>
      </c>
      <c r="C1453" s="2">
        <v>99462</v>
      </c>
      <c r="D1453" s="2" t="s">
        <v>3336</v>
      </c>
      <c r="E1453" s="2" t="s">
        <v>12</v>
      </c>
      <c r="F1453" t="s">
        <v>56</v>
      </c>
      <c r="G1453" t="s">
        <v>15</v>
      </c>
      <c r="N1453" s="2" t="s">
        <v>18</v>
      </c>
      <c r="O1453" s="2" t="s">
        <v>707</v>
      </c>
      <c r="P1453" s="2">
        <v>33000000</v>
      </c>
      <c r="Q1453" s="2">
        <v>7.1</v>
      </c>
      <c r="R1453" s="2" t="s">
        <v>3337</v>
      </c>
      <c r="S1453" s="2"/>
      <c r="U1453" s="2" t="s">
        <v>3338</v>
      </c>
      <c r="V1453">
        <f ca="1" t="shared" si="43"/>
        <v>7</v>
      </c>
      <c r="AC1453" s="2"/>
      <c r="AD1453" t="str">
        <f>IFERROR(__xludf.DUMMYFUNCTION("""COMPUTED_VALUE"""),"Secretariat ")</f>
        <v>Secretariat </v>
      </c>
      <c r="AE1453">
        <f t="shared" si="44"/>
        <v>59699390</v>
      </c>
    </row>
    <row r="1454" customHeight="1" spans="1:31">
      <c r="A1454" s="2" t="s">
        <v>1757</v>
      </c>
      <c r="B1454" s="2">
        <v>98</v>
      </c>
      <c r="C1454" s="2">
        <v>32701088</v>
      </c>
      <c r="D1454" s="2" t="s">
        <v>3339</v>
      </c>
      <c r="E1454" s="2" t="s">
        <v>30</v>
      </c>
      <c r="F1454" t="s">
        <v>17</v>
      </c>
      <c r="G1454" t="s">
        <v>17</v>
      </c>
      <c r="N1454" s="2" t="s">
        <v>18</v>
      </c>
      <c r="O1454" s="2" t="s">
        <v>19</v>
      </c>
      <c r="P1454" s="2">
        <v>32000000</v>
      </c>
      <c r="Q1454" s="2">
        <v>6.9</v>
      </c>
      <c r="R1454" s="2" t="s">
        <v>3340</v>
      </c>
      <c r="S1454" s="2"/>
      <c r="U1454" s="2" t="s">
        <v>3341</v>
      </c>
      <c r="V1454">
        <f ca="1" t="shared" si="43"/>
        <v>5.9</v>
      </c>
      <c r="AC1454" s="2"/>
      <c r="AD1454" t="str">
        <f>IFERROR(__xludf.DUMMYFUNCTION("""COMPUTED_VALUE"""),"TMNT ")</f>
        <v>TMNT </v>
      </c>
      <c r="AE1454">
        <f t="shared" si="44"/>
        <v>54132509</v>
      </c>
    </row>
    <row r="1455" customHeight="1" spans="1:31">
      <c r="A1455" s="2" t="s">
        <v>1340</v>
      </c>
      <c r="B1455" s="2">
        <v>96</v>
      </c>
      <c r="C1455" s="2">
        <v>31493782</v>
      </c>
      <c r="D1455" s="2" t="s">
        <v>805</v>
      </c>
      <c r="E1455" s="2" t="s">
        <v>56</v>
      </c>
      <c r="F1455" t="s">
        <v>17</v>
      </c>
      <c r="G1455" t="s">
        <v>23</v>
      </c>
      <c r="N1455" s="2" t="s">
        <v>18</v>
      </c>
      <c r="O1455" s="2" t="s">
        <v>19</v>
      </c>
      <c r="P1455" s="2">
        <v>32000000</v>
      </c>
      <c r="Q1455" s="2">
        <v>7.5</v>
      </c>
      <c r="R1455" s="2" t="s">
        <v>3342</v>
      </c>
      <c r="S1455" s="2"/>
      <c r="U1455" s="2" t="s">
        <v>3343</v>
      </c>
      <c r="V1455">
        <f ca="1" t="shared" si="43"/>
        <v>7.1</v>
      </c>
      <c r="AC1455" s="2"/>
      <c r="AD1455" t="str">
        <f>IFERROR(__xludf.DUMMYFUNCTION("""COMPUTED_VALUE"""),"Radio ")</f>
        <v>Radio </v>
      </c>
      <c r="AE1455">
        <f t="shared" si="44"/>
        <v>52277376</v>
      </c>
    </row>
    <row r="1456" customHeight="1" spans="1:31">
      <c r="A1456" s="2" t="s">
        <v>421</v>
      </c>
      <c r="B1456" s="2">
        <v>87</v>
      </c>
      <c r="C1456" s="2">
        <v>43095600</v>
      </c>
      <c r="D1456" s="2" t="s">
        <v>150</v>
      </c>
      <c r="E1456" s="2" t="s">
        <v>12</v>
      </c>
      <c r="F1456" t="s">
        <v>17</v>
      </c>
      <c r="G1456" t="s">
        <v>39</v>
      </c>
      <c r="N1456" s="2" t="s">
        <v>18</v>
      </c>
      <c r="O1456" s="2" t="s">
        <v>707</v>
      </c>
      <c r="P1456" s="2">
        <v>32000000</v>
      </c>
      <c r="Q1456" s="2">
        <v>6.3</v>
      </c>
      <c r="R1456" s="2" t="s">
        <v>3344</v>
      </c>
      <c r="S1456" s="2"/>
      <c r="U1456" s="2" t="s">
        <v>3345</v>
      </c>
      <c r="V1456">
        <f ca="1" t="shared" si="43"/>
        <v>5.5</v>
      </c>
      <c r="AC1456" s="2"/>
      <c r="AD1456" t="str">
        <f>IFERROR(__xludf.DUMMYFUNCTION("""COMPUTED_VALUE"""),"Friends with Benefits ")</f>
        <v>Friends with Benefits </v>
      </c>
      <c r="AE1456">
        <f t="shared" si="44"/>
        <v>55802645</v>
      </c>
    </row>
    <row r="1457" customHeight="1" spans="1:31">
      <c r="A1457" s="2" t="s">
        <v>50</v>
      </c>
      <c r="B1457" s="2">
        <v>107</v>
      </c>
      <c r="C1457" s="2">
        <v>18636537</v>
      </c>
      <c r="D1457" s="2" t="s">
        <v>3346</v>
      </c>
      <c r="E1457" s="2" t="s">
        <v>12</v>
      </c>
      <c r="F1457" t="s">
        <v>40</v>
      </c>
      <c r="G1457" t="s">
        <v>39</v>
      </c>
      <c r="N1457" s="2" t="s">
        <v>18</v>
      </c>
      <c r="O1457" s="2" t="s">
        <v>1160</v>
      </c>
      <c r="P1457" s="2">
        <v>32000000</v>
      </c>
      <c r="Q1457" s="2">
        <v>6.4</v>
      </c>
      <c r="R1457" s="2" t="s">
        <v>3347</v>
      </c>
      <c r="S1457" s="2"/>
      <c r="U1457" s="2" t="s">
        <v>3348</v>
      </c>
      <c r="V1457">
        <f ca="1" t="shared" si="43"/>
        <v>7.4</v>
      </c>
      <c r="AC1457" s="2"/>
      <c r="AD1457" t="str">
        <f>IFERROR(__xludf.DUMMYFUNCTION("""COMPUTED_VALUE"""),"Neighbors 2: Sorority Rising ")</f>
        <v>Neighbors 2: Sorority Rising </v>
      </c>
      <c r="AE1457">
        <f t="shared" si="44"/>
        <v>55291723</v>
      </c>
    </row>
    <row r="1458" customHeight="1" spans="1:31">
      <c r="A1458" s="2" t="s">
        <v>1409</v>
      </c>
      <c r="B1458" s="2">
        <v>90</v>
      </c>
      <c r="C1458" s="2">
        <v>17848322</v>
      </c>
      <c r="D1458" s="2" t="s">
        <v>607</v>
      </c>
      <c r="E1458" s="2" t="s">
        <v>40</v>
      </c>
      <c r="F1458" t="s">
        <v>14</v>
      </c>
      <c r="G1458" t="s">
        <v>30</v>
      </c>
      <c r="N1458" s="2" t="s">
        <v>18</v>
      </c>
      <c r="O1458" s="2" t="s">
        <v>3349</v>
      </c>
      <c r="P1458" s="2">
        <v>28000000</v>
      </c>
      <c r="Q1458" s="2">
        <v>5.9</v>
      </c>
      <c r="R1458" s="2" t="s">
        <v>3350</v>
      </c>
      <c r="S1458" s="2"/>
      <c r="U1458" s="2" t="s">
        <v>3351</v>
      </c>
      <c r="V1458">
        <f ca="1" t="shared" si="43"/>
        <v>7.3</v>
      </c>
      <c r="AC1458" s="2"/>
      <c r="AD1458" t="str">
        <f>IFERROR(__xludf.DUMMYFUNCTION("""COMPUTED_VALUE"""),"Saving Mr. Banks ")</f>
        <v>Saving Mr. Banks </v>
      </c>
      <c r="AE1458">
        <f t="shared" si="44"/>
        <v>83299636</v>
      </c>
    </row>
    <row r="1459" customHeight="1" spans="1:31">
      <c r="A1459" s="2" t="s">
        <v>196</v>
      </c>
      <c r="B1459" s="2">
        <v>121</v>
      </c>
      <c r="C1459" s="2">
        <v>16640210</v>
      </c>
      <c r="D1459" s="2" t="s">
        <v>1655</v>
      </c>
      <c r="E1459" s="2" t="s">
        <v>30</v>
      </c>
      <c r="F1459" t="s">
        <v>14</v>
      </c>
      <c r="G1459" t="s">
        <v>55</v>
      </c>
      <c r="N1459" s="2" t="s">
        <v>18</v>
      </c>
      <c r="O1459" s="2" t="s">
        <v>19</v>
      </c>
      <c r="P1459" s="2">
        <v>55000000</v>
      </c>
      <c r="Q1459" s="2">
        <v>6.8</v>
      </c>
      <c r="R1459" s="2" t="s">
        <v>3352</v>
      </c>
      <c r="S1459" s="2"/>
      <c r="U1459" s="2" t="s">
        <v>3353</v>
      </c>
      <c r="V1459">
        <f ca="1" t="shared" si="43"/>
        <v>4.6</v>
      </c>
      <c r="AC1459" s="2"/>
      <c r="AD1459" t="str">
        <f>IFERROR(__xludf.DUMMYFUNCTION("""COMPUTED_VALUE"""),"Malcolm X ")</f>
        <v>Malcolm X </v>
      </c>
      <c r="AE1459">
        <f t="shared" si="44"/>
        <v>48169706</v>
      </c>
    </row>
    <row r="1460" customHeight="1" spans="1:31">
      <c r="A1460" s="2" t="s">
        <v>1760</v>
      </c>
      <c r="B1460" s="2">
        <v>119</v>
      </c>
      <c r="C1460" s="2">
        <v>13763130</v>
      </c>
      <c r="D1460" s="2" t="s">
        <v>516</v>
      </c>
      <c r="E1460" s="2" t="s">
        <v>12</v>
      </c>
      <c r="F1460" t="s">
        <v>35</v>
      </c>
      <c r="G1460" t="s">
        <v>24</v>
      </c>
      <c r="N1460" s="2" t="s">
        <v>18</v>
      </c>
      <c r="O1460" s="2" t="s">
        <v>19</v>
      </c>
      <c r="P1460" s="2">
        <v>32000000</v>
      </c>
      <c r="Q1460" s="2">
        <v>6.3</v>
      </c>
      <c r="R1460" s="2" t="s">
        <v>3354</v>
      </c>
      <c r="S1460" s="2"/>
      <c r="U1460" s="2" t="s">
        <v>3355</v>
      </c>
      <c r="V1460">
        <f ca="1" t="shared" si="43"/>
        <v>7.2</v>
      </c>
      <c r="AC1460" s="2"/>
      <c r="AD1460" t="str">
        <f>IFERROR(__xludf.DUMMYFUNCTION("""COMPUTED_VALUE"""),"This Is 40 ")</f>
        <v>This Is 40 </v>
      </c>
      <c r="AE1460">
        <f t="shared" si="44"/>
        <v>67523251</v>
      </c>
    </row>
    <row r="1461" customHeight="1" spans="1:31">
      <c r="A1461" s="2" t="s">
        <v>1763</v>
      </c>
      <c r="B1461" s="2">
        <v>107</v>
      </c>
      <c r="C1461" s="2">
        <v>10956379</v>
      </c>
      <c r="D1461" s="2" t="s">
        <v>3356</v>
      </c>
      <c r="E1461" s="2" t="s">
        <v>12</v>
      </c>
      <c r="F1461" t="s">
        <v>56</v>
      </c>
      <c r="G1461" t="s">
        <v>30</v>
      </c>
      <c r="N1461" s="2" t="s">
        <v>18</v>
      </c>
      <c r="O1461" s="2" t="s">
        <v>2880</v>
      </c>
      <c r="P1461" s="2">
        <v>35000000</v>
      </c>
      <c r="Q1461" s="2">
        <v>3.6</v>
      </c>
      <c r="R1461" s="2" t="s">
        <v>3357</v>
      </c>
      <c r="S1461" s="2"/>
      <c r="U1461" s="2" t="s">
        <v>3358</v>
      </c>
      <c r="V1461">
        <f ca="1" t="shared" si="43"/>
        <v>6.7</v>
      </c>
      <c r="AC1461" s="2"/>
      <c r="AD1461" t="str">
        <f>IFERROR(__xludf.DUMMYFUNCTION("""COMPUTED_VALUE"""),"Old Dogs ")</f>
        <v>Old Dogs </v>
      </c>
      <c r="AE1461">
        <f t="shared" si="44"/>
        <v>49473960</v>
      </c>
    </row>
    <row r="1462" customHeight="1" spans="1:31">
      <c r="A1462" s="2" t="s">
        <v>1607</v>
      </c>
      <c r="B1462" s="2">
        <v>110</v>
      </c>
      <c r="C1462" s="2">
        <v>4357000</v>
      </c>
      <c r="D1462" s="2" t="s">
        <v>214</v>
      </c>
      <c r="E1462" s="2" t="s">
        <v>40</v>
      </c>
      <c r="F1462" t="s">
        <v>17</v>
      </c>
      <c r="G1462" t="s">
        <v>17</v>
      </c>
      <c r="N1462" s="2" t="s">
        <v>18</v>
      </c>
      <c r="O1462" s="2" t="s">
        <v>19</v>
      </c>
      <c r="P1462" s="2">
        <v>30000000</v>
      </c>
      <c r="Q1462" s="2">
        <v>5.3</v>
      </c>
      <c r="R1462" s="2" t="s">
        <v>3359</v>
      </c>
      <c r="S1462" s="2"/>
      <c r="U1462" s="2" t="s">
        <v>3360</v>
      </c>
      <c r="V1462">
        <f ca="1" t="shared" si="43"/>
        <v>6.7</v>
      </c>
      <c r="AC1462" s="2"/>
      <c r="AD1462" t="str">
        <f>IFERROR(__xludf.DUMMYFUNCTION("""COMPUTED_VALUE"""),"Underworld: Rise of the Lycans ")</f>
        <v>Underworld: Rise of the Lycans </v>
      </c>
      <c r="AE1462">
        <f t="shared" si="44"/>
        <v>45802223</v>
      </c>
    </row>
    <row r="1463" customHeight="1" spans="1:31">
      <c r="A1463" s="2" t="s">
        <v>1766</v>
      </c>
      <c r="B1463" s="2">
        <v>100</v>
      </c>
      <c r="C1463" s="2">
        <v>22525921</v>
      </c>
      <c r="D1463" s="2" t="s">
        <v>40</v>
      </c>
      <c r="E1463" s="2" t="s">
        <v>40</v>
      </c>
      <c r="F1463" t="s">
        <v>13</v>
      </c>
      <c r="G1463" t="s">
        <v>17</v>
      </c>
      <c r="N1463" s="2" t="s">
        <v>18</v>
      </c>
      <c r="O1463" s="2" t="s">
        <v>19</v>
      </c>
      <c r="P1463" s="2">
        <v>30000000</v>
      </c>
      <c r="Q1463" s="2">
        <v>5.9</v>
      </c>
      <c r="R1463" s="2" t="s">
        <v>3361</v>
      </c>
      <c r="S1463" s="2"/>
      <c r="U1463" s="2" t="s">
        <v>3362</v>
      </c>
      <c r="V1463">
        <f ca="1" t="shared" ref="V1463:V1526" si="45">AVERAGEIF(A1347:A5132,U1463,Q1348:Q5132)</f>
        <v>7.8</v>
      </c>
      <c r="AC1463" s="2"/>
      <c r="AD1463" t="str">
        <f>IFERROR(__xludf.DUMMYFUNCTION("""COMPUTED_VALUE"""),"License to Wed ")</f>
        <v>License to Wed </v>
      </c>
      <c r="AE1463">
        <f t="shared" ref="AE1463:AE1526" si="46">C1347-B1347</f>
        <v>43792550</v>
      </c>
    </row>
    <row r="1464" customHeight="1" spans="1:31">
      <c r="A1464" s="2" t="s">
        <v>632</v>
      </c>
      <c r="B1464" s="2">
        <v>75</v>
      </c>
      <c r="C1464" s="2">
        <v>3562749</v>
      </c>
      <c r="D1464" s="2" t="s">
        <v>3363</v>
      </c>
      <c r="E1464" s="2" t="s">
        <v>35</v>
      </c>
      <c r="F1464" t="s">
        <v>23</v>
      </c>
      <c r="G1464" t="s">
        <v>17</v>
      </c>
      <c r="N1464" s="2" t="s">
        <v>18</v>
      </c>
      <c r="O1464" s="2" t="s">
        <v>19</v>
      </c>
      <c r="P1464" s="2">
        <v>32000000</v>
      </c>
      <c r="Q1464" s="2">
        <v>6.9</v>
      </c>
      <c r="R1464" s="2" t="s">
        <v>3364</v>
      </c>
      <c r="S1464" s="2"/>
      <c r="U1464" s="2" t="s">
        <v>3365</v>
      </c>
      <c r="V1464">
        <f ca="1" t="shared" si="45"/>
        <v>7</v>
      </c>
      <c r="AC1464" s="2"/>
      <c r="AD1464" t="str">
        <f>IFERROR(__xludf.DUMMYFUNCTION("""COMPUTED_VALUE"""),"The Benchwarmers ")</f>
        <v>The Benchwarmers </v>
      </c>
      <c r="AE1464">
        <f t="shared" si="46"/>
        <v>57651719</v>
      </c>
    </row>
    <row r="1465" customHeight="1" spans="1:31">
      <c r="A1465" s="2" t="s">
        <v>1769</v>
      </c>
      <c r="B1465" s="2">
        <v>132</v>
      </c>
      <c r="C1465" s="2">
        <v>2899970</v>
      </c>
      <c r="D1465" s="2" t="s">
        <v>30</v>
      </c>
      <c r="E1465" s="2" t="s">
        <v>30</v>
      </c>
      <c r="F1465" t="s">
        <v>56</v>
      </c>
      <c r="G1465" t="s">
        <v>28</v>
      </c>
      <c r="N1465" s="2" t="s">
        <v>18</v>
      </c>
      <c r="O1465" s="2" t="s">
        <v>19</v>
      </c>
      <c r="P1465" s="2">
        <v>32000000</v>
      </c>
      <c r="Q1465" s="2">
        <v>6.9</v>
      </c>
      <c r="R1465" s="2" t="s">
        <v>3366</v>
      </c>
      <c r="S1465" s="2"/>
      <c r="U1465" s="2" t="s">
        <v>3367</v>
      </c>
      <c r="V1465">
        <f ca="1" t="shared" si="45"/>
        <v>5.8</v>
      </c>
      <c r="AC1465" s="2"/>
      <c r="AD1465" t="str">
        <f>IFERROR(__xludf.DUMMYFUNCTION("""COMPUTED_VALUE"""),"Must Love Dogs ")</f>
        <v>Must Love Dogs </v>
      </c>
      <c r="AE1465">
        <f t="shared" si="46"/>
        <v>43894765</v>
      </c>
    </row>
    <row r="1466" customHeight="1" spans="1:31">
      <c r="A1466" s="2" t="s">
        <v>556</v>
      </c>
      <c r="B1466" s="2">
        <v>105</v>
      </c>
      <c r="C1466" s="2">
        <v>1304837</v>
      </c>
      <c r="D1466" s="2" t="s">
        <v>712</v>
      </c>
      <c r="E1466" s="2" t="s">
        <v>30</v>
      </c>
      <c r="F1466" t="s">
        <v>13</v>
      </c>
      <c r="G1466" t="s">
        <v>30</v>
      </c>
      <c r="N1466" s="2" t="s">
        <v>18</v>
      </c>
      <c r="O1466" s="2" t="s">
        <v>19</v>
      </c>
      <c r="P1466" s="2">
        <v>32000000</v>
      </c>
      <c r="Q1466" s="2">
        <v>6.1</v>
      </c>
      <c r="R1466" s="2" t="s">
        <v>3368</v>
      </c>
      <c r="S1466" s="2"/>
      <c r="U1466" s="2" t="s">
        <v>3369</v>
      </c>
      <c r="V1466">
        <f ca="1" t="shared" si="45"/>
        <v>7</v>
      </c>
      <c r="AC1466" s="2"/>
      <c r="AD1466" t="str">
        <f>IFERROR(__xludf.DUMMYFUNCTION("""COMPUTED_VALUE"""),"Donnie Brasco ")</f>
        <v>Donnie Brasco </v>
      </c>
      <c r="AE1466">
        <f t="shared" si="46"/>
        <v>41954850</v>
      </c>
    </row>
    <row r="1467" customHeight="1" spans="1:31">
      <c r="A1467" s="2" t="s">
        <v>1218</v>
      </c>
      <c r="B1467" s="2">
        <v>289</v>
      </c>
      <c r="C1467" s="2">
        <v>78800000</v>
      </c>
      <c r="D1467" s="2" t="s">
        <v>1354</v>
      </c>
      <c r="E1467" s="2" t="s">
        <v>30</v>
      </c>
      <c r="F1467" t="s">
        <v>40</v>
      </c>
      <c r="G1467" t="s">
        <v>23</v>
      </c>
      <c r="N1467" s="2" t="s">
        <v>18</v>
      </c>
      <c r="O1467" s="2" t="s">
        <v>19</v>
      </c>
      <c r="P1467" s="2">
        <v>31500000</v>
      </c>
      <c r="Q1467" s="2">
        <v>8.5</v>
      </c>
      <c r="R1467" s="2" t="s">
        <v>3370</v>
      </c>
      <c r="S1467" s="2"/>
      <c r="U1467" s="2" t="s">
        <v>3371</v>
      </c>
      <c r="V1467">
        <f ca="1" t="shared" si="45"/>
        <v>5.7</v>
      </c>
      <c r="AC1467" s="2"/>
      <c r="AD1467" t="str">
        <f>IFERROR(__xludf.DUMMYFUNCTION("""COMPUTED_VALUE"""),"Resident Evil ")</f>
        <v>Resident Evil </v>
      </c>
      <c r="AE1467">
        <f t="shared" si="46"/>
        <v>39532208</v>
      </c>
    </row>
    <row r="1468" customHeight="1" spans="1:31">
      <c r="A1468" s="2" t="s">
        <v>1771</v>
      </c>
      <c r="B1468" s="2">
        <v>102</v>
      </c>
      <c r="C1468" s="2">
        <v>17797316</v>
      </c>
      <c r="D1468" s="2" t="s">
        <v>607</v>
      </c>
      <c r="E1468" s="2" t="s">
        <v>40</v>
      </c>
      <c r="F1468" t="s">
        <v>17</v>
      </c>
      <c r="G1468" t="s">
        <v>15</v>
      </c>
      <c r="N1468" s="2" t="s">
        <v>18</v>
      </c>
      <c r="O1468" s="2" t="s">
        <v>19</v>
      </c>
      <c r="P1468" s="2">
        <v>32000000</v>
      </c>
      <c r="Q1468" s="2">
        <v>6.3</v>
      </c>
      <c r="R1468" s="2" t="s">
        <v>3372</v>
      </c>
      <c r="S1468" s="2"/>
      <c r="U1468" s="2" t="s">
        <v>3373</v>
      </c>
      <c r="V1468">
        <f ca="1" t="shared" si="45"/>
        <v>6.7</v>
      </c>
      <c r="AC1468" s="2"/>
      <c r="AD1468" t="str">
        <f>IFERROR(__xludf.DUMMYFUNCTION("""COMPUTED_VALUE"""),"Poltergeist ")</f>
        <v>Poltergeist </v>
      </c>
      <c r="AE1468">
        <f t="shared" si="46"/>
        <v>76599880</v>
      </c>
    </row>
    <row r="1469" customHeight="1" spans="1:31">
      <c r="A1469" s="2" t="s">
        <v>1153</v>
      </c>
      <c r="B1469" s="2">
        <v>143</v>
      </c>
      <c r="C1469" s="2">
        <v>82528097</v>
      </c>
      <c r="D1469" s="2" t="s">
        <v>2565</v>
      </c>
      <c r="E1469" s="2" t="s">
        <v>30</v>
      </c>
      <c r="F1469" t="s">
        <v>28</v>
      </c>
      <c r="G1469" t="s">
        <v>14</v>
      </c>
      <c r="N1469" s="2" t="s">
        <v>18</v>
      </c>
      <c r="O1469" s="2" t="s">
        <v>19</v>
      </c>
      <c r="P1469" s="2">
        <v>6500000</v>
      </c>
      <c r="Q1469" s="2">
        <v>7.3</v>
      </c>
      <c r="R1469" s="2" t="s">
        <v>3374</v>
      </c>
      <c r="S1469" s="2"/>
      <c r="U1469" s="2" t="s">
        <v>3375</v>
      </c>
      <c r="V1469">
        <f ca="1" t="shared" si="45"/>
        <v>6.2</v>
      </c>
      <c r="AC1469" s="2"/>
      <c r="AD1469" t="str">
        <f>IFERROR(__xludf.DUMMYFUNCTION("""COMPUTED_VALUE"""),"The Ladykillers ")</f>
        <v>The Ladykillers </v>
      </c>
      <c r="AE1469">
        <f t="shared" si="46"/>
        <v>39692035</v>
      </c>
    </row>
    <row r="1470" customHeight="1" spans="1:31">
      <c r="A1470" s="2" t="s">
        <v>1774</v>
      </c>
      <c r="B1470" s="2">
        <v>113</v>
      </c>
      <c r="C1470" s="2">
        <v>14268533</v>
      </c>
      <c r="D1470" s="2" t="s">
        <v>3376</v>
      </c>
      <c r="E1470" s="2" t="s">
        <v>12</v>
      </c>
      <c r="F1470" t="s">
        <v>30</v>
      </c>
      <c r="G1470" t="s">
        <v>16</v>
      </c>
      <c r="N1470" s="2" t="s">
        <v>18</v>
      </c>
      <c r="O1470" s="2" t="s">
        <v>31</v>
      </c>
      <c r="P1470" s="2">
        <v>31500000</v>
      </c>
      <c r="Q1470" s="2">
        <v>6.3</v>
      </c>
      <c r="R1470" s="2" t="s">
        <v>3377</v>
      </c>
      <c r="S1470" s="2"/>
      <c r="U1470" s="2" t="s">
        <v>3378</v>
      </c>
      <c r="V1470">
        <f ca="1" t="shared" si="45"/>
        <v>6.3</v>
      </c>
      <c r="AC1470" s="2"/>
      <c r="AD1470" t="str">
        <f>IFERROR(__xludf.DUMMYFUNCTION("""COMPUTED_VALUE"""),"Max Payne ")</f>
        <v>Max Payne </v>
      </c>
      <c r="AE1470">
        <f t="shared" si="46"/>
        <v>40687191</v>
      </c>
    </row>
    <row r="1471" customHeight="1" spans="1:31">
      <c r="A1471" s="2" t="s">
        <v>727</v>
      </c>
      <c r="B1471" s="2">
        <v>161</v>
      </c>
      <c r="C1471" s="2">
        <v>87100000</v>
      </c>
      <c r="D1471" s="2" t="s">
        <v>2624</v>
      </c>
      <c r="E1471" s="2" t="s">
        <v>59</v>
      </c>
      <c r="F1471" t="s">
        <v>56</v>
      </c>
      <c r="G1471" t="s">
        <v>17</v>
      </c>
      <c r="N1471" s="2" t="s">
        <v>18</v>
      </c>
      <c r="O1471" s="2" t="s">
        <v>19</v>
      </c>
      <c r="P1471" s="2">
        <v>31000000</v>
      </c>
      <c r="Q1471" s="2">
        <v>7.2</v>
      </c>
      <c r="R1471" s="2" t="s">
        <v>3379</v>
      </c>
      <c r="S1471" s="2"/>
      <c r="U1471" s="2" t="s">
        <v>3380</v>
      </c>
      <c r="V1471">
        <f ca="1" t="shared" si="45"/>
        <v>6.45</v>
      </c>
      <c r="AC1471" s="2"/>
      <c r="AD1471" t="str">
        <f>IFERROR(__xludf.DUMMYFUNCTION("""COMPUTED_VALUE"""),"In Time ")</f>
        <v>In Time </v>
      </c>
      <c r="AE1471">
        <f t="shared" si="46"/>
        <v>37553823</v>
      </c>
    </row>
    <row r="1472" customHeight="1" spans="1:31">
      <c r="A1472" s="2" t="s">
        <v>178</v>
      </c>
      <c r="B1472" s="2">
        <v>138</v>
      </c>
      <c r="C1472" s="2">
        <v>93749203</v>
      </c>
      <c r="D1472" s="2" t="s">
        <v>1655</v>
      </c>
      <c r="E1472" s="2" t="s">
        <v>30</v>
      </c>
      <c r="F1472" t="s">
        <v>30</v>
      </c>
      <c r="G1472" t="s">
        <v>24</v>
      </c>
      <c r="N1472" s="2" t="s">
        <v>18</v>
      </c>
      <c r="O1472" s="2" t="s">
        <v>19</v>
      </c>
      <c r="P1472" s="2">
        <v>31000000</v>
      </c>
      <c r="Q1472" s="2">
        <v>7.3</v>
      </c>
      <c r="R1472" s="2" t="s">
        <v>3381</v>
      </c>
      <c r="S1472" s="2"/>
      <c r="U1472" s="2" t="s">
        <v>3382</v>
      </c>
      <c r="V1472">
        <f ca="1" t="shared" si="45"/>
        <v>7.1</v>
      </c>
      <c r="AC1472" s="2"/>
      <c r="AD1472" t="str">
        <f>IFERROR(__xludf.DUMMYFUNCTION("""COMPUTED_VALUE"""),"The Back-up Plan ")</f>
        <v>The Back-up Plan </v>
      </c>
      <c r="AE1472">
        <f t="shared" si="46"/>
        <v>37481138</v>
      </c>
    </row>
    <row r="1473" customHeight="1" spans="1:31">
      <c r="A1473" s="2" t="s">
        <v>1776</v>
      </c>
      <c r="B1473" s="2">
        <v>126</v>
      </c>
      <c r="C1473" s="2">
        <v>62700000</v>
      </c>
      <c r="D1473" s="2" t="s">
        <v>108</v>
      </c>
      <c r="E1473" s="2" t="s">
        <v>12</v>
      </c>
      <c r="F1473" t="s">
        <v>56</v>
      </c>
      <c r="G1473" t="s">
        <v>29</v>
      </c>
      <c r="N1473" s="2" t="s">
        <v>18</v>
      </c>
      <c r="O1473" s="2" t="s">
        <v>31</v>
      </c>
      <c r="P1473" s="2">
        <v>34000000</v>
      </c>
      <c r="Q1473" s="2">
        <v>6.3</v>
      </c>
      <c r="R1473" s="2" t="s">
        <v>3383</v>
      </c>
      <c r="S1473" s="2"/>
      <c r="U1473" s="2" t="s">
        <v>3384</v>
      </c>
      <c r="V1473">
        <f ca="1" t="shared" si="45"/>
        <v>7.1</v>
      </c>
      <c r="AC1473" s="2"/>
      <c r="AD1473" t="str">
        <f>IFERROR(__xludf.DUMMYFUNCTION("""COMPUTED_VALUE"""),"Something Borrowed ")</f>
        <v>Something Borrowed </v>
      </c>
      <c r="AE1473">
        <f t="shared" si="46"/>
        <v>39026074</v>
      </c>
    </row>
    <row r="1474" customHeight="1" spans="1:31">
      <c r="A1474" s="2" t="s">
        <v>1337</v>
      </c>
      <c r="B1474" s="2">
        <v>99</v>
      </c>
      <c r="C1474" s="2">
        <v>59073773</v>
      </c>
      <c r="D1474" s="2" t="s">
        <v>3385</v>
      </c>
      <c r="E1474" s="2" t="s">
        <v>13</v>
      </c>
      <c r="F1474" t="s">
        <v>39</v>
      </c>
      <c r="G1474" t="s">
        <v>83</v>
      </c>
      <c r="N1474" s="2" t="s">
        <v>18</v>
      </c>
      <c r="O1474" s="2" t="s">
        <v>19</v>
      </c>
      <c r="P1474" s="2">
        <v>25000000</v>
      </c>
      <c r="Q1474" s="2">
        <v>8.1</v>
      </c>
      <c r="R1474" s="2" t="s">
        <v>3386</v>
      </c>
      <c r="S1474" s="2"/>
      <c r="U1474" s="2" t="s">
        <v>3387</v>
      </c>
      <c r="V1474">
        <f ca="1" t="shared" si="45"/>
        <v>6.7</v>
      </c>
      <c r="AC1474" s="2"/>
      <c r="AD1474" t="str">
        <f>IFERROR(__xludf.DUMMYFUNCTION("""COMPUTED_VALUE"""),"Black Knight ")</f>
        <v>Black Knight </v>
      </c>
      <c r="AE1474">
        <f t="shared" si="46"/>
        <v>33422711</v>
      </c>
    </row>
    <row r="1475" customHeight="1" spans="1:31">
      <c r="A1475" s="2" t="s">
        <v>1643</v>
      </c>
      <c r="B1475" s="2">
        <v>101</v>
      </c>
      <c r="C1475" s="2">
        <v>24185781</v>
      </c>
      <c r="D1475" s="2" t="s">
        <v>3388</v>
      </c>
      <c r="E1475" s="2" t="s">
        <v>30</v>
      </c>
      <c r="F1475" t="s">
        <v>24</v>
      </c>
      <c r="G1475" t="s">
        <v>17</v>
      </c>
      <c r="N1475" s="2" t="s">
        <v>18</v>
      </c>
      <c r="O1475" s="2" t="s">
        <v>19</v>
      </c>
      <c r="P1475" s="2">
        <v>31000000</v>
      </c>
      <c r="Q1475" s="2">
        <v>6.9</v>
      </c>
      <c r="R1475" s="2" t="s">
        <v>3389</v>
      </c>
      <c r="S1475" s="2"/>
      <c r="U1475" s="2" t="s">
        <v>3390</v>
      </c>
      <c r="V1475">
        <f ca="1" t="shared" si="45"/>
        <v>7.7</v>
      </c>
      <c r="AC1475" s="2"/>
      <c r="AD1475" t="str">
        <f>IFERROR(__xludf.DUMMYFUNCTION("""COMPUTED_VALUE"""),"Street Fighter ")</f>
        <v>Street Fighter </v>
      </c>
      <c r="AE1475">
        <f t="shared" si="46"/>
        <v>33423419</v>
      </c>
    </row>
    <row r="1476" customHeight="1" spans="1:31">
      <c r="A1476" s="2" t="s">
        <v>1264</v>
      </c>
      <c r="B1476" s="2">
        <v>103</v>
      </c>
      <c r="C1476" s="2">
        <v>53133888</v>
      </c>
      <c r="D1476" s="2" t="s">
        <v>3391</v>
      </c>
      <c r="E1476" s="2" t="s">
        <v>40</v>
      </c>
      <c r="F1476" t="s">
        <v>14</v>
      </c>
      <c r="G1476" t="s">
        <v>24</v>
      </c>
      <c r="N1476" s="2" t="s">
        <v>18</v>
      </c>
      <c r="O1476" s="2" t="s">
        <v>19</v>
      </c>
      <c r="P1476" s="2">
        <v>31000000</v>
      </c>
      <c r="Q1476" s="2">
        <v>6.3</v>
      </c>
      <c r="R1476" s="2" t="s">
        <v>3392</v>
      </c>
      <c r="S1476" s="2"/>
      <c r="U1476" s="2" t="s">
        <v>3393</v>
      </c>
      <c r="V1476">
        <f ca="1" t="shared" si="45"/>
        <v>7.4</v>
      </c>
      <c r="AC1476" s="2"/>
      <c r="AD1476" t="str">
        <f>IFERROR(__xludf.DUMMYFUNCTION("""COMPUTED_VALUE"""),"The Pianist ")</f>
        <v>The Pianist </v>
      </c>
      <c r="AE1476">
        <f t="shared" si="46"/>
        <v>32519172</v>
      </c>
    </row>
    <row r="1477" customHeight="1" spans="1:31">
      <c r="A1477" s="2" t="s">
        <v>945</v>
      </c>
      <c r="B1477" s="2">
        <v>118</v>
      </c>
      <c r="C1477" s="2">
        <v>44983704</v>
      </c>
      <c r="D1477" s="2" t="s">
        <v>3394</v>
      </c>
      <c r="E1477" s="2" t="s">
        <v>56</v>
      </c>
      <c r="F1477" t="s">
        <v>30</v>
      </c>
      <c r="G1477" t="s">
        <v>24</v>
      </c>
      <c r="N1477" s="2" t="s">
        <v>18</v>
      </c>
      <c r="O1477" s="2" t="s">
        <v>19</v>
      </c>
      <c r="P1477" s="2">
        <v>31000000</v>
      </c>
      <c r="Q1477" s="2">
        <v>7.3</v>
      </c>
      <c r="R1477" s="2" t="s">
        <v>3395</v>
      </c>
      <c r="S1477" s="2"/>
      <c r="U1477" s="2" t="s">
        <v>3396</v>
      </c>
      <c r="V1477">
        <f ca="1" t="shared" si="45"/>
        <v>6.7</v>
      </c>
      <c r="AC1477" s="2"/>
      <c r="AD1477" t="str">
        <f>IFERROR(__xludf.DUMMYFUNCTION("""COMPUTED_VALUE"""),"The Nativity Story ")</f>
        <v>The Nativity Story </v>
      </c>
      <c r="AE1477">
        <f t="shared" si="46"/>
        <v>37617846</v>
      </c>
    </row>
    <row r="1478" customHeight="1" spans="1:31">
      <c r="A1478" s="2" t="s">
        <v>1778</v>
      </c>
      <c r="B1478" s="2">
        <v>99</v>
      </c>
      <c r="C1478" s="2">
        <v>58879132</v>
      </c>
      <c r="D1478" s="2" t="s">
        <v>1716</v>
      </c>
      <c r="E1478" s="2" t="s">
        <v>13</v>
      </c>
      <c r="F1478" t="s">
        <v>83</v>
      </c>
      <c r="G1478" t="s">
        <v>24</v>
      </c>
      <c r="N1478" s="2" t="s">
        <v>18</v>
      </c>
      <c r="O1478" s="2" t="s">
        <v>19</v>
      </c>
      <c r="P1478" s="2">
        <v>31000000</v>
      </c>
      <c r="Q1478" s="2">
        <v>6.1</v>
      </c>
      <c r="R1478" s="2" t="s">
        <v>3397</v>
      </c>
      <c r="S1478" s="2"/>
      <c r="U1478" s="2" t="s">
        <v>3398</v>
      </c>
      <c r="V1478">
        <f ca="1" t="shared" si="45"/>
        <v>6.6</v>
      </c>
      <c r="AC1478" s="2"/>
      <c r="AD1478" t="str">
        <f>IFERROR(__xludf.DUMMYFUNCTION("""COMPUTED_VALUE"""),"House of Wax ")</f>
        <v>House of Wax </v>
      </c>
      <c r="AE1478">
        <f t="shared" si="46"/>
        <v>32048701</v>
      </c>
    </row>
    <row r="1479" customHeight="1" spans="1:31">
      <c r="A1479" s="2" t="s">
        <v>85</v>
      </c>
      <c r="B1479" s="2">
        <v>105</v>
      </c>
      <c r="C1479" s="2">
        <v>72077000</v>
      </c>
      <c r="D1479" s="2" t="s">
        <v>2471</v>
      </c>
      <c r="E1479" s="2" t="s">
        <v>40</v>
      </c>
      <c r="F1479" t="s">
        <v>17</v>
      </c>
      <c r="G1479" t="s">
        <v>28</v>
      </c>
      <c r="N1479" s="2" t="s">
        <v>18</v>
      </c>
      <c r="O1479" s="2" t="s">
        <v>19</v>
      </c>
      <c r="P1479" s="2">
        <v>30250000</v>
      </c>
      <c r="Q1479" s="2">
        <v>6.9</v>
      </c>
      <c r="R1479" s="2" t="s">
        <v>3399</v>
      </c>
      <c r="S1479" s="2"/>
      <c r="U1479" s="2" t="s">
        <v>3400</v>
      </c>
      <c r="V1479">
        <f ca="1" t="shared" si="45"/>
        <v>7.9</v>
      </c>
      <c r="AC1479" s="2"/>
      <c r="AD1479" t="str">
        <f>IFERROR(__xludf.DUMMYFUNCTION("""COMPUTED_VALUE"""),"Closer ")</f>
        <v>Closer </v>
      </c>
      <c r="AE1479">
        <f t="shared" si="46"/>
        <v>33987659</v>
      </c>
    </row>
    <row r="1480" customHeight="1" spans="1:31">
      <c r="A1480" s="2" t="s">
        <v>82</v>
      </c>
      <c r="B1480" s="2">
        <v>113</v>
      </c>
      <c r="C1480" s="2">
        <v>170684505</v>
      </c>
      <c r="D1480" s="2" t="s">
        <v>3401</v>
      </c>
      <c r="E1480" s="2" t="s">
        <v>40</v>
      </c>
      <c r="F1480" t="s">
        <v>30</v>
      </c>
      <c r="G1480" t="s">
        <v>24</v>
      </c>
      <c r="N1480" s="2" t="s">
        <v>18</v>
      </c>
      <c r="O1480" s="2" t="s">
        <v>19</v>
      </c>
      <c r="P1480" s="2">
        <v>45000000</v>
      </c>
      <c r="Q1480" s="2">
        <v>7.2</v>
      </c>
      <c r="R1480" s="2" t="s">
        <v>3402</v>
      </c>
      <c r="S1480" s="2"/>
      <c r="U1480" s="2" t="s">
        <v>3403</v>
      </c>
      <c r="V1480">
        <f ca="1" t="shared" si="45"/>
        <v>7</v>
      </c>
      <c r="AC1480" s="2"/>
      <c r="AD1480" t="str">
        <f>IFERROR(__xludf.DUMMYFUNCTION("""COMPUTED_VALUE"""),"J. Edgar ")</f>
        <v>J. Edgar </v>
      </c>
      <c r="AE1480">
        <f t="shared" si="46"/>
        <v>37304813</v>
      </c>
    </row>
    <row r="1481" customHeight="1" spans="1:31">
      <c r="A1481" s="2" t="s">
        <v>724</v>
      </c>
      <c r="B1481" s="2">
        <v>93</v>
      </c>
      <c r="C1481" s="2">
        <v>163479795</v>
      </c>
      <c r="D1481" s="2" t="s">
        <v>975</v>
      </c>
      <c r="E1481" s="2" t="s">
        <v>40</v>
      </c>
      <c r="F1481" t="s">
        <v>72</v>
      </c>
      <c r="G1481" t="s">
        <v>24</v>
      </c>
      <c r="N1481" s="2" t="s">
        <v>18</v>
      </c>
      <c r="O1481" s="2" t="s">
        <v>19</v>
      </c>
      <c r="P1481" s="2">
        <v>34200000</v>
      </c>
      <c r="Q1481" s="2">
        <v>6.4</v>
      </c>
      <c r="R1481" s="2" t="s">
        <v>3404</v>
      </c>
      <c r="S1481" s="2"/>
      <c r="U1481" s="2" t="s">
        <v>3405</v>
      </c>
      <c r="V1481">
        <f ca="1" t="shared" si="45"/>
        <v>6.1</v>
      </c>
      <c r="AC1481" s="2"/>
      <c r="AD1481" t="str">
        <f>IFERROR(__xludf.DUMMYFUNCTION("""COMPUTED_VALUE"""),"Mirrors ")</f>
        <v>Mirrors </v>
      </c>
      <c r="AE1481">
        <f t="shared" si="46"/>
        <v>30691327</v>
      </c>
    </row>
    <row r="1482" customHeight="1" spans="1:31">
      <c r="A1482" s="2" t="s">
        <v>1781</v>
      </c>
      <c r="B1482" s="2">
        <v>108</v>
      </c>
      <c r="C1482" s="2">
        <v>145096820</v>
      </c>
      <c r="D1482" s="2" t="s">
        <v>40</v>
      </c>
      <c r="E1482" s="2" t="s">
        <v>40</v>
      </c>
      <c r="F1482" t="s">
        <v>40</v>
      </c>
      <c r="G1482" t="s">
        <v>14</v>
      </c>
      <c r="N1482" s="2" t="s">
        <v>18</v>
      </c>
      <c r="O1482" s="2" t="s">
        <v>19</v>
      </c>
      <c r="P1482" s="2">
        <v>30000000</v>
      </c>
      <c r="Q1482" s="2">
        <v>6.4</v>
      </c>
      <c r="R1482" s="2" t="s">
        <v>3406</v>
      </c>
      <c r="S1482" s="2"/>
      <c r="U1482" s="2" t="s">
        <v>3407</v>
      </c>
      <c r="V1482">
        <f ca="1" t="shared" si="45"/>
        <v>5.3</v>
      </c>
      <c r="AC1482" s="2"/>
      <c r="AD1482" t="str">
        <f>IFERROR(__xludf.DUMMYFUNCTION("""COMPUTED_VALUE"""),"Queen of the Damned ")</f>
        <v>Queen of the Damned </v>
      </c>
      <c r="AE1482">
        <f t="shared" si="46"/>
        <v>30307703</v>
      </c>
    </row>
    <row r="1483" customHeight="1" spans="1:31">
      <c r="A1483" s="2" t="s">
        <v>139</v>
      </c>
      <c r="B1483" s="2">
        <v>74</v>
      </c>
      <c r="C1483" s="2">
        <v>191796233</v>
      </c>
      <c r="D1483" s="2" t="s">
        <v>124</v>
      </c>
      <c r="E1483" s="2" t="s">
        <v>13</v>
      </c>
      <c r="F1483" t="s">
        <v>56</v>
      </c>
      <c r="G1483" t="s">
        <v>40</v>
      </c>
      <c r="N1483" s="2" t="s">
        <v>18</v>
      </c>
      <c r="O1483" s="2" t="s">
        <v>19</v>
      </c>
      <c r="P1483" s="2">
        <v>30000000</v>
      </c>
      <c r="Q1483" s="2">
        <v>8.3</v>
      </c>
      <c r="R1483" s="2" t="s">
        <v>3408</v>
      </c>
      <c r="S1483" s="2"/>
      <c r="U1483" s="2" t="s">
        <v>3409</v>
      </c>
      <c r="V1483">
        <f ca="1" t="shared" si="45"/>
        <v>5</v>
      </c>
      <c r="AC1483" s="2"/>
      <c r="AD1483" t="str">
        <f>IFERROR(__xludf.DUMMYFUNCTION("""COMPUTED_VALUE"""),"Predator 2 ")</f>
        <v>Predator 2 </v>
      </c>
      <c r="AE1483">
        <f t="shared" si="46"/>
        <v>30669310</v>
      </c>
    </row>
    <row r="1484" customHeight="1" spans="1:31">
      <c r="A1484" s="2" t="s">
        <v>581</v>
      </c>
      <c r="B1484" s="2">
        <v>116</v>
      </c>
      <c r="C1484" s="2">
        <v>121248145</v>
      </c>
      <c r="D1484" s="2" t="s">
        <v>1327</v>
      </c>
      <c r="E1484" s="2" t="s">
        <v>12</v>
      </c>
      <c r="F1484" t="s">
        <v>72</v>
      </c>
      <c r="G1484" t="s">
        <v>17</v>
      </c>
      <c r="N1484" s="2" t="s">
        <v>18</v>
      </c>
      <c r="O1484" s="2" t="s">
        <v>19</v>
      </c>
      <c r="P1484" s="2">
        <v>25000000</v>
      </c>
      <c r="Q1484" s="2">
        <v>7.2</v>
      </c>
      <c r="R1484" s="2" t="s">
        <v>3410</v>
      </c>
      <c r="S1484" s="2"/>
      <c r="U1484" s="2" t="s">
        <v>3411</v>
      </c>
      <c r="V1484">
        <f ca="1" t="shared" si="45"/>
        <v>6.6</v>
      </c>
      <c r="AC1484" s="2"/>
      <c r="AD1484" t="str">
        <f>IFERROR(__xludf.DUMMYFUNCTION("""COMPUTED_VALUE"""),"Untraceable ")</f>
        <v>Untraceable </v>
      </c>
      <c r="AE1484">
        <f t="shared" si="46"/>
        <v>28687734</v>
      </c>
    </row>
    <row r="1485" customHeight="1" spans="1:31">
      <c r="A1485" s="2" t="s">
        <v>1784</v>
      </c>
      <c r="B1485" s="2">
        <v>104</v>
      </c>
      <c r="C1485" s="2">
        <v>125014030</v>
      </c>
      <c r="D1485" s="2" t="s">
        <v>103</v>
      </c>
      <c r="E1485" s="2" t="s">
        <v>30</v>
      </c>
      <c r="F1485" t="s">
        <v>30</v>
      </c>
      <c r="G1485" t="s">
        <v>30</v>
      </c>
      <c r="N1485" s="2" t="s">
        <v>18</v>
      </c>
      <c r="O1485" s="2" t="s">
        <v>19</v>
      </c>
      <c r="P1485" s="2">
        <v>30000000</v>
      </c>
      <c r="Q1485" s="2">
        <v>6.8</v>
      </c>
      <c r="R1485" s="2" t="s">
        <v>3412</v>
      </c>
      <c r="S1485" s="2"/>
      <c r="U1485" s="2" t="s">
        <v>3413</v>
      </c>
      <c r="V1485">
        <f ca="1" t="shared" si="45"/>
        <v>6.6</v>
      </c>
      <c r="AC1485" s="2"/>
      <c r="AD1485" t="str">
        <f>IFERROR(__xludf.DUMMYFUNCTION("""COMPUTED_VALUE"""),"Blast from the Past ")</f>
        <v>Blast from the Past </v>
      </c>
      <c r="AE1485">
        <f t="shared" si="46"/>
        <v>26494499</v>
      </c>
    </row>
    <row r="1486" customHeight="1" spans="1:31">
      <c r="A1486" s="2" t="s">
        <v>1787</v>
      </c>
      <c r="B1486" s="2">
        <v>106</v>
      </c>
      <c r="C1486" s="2">
        <v>11854694</v>
      </c>
      <c r="D1486" s="2" t="s">
        <v>30</v>
      </c>
      <c r="E1486" s="2" t="s">
        <v>30</v>
      </c>
      <c r="F1486" t="s">
        <v>13</v>
      </c>
      <c r="G1486" t="s">
        <v>24</v>
      </c>
      <c r="N1486" s="2" t="s">
        <v>18</v>
      </c>
      <c r="O1486" s="2" t="s">
        <v>19</v>
      </c>
      <c r="P1486" s="2">
        <v>31000000</v>
      </c>
      <c r="Q1486" s="2">
        <v>6.5</v>
      </c>
      <c r="R1486" s="2" t="s">
        <v>3414</v>
      </c>
      <c r="S1486" s="2"/>
      <c r="U1486" s="2" t="s">
        <v>3415</v>
      </c>
      <c r="V1486">
        <f ca="1" t="shared" si="45"/>
        <v>5.8</v>
      </c>
      <c r="AC1486" s="2"/>
      <c r="AD1486" t="str">
        <f>IFERROR(__xludf.DUMMYFUNCTION("""COMPUTED_VALUE"""),"Jersey Girl ")</f>
        <v>Jersey Girl </v>
      </c>
      <c r="AE1486">
        <f t="shared" si="46"/>
        <v>25266027</v>
      </c>
    </row>
    <row r="1487" customHeight="1" spans="1:31">
      <c r="A1487" s="2" t="s">
        <v>1740</v>
      </c>
      <c r="B1487" s="2">
        <v>120</v>
      </c>
      <c r="C1487" s="2">
        <v>115648585</v>
      </c>
      <c r="D1487" s="2" t="s">
        <v>592</v>
      </c>
      <c r="E1487" s="2" t="s">
        <v>59</v>
      </c>
      <c r="F1487" t="s">
        <v>30</v>
      </c>
      <c r="G1487" t="s">
        <v>39</v>
      </c>
      <c r="N1487" s="2" t="s">
        <v>18</v>
      </c>
      <c r="O1487" s="2" t="s">
        <v>19</v>
      </c>
      <c r="P1487" s="2">
        <v>30000000</v>
      </c>
      <c r="Q1487" s="2">
        <v>7.8</v>
      </c>
      <c r="R1487" s="2" t="s">
        <v>3416</v>
      </c>
      <c r="S1487" s="2"/>
      <c r="U1487" s="2" t="s">
        <v>3417</v>
      </c>
      <c r="V1487">
        <f ca="1" t="shared" si="45"/>
        <v>6.6</v>
      </c>
      <c r="AC1487" s="2"/>
      <c r="AD1487" t="str">
        <f>IFERROR(__xludf.DUMMYFUNCTION("""COMPUTED_VALUE"""),"Alex Cross ")</f>
        <v>Alex Cross </v>
      </c>
      <c r="AE1487">
        <f t="shared" si="46"/>
        <v>25863814</v>
      </c>
    </row>
    <row r="1488" customHeight="1" spans="1:31">
      <c r="A1488" s="2" t="s">
        <v>485</v>
      </c>
      <c r="B1488" s="2">
        <v>135</v>
      </c>
      <c r="C1488" s="2">
        <v>122012643</v>
      </c>
      <c r="D1488" s="2" t="s">
        <v>27</v>
      </c>
      <c r="E1488" s="2" t="s">
        <v>12</v>
      </c>
      <c r="F1488" t="s">
        <v>14</v>
      </c>
      <c r="G1488" t="s">
        <v>24</v>
      </c>
      <c r="N1488" s="2" t="s">
        <v>18</v>
      </c>
      <c r="O1488" s="2" t="s">
        <v>19</v>
      </c>
      <c r="P1488" s="2">
        <v>30000000</v>
      </c>
      <c r="Q1488" s="2">
        <v>7.6</v>
      </c>
      <c r="R1488" s="2" t="s">
        <v>3418</v>
      </c>
      <c r="S1488" s="2"/>
      <c r="U1488" s="2" t="s">
        <v>3419</v>
      </c>
      <c r="V1488">
        <f ca="1" t="shared" si="45"/>
        <v>4.6</v>
      </c>
      <c r="AC1488" s="2"/>
      <c r="AD1488" t="str">
        <f>IFERROR(__xludf.DUMMYFUNCTION("""COMPUTED_VALUE"""),"Midnight in the Garden of Good and Evil ")</f>
        <v>Midnight in the Garden of Good and Evil </v>
      </c>
      <c r="AE1488">
        <f t="shared" si="46"/>
        <v>25078782</v>
      </c>
    </row>
    <row r="1489" customHeight="1" spans="1:31">
      <c r="A1489" s="2" t="s">
        <v>1614</v>
      </c>
      <c r="B1489" s="2">
        <v>132</v>
      </c>
      <c r="C1489" s="2">
        <v>116631310</v>
      </c>
      <c r="D1489" s="2" t="s">
        <v>562</v>
      </c>
      <c r="E1489" s="2" t="s">
        <v>59</v>
      </c>
      <c r="F1489" t="s">
        <v>83</v>
      </c>
      <c r="G1489" t="s">
        <v>17</v>
      </c>
      <c r="N1489" s="2" t="s">
        <v>18</v>
      </c>
      <c r="O1489" s="2" t="s">
        <v>19</v>
      </c>
      <c r="P1489" s="2">
        <v>30000000</v>
      </c>
      <c r="Q1489" s="2">
        <v>7.2</v>
      </c>
      <c r="R1489" s="2" t="s">
        <v>3420</v>
      </c>
      <c r="S1489" s="2"/>
      <c r="U1489" s="2" t="s">
        <v>3421</v>
      </c>
      <c r="V1489">
        <f ca="1" t="shared" si="45"/>
        <v>4.9</v>
      </c>
      <c r="AC1489" s="2"/>
      <c r="AD1489" t="str">
        <f>IFERROR(__xludf.DUMMYFUNCTION("""COMPUTED_VALUE"""),"Nanny McPhee Returns ")</f>
        <v>Nanny McPhee Returns </v>
      </c>
      <c r="AE1489">
        <f t="shared" si="46"/>
        <v>28995341</v>
      </c>
    </row>
    <row r="1490" customHeight="1" spans="1:31">
      <c r="A1490" s="2" t="s">
        <v>1257</v>
      </c>
      <c r="B1490" s="2">
        <v>92</v>
      </c>
      <c r="C1490" s="2">
        <v>114324072</v>
      </c>
      <c r="D1490" s="2" t="s">
        <v>1581</v>
      </c>
      <c r="E1490" s="2" t="s">
        <v>40</v>
      </c>
      <c r="F1490" t="s">
        <v>30</v>
      </c>
      <c r="G1490" t="s">
        <v>24</v>
      </c>
      <c r="N1490" s="2" t="s">
        <v>18</v>
      </c>
      <c r="O1490" s="2" t="s">
        <v>19</v>
      </c>
      <c r="P1490" s="2">
        <v>20000000</v>
      </c>
      <c r="Q1490" s="2">
        <v>6.7</v>
      </c>
      <c r="R1490" s="2" t="s">
        <v>3422</v>
      </c>
      <c r="S1490" s="2"/>
      <c r="U1490" s="2" t="s">
        <v>3423</v>
      </c>
      <c r="V1490">
        <f ca="1" t="shared" si="45"/>
        <v>5</v>
      </c>
      <c r="AC1490" s="2"/>
      <c r="AD1490" t="str">
        <f>IFERROR(__xludf.DUMMYFUNCTION("""COMPUTED_VALUE"""),"Hoffa ")</f>
        <v>Hoffa </v>
      </c>
      <c r="AE1490">
        <f t="shared" si="46"/>
        <v>24276360</v>
      </c>
    </row>
    <row r="1491" customHeight="1" spans="1:31">
      <c r="A1491" s="2" t="s">
        <v>85</v>
      </c>
      <c r="B1491" s="2">
        <v>99</v>
      </c>
      <c r="C1491" s="2">
        <v>113502246</v>
      </c>
      <c r="D1491" s="2" t="s">
        <v>1086</v>
      </c>
      <c r="E1491" s="2" t="s">
        <v>40</v>
      </c>
      <c r="F1491" t="s">
        <v>56</v>
      </c>
      <c r="G1491" t="s">
        <v>17</v>
      </c>
      <c r="N1491" s="2" t="s">
        <v>18</v>
      </c>
      <c r="O1491" s="2" t="s">
        <v>19</v>
      </c>
      <c r="P1491" s="2">
        <v>38000000</v>
      </c>
      <c r="Q1491" s="2">
        <v>6.8</v>
      </c>
      <c r="R1491" s="2" t="s">
        <v>3424</v>
      </c>
      <c r="S1491" s="2"/>
      <c r="U1491" s="2" t="s">
        <v>3425</v>
      </c>
      <c r="V1491">
        <f ca="1" t="shared" si="45"/>
        <v>8</v>
      </c>
      <c r="AC1491" s="2"/>
      <c r="AD1491" t="str">
        <f>IFERROR(__xludf.DUMMYFUNCTION("""COMPUTED_VALUE"""),"The X Files: I Want to Believe ")</f>
        <v>The X Files: I Want to Believe </v>
      </c>
      <c r="AE1491">
        <f t="shared" si="46"/>
        <v>20981525</v>
      </c>
    </row>
    <row r="1492" customHeight="1" spans="1:31">
      <c r="A1492" s="2" t="s">
        <v>1249</v>
      </c>
      <c r="B1492" s="2">
        <v>90</v>
      </c>
      <c r="C1492" s="2">
        <v>108360000</v>
      </c>
      <c r="D1492" s="2" t="s">
        <v>1716</v>
      </c>
      <c r="E1492" s="2" t="s">
        <v>13</v>
      </c>
      <c r="F1492" t="s">
        <v>13</v>
      </c>
      <c r="G1492" t="s">
        <v>24</v>
      </c>
      <c r="N1492" s="2" t="s">
        <v>18</v>
      </c>
      <c r="O1492" s="2" t="s">
        <v>19</v>
      </c>
      <c r="P1492" s="2">
        <v>30000000</v>
      </c>
      <c r="Q1492" s="2">
        <v>6.3</v>
      </c>
      <c r="R1492" s="2" t="s">
        <v>3426</v>
      </c>
      <c r="S1492" s="2"/>
      <c r="U1492" s="2" t="s">
        <v>3427</v>
      </c>
      <c r="V1492">
        <f ca="1" t="shared" si="45"/>
        <v>8.5</v>
      </c>
      <c r="AC1492" s="2"/>
      <c r="AD1492" t="str">
        <f>IFERROR(__xludf.DUMMYFUNCTION("""COMPUTED_VALUE"""),"Ella Enchanted ")</f>
        <v>Ella Enchanted </v>
      </c>
      <c r="AE1492">
        <f t="shared" si="46"/>
        <v>22913581</v>
      </c>
    </row>
    <row r="1493" customHeight="1" spans="1:31">
      <c r="A1493" s="2" t="s">
        <v>923</v>
      </c>
      <c r="B1493" s="2">
        <v>111</v>
      </c>
      <c r="C1493" s="2">
        <v>108244774</v>
      </c>
      <c r="D1493" s="2" t="s">
        <v>1061</v>
      </c>
      <c r="E1493" s="2" t="s">
        <v>40</v>
      </c>
      <c r="F1493" t="s">
        <v>30</v>
      </c>
      <c r="G1493" t="s">
        <v>23</v>
      </c>
      <c r="N1493" s="2" t="s">
        <v>18</v>
      </c>
      <c r="O1493" s="2" t="s">
        <v>19</v>
      </c>
      <c r="P1493" s="2">
        <v>37000000</v>
      </c>
      <c r="Q1493" s="2">
        <v>6.2</v>
      </c>
      <c r="R1493" s="2" t="s">
        <v>3428</v>
      </c>
      <c r="S1493" s="2"/>
      <c r="U1493" s="2" t="s">
        <v>3429</v>
      </c>
      <c r="V1493">
        <f ca="1" t="shared" si="45"/>
        <v>7.4</v>
      </c>
      <c r="AC1493" s="2"/>
      <c r="AD1493" t="str">
        <f>IFERROR(__xludf.DUMMYFUNCTION("""COMPUTED_VALUE"""),"Concussion ")</f>
        <v>Concussion </v>
      </c>
      <c r="AE1493">
        <f t="shared" si="46"/>
        <v>34531709</v>
      </c>
    </row>
    <row r="1494" customHeight="1" spans="1:31">
      <c r="A1494" s="2" t="s">
        <v>1681</v>
      </c>
      <c r="B1494" s="2">
        <v>103</v>
      </c>
      <c r="C1494" s="2">
        <v>105444419</v>
      </c>
      <c r="D1494" s="2" t="s">
        <v>40</v>
      </c>
      <c r="E1494" s="2" t="s">
        <v>40</v>
      </c>
      <c r="F1494" t="s">
        <v>35</v>
      </c>
      <c r="G1494" t="s">
        <v>15</v>
      </c>
      <c r="N1494" s="2" t="s">
        <v>18</v>
      </c>
      <c r="O1494" s="2" t="s">
        <v>19</v>
      </c>
      <c r="P1494" s="2">
        <v>26000000</v>
      </c>
      <c r="Q1494" s="2">
        <v>6.2</v>
      </c>
      <c r="R1494" s="2" t="s">
        <v>3430</v>
      </c>
      <c r="S1494" s="2"/>
      <c r="U1494" s="2" t="s">
        <v>3431</v>
      </c>
      <c r="V1494">
        <f ca="1" t="shared" si="45"/>
        <v>5.1</v>
      </c>
      <c r="AC1494" s="2"/>
      <c r="AD1494" t="str">
        <f>IFERROR(__xludf.DUMMYFUNCTION("""COMPUTED_VALUE"""),"Abduction ")</f>
        <v>Abduction </v>
      </c>
      <c r="AE1494">
        <f t="shared" si="46"/>
        <v>28064120</v>
      </c>
    </row>
    <row r="1495" customHeight="1" spans="1:31">
      <c r="A1495" s="2" t="s">
        <v>265</v>
      </c>
      <c r="B1495" s="2">
        <v>127</v>
      </c>
      <c r="C1495" s="2">
        <v>100125340</v>
      </c>
      <c r="D1495" s="2" t="s">
        <v>814</v>
      </c>
      <c r="E1495" s="2" t="s">
        <v>56</v>
      </c>
      <c r="F1495" t="s">
        <v>30</v>
      </c>
      <c r="G1495" t="s">
        <v>56</v>
      </c>
      <c r="N1495" s="2" t="s">
        <v>18</v>
      </c>
      <c r="O1495" s="2" t="s">
        <v>19</v>
      </c>
      <c r="P1495" s="2">
        <v>33000000</v>
      </c>
      <c r="Q1495" s="2">
        <v>8.6</v>
      </c>
      <c r="R1495" s="2" t="s">
        <v>3432</v>
      </c>
      <c r="S1495" s="2"/>
      <c r="U1495" s="2" t="s">
        <v>3433</v>
      </c>
      <c r="V1495">
        <f ca="1" t="shared" si="45"/>
        <v>5</v>
      </c>
      <c r="AC1495" s="2"/>
      <c r="AD1495" t="str">
        <f>IFERROR(__xludf.DUMMYFUNCTION("""COMPUTED_VALUE"""),"Valiant ")</f>
        <v>Valiant </v>
      </c>
      <c r="AE1495">
        <f t="shared" si="46"/>
        <v>19447402</v>
      </c>
    </row>
    <row r="1496" customHeight="1" spans="1:31">
      <c r="A1496" s="2" t="s">
        <v>510</v>
      </c>
      <c r="B1496" s="2">
        <v>112</v>
      </c>
      <c r="C1496" s="2">
        <v>115646235</v>
      </c>
      <c r="D1496" s="2" t="s">
        <v>1094</v>
      </c>
      <c r="E1496" s="2" t="s">
        <v>12</v>
      </c>
      <c r="F1496" t="s">
        <v>30</v>
      </c>
      <c r="G1496" t="s">
        <v>72</v>
      </c>
      <c r="N1496" s="2" t="s">
        <v>18</v>
      </c>
      <c r="O1496" s="2" t="s">
        <v>3434</v>
      </c>
      <c r="P1496" s="2">
        <v>30000000</v>
      </c>
      <c r="Q1496" s="2">
        <v>8</v>
      </c>
      <c r="R1496" s="2" t="s">
        <v>3435</v>
      </c>
      <c r="S1496" s="2"/>
      <c r="U1496" s="2" t="s">
        <v>3436</v>
      </c>
      <c r="V1496">
        <f ca="1" t="shared" si="45"/>
        <v>7.2</v>
      </c>
      <c r="AC1496" s="2"/>
      <c r="AD1496" t="str">
        <f>IFERROR(__xludf.DUMMYFUNCTION("""COMPUTED_VALUE"""),"Wonder Boys ")</f>
        <v>Wonder Boys </v>
      </c>
      <c r="AE1496">
        <f t="shared" si="46"/>
        <v>19389347</v>
      </c>
    </row>
    <row r="1497" customHeight="1" spans="1:31">
      <c r="A1497" s="2" t="s">
        <v>1790</v>
      </c>
      <c r="B1497" s="2">
        <v>87</v>
      </c>
      <c r="C1497" s="2">
        <v>85416609</v>
      </c>
      <c r="D1497" s="2" t="s">
        <v>124</v>
      </c>
      <c r="E1497" s="2" t="s">
        <v>13</v>
      </c>
      <c r="F1497" t="s">
        <v>56</v>
      </c>
      <c r="G1497" t="s">
        <v>65</v>
      </c>
      <c r="N1497" s="2" t="s">
        <v>18</v>
      </c>
      <c r="O1497" s="2" t="s">
        <v>19</v>
      </c>
      <c r="P1497" s="2">
        <v>30000000</v>
      </c>
      <c r="Q1497" s="2">
        <v>7</v>
      </c>
      <c r="R1497" s="2" t="s">
        <v>3437</v>
      </c>
      <c r="S1497" s="2"/>
      <c r="U1497" s="2" t="s">
        <v>3438</v>
      </c>
      <c r="V1497">
        <f ca="1" t="shared" si="45"/>
        <v>6.4</v>
      </c>
      <c r="AC1497" s="2"/>
      <c r="AD1497" t="str">
        <f>IFERROR(__xludf.DUMMYFUNCTION("""COMPUTED_VALUE"""),"Superhero Movie ")</f>
        <v>Superhero Movie </v>
      </c>
      <c r="AE1497">
        <f t="shared" si="46"/>
        <v>25871752</v>
      </c>
    </row>
    <row r="1498" customHeight="1" spans="1:31">
      <c r="A1498" s="2" t="s">
        <v>1000</v>
      </c>
      <c r="B1498" s="2">
        <v>138</v>
      </c>
      <c r="C1498" s="2">
        <v>90135191</v>
      </c>
      <c r="D1498" s="2" t="s">
        <v>814</v>
      </c>
      <c r="E1498" s="2" t="s">
        <v>56</v>
      </c>
      <c r="F1498" t="s">
        <v>17</v>
      </c>
      <c r="G1498" t="s">
        <v>24</v>
      </c>
      <c r="N1498" s="2" t="s">
        <v>18</v>
      </c>
      <c r="O1498" s="2" t="s">
        <v>19</v>
      </c>
      <c r="P1498" s="2">
        <v>25000000</v>
      </c>
      <c r="Q1498" s="2">
        <v>8</v>
      </c>
      <c r="R1498" s="2" t="s">
        <v>3439</v>
      </c>
      <c r="S1498" s="2"/>
      <c r="U1498" s="2" t="s">
        <v>3440</v>
      </c>
      <c r="V1498">
        <f ca="1" t="shared" si="45"/>
        <v>6.1</v>
      </c>
      <c r="AC1498" s="2"/>
      <c r="AD1498" t="str">
        <f>IFERROR(__xludf.DUMMYFUNCTION("""COMPUTED_VALUE"""),"Broken City ")</f>
        <v>Broken City </v>
      </c>
      <c r="AE1498">
        <f t="shared" si="46"/>
        <v>19692499</v>
      </c>
    </row>
    <row r="1499" customHeight="1" spans="1:31">
      <c r="A1499" s="2" t="s">
        <v>1000</v>
      </c>
      <c r="B1499" s="2">
        <v>132</v>
      </c>
      <c r="C1499" s="2">
        <v>100422786</v>
      </c>
      <c r="D1499" s="2" t="s">
        <v>1527</v>
      </c>
      <c r="E1499" s="2" t="s">
        <v>30</v>
      </c>
      <c r="F1499" t="s">
        <v>28</v>
      </c>
      <c r="G1499" t="s">
        <v>30</v>
      </c>
      <c r="N1499" s="2" t="s">
        <v>18</v>
      </c>
      <c r="O1499" s="2" t="s">
        <v>19</v>
      </c>
      <c r="P1499" s="2">
        <v>30000000</v>
      </c>
      <c r="Q1499" s="2">
        <v>8.1</v>
      </c>
      <c r="R1499" s="2" t="s">
        <v>3441</v>
      </c>
      <c r="S1499" s="2"/>
      <c r="U1499" s="2" t="s">
        <v>3442</v>
      </c>
      <c r="V1499">
        <f ca="1" t="shared" si="45"/>
        <v>6.1</v>
      </c>
      <c r="AC1499" s="2"/>
      <c r="AD1499" t="str">
        <f>IFERROR(__xludf.DUMMYFUNCTION("""COMPUTED_VALUE"""),"Cursed ")</f>
        <v>Cursed </v>
      </c>
      <c r="AE1499">
        <f t="shared" si="46"/>
        <v>19294802</v>
      </c>
    </row>
    <row r="1500" customHeight="1" spans="1:31">
      <c r="A1500" s="2" t="s">
        <v>1108</v>
      </c>
      <c r="B1500" s="2">
        <v>103</v>
      </c>
      <c r="C1500" s="2">
        <v>106694016</v>
      </c>
      <c r="D1500" s="2" t="s">
        <v>383</v>
      </c>
      <c r="E1500" s="2" t="s">
        <v>40</v>
      </c>
      <c r="F1500" t="s">
        <v>30</v>
      </c>
      <c r="G1500" t="s">
        <v>24</v>
      </c>
      <c r="N1500" s="2" t="s">
        <v>18</v>
      </c>
      <c r="O1500" s="2" t="s">
        <v>19</v>
      </c>
      <c r="P1500" s="2">
        <v>30000000</v>
      </c>
      <c r="Q1500" s="2">
        <v>6.7</v>
      </c>
      <c r="R1500" s="2" t="s">
        <v>3443</v>
      </c>
      <c r="S1500" s="2"/>
      <c r="U1500" s="2" t="s">
        <v>3444</v>
      </c>
      <c r="V1500">
        <f ca="1" t="shared" si="45"/>
        <v>4.6</v>
      </c>
      <c r="AC1500" s="2"/>
      <c r="AD1500" t="str">
        <f>IFERROR(__xludf.DUMMYFUNCTION("""COMPUTED_VALUE"""),"Premium Rush ")</f>
        <v>Premium Rush </v>
      </c>
      <c r="AE1500">
        <f t="shared" si="46"/>
        <v>20275355</v>
      </c>
    </row>
    <row r="1501" customHeight="1" spans="1:31">
      <c r="A1501" s="2" t="s">
        <v>1509</v>
      </c>
      <c r="B1501" s="2">
        <v>123</v>
      </c>
      <c r="C1501" s="2">
        <v>64286</v>
      </c>
      <c r="D1501" s="2" t="s">
        <v>103</v>
      </c>
      <c r="E1501" s="2" t="s">
        <v>30</v>
      </c>
      <c r="F1501" t="s">
        <v>30</v>
      </c>
      <c r="G1501" t="s">
        <v>23</v>
      </c>
      <c r="N1501" s="2" t="s">
        <v>18</v>
      </c>
      <c r="O1501" s="2" t="s">
        <v>19</v>
      </c>
      <c r="P1501" s="2">
        <v>29000000</v>
      </c>
      <c r="Q1501" s="2">
        <v>7.9</v>
      </c>
      <c r="R1501" s="2" t="s">
        <v>3445</v>
      </c>
      <c r="S1501" s="2"/>
      <c r="U1501" s="2" t="s">
        <v>3446</v>
      </c>
      <c r="V1501">
        <f ca="1" t="shared" si="45"/>
        <v>6.6</v>
      </c>
      <c r="AC1501" s="2"/>
      <c r="AD1501" t="str">
        <f>IFERROR(__xludf.DUMMYFUNCTION("""COMPUTED_VALUE"""),"Hot Pursuit ")</f>
        <v>Hot Pursuit </v>
      </c>
      <c r="AE1501">
        <f t="shared" si="46"/>
        <v>34506992</v>
      </c>
    </row>
    <row r="1502" customHeight="1" spans="1:31">
      <c r="A1502" s="2" t="s">
        <v>1494</v>
      </c>
      <c r="B1502" s="2">
        <v>111</v>
      </c>
      <c r="C1502" s="2">
        <v>76806312</v>
      </c>
      <c r="D1502" s="2" t="s">
        <v>607</v>
      </c>
      <c r="E1502" s="2" t="s">
        <v>40</v>
      </c>
      <c r="F1502" t="s">
        <v>17</v>
      </c>
      <c r="G1502" t="s">
        <v>14</v>
      </c>
      <c r="N1502" s="2" t="s">
        <v>18</v>
      </c>
      <c r="O1502" s="2" t="s">
        <v>19</v>
      </c>
      <c r="P1502" s="2">
        <v>30000000</v>
      </c>
      <c r="Q1502" s="2">
        <v>6.1</v>
      </c>
      <c r="R1502" s="2" t="s">
        <v>3447</v>
      </c>
      <c r="S1502" s="2"/>
      <c r="U1502" s="2" t="s">
        <v>3448</v>
      </c>
      <c r="V1502">
        <f ca="1" t="shared" si="45"/>
        <v>4.9</v>
      </c>
      <c r="AC1502" s="2"/>
      <c r="AD1502" t="str">
        <f>IFERROR(__xludf.DUMMYFUNCTION("""COMPUTED_VALUE"""),"The Four Feathers ")</f>
        <v>The Four Feathers </v>
      </c>
      <c r="AE1502">
        <f t="shared" si="46"/>
        <v>18306041</v>
      </c>
    </row>
    <row r="1503" customHeight="1" spans="1:31">
      <c r="A1503" s="2" t="s">
        <v>606</v>
      </c>
      <c r="B1503" s="2">
        <v>102</v>
      </c>
      <c r="C1503" s="2">
        <v>79566871</v>
      </c>
      <c r="D1503" s="2" t="s">
        <v>3449</v>
      </c>
      <c r="E1503" s="2" t="s">
        <v>40</v>
      </c>
      <c r="F1503" t="s">
        <v>30</v>
      </c>
      <c r="G1503" t="s">
        <v>30</v>
      </c>
      <c r="N1503" s="2" t="s">
        <v>18</v>
      </c>
      <c r="O1503" s="2" t="s">
        <v>19</v>
      </c>
      <c r="P1503" s="2">
        <v>30000000</v>
      </c>
      <c r="Q1503" s="2">
        <v>4.2</v>
      </c>
      <c r="R1503" s="2" t="s">
        <v>3450</v>
      </c>
      <c r="S1503" s="2"/>
      <c r="U1503" s="2" t="s">
        <v>3451</v>
      </c>
      <c r="V1503">
        <f ca="1" t="shared" si="45"/>
        <v>7.7</v>
      </c>
      <c r="AC1503" s="2"/>
      <c r="AD1503" t="str">
        <f>IFERROR(__xludf.DUMMYFUNCTION("""COMPUTED_VALUE"""),"Parker ")</f>
        <v>Parker </v>
      </c>
      <c r="AE1503">
        <f t="shared" si="46"/>
        <v>17609864</v>
      </c>
    </row>
    <row r="1504" customHeight="1" spans="1:31">
      <c r="A1504" s="2" t="s">
        <v>1792</v>
      </c>
      <c r="B1504" s="2">
        <v>78</v>
      </c>
      <c r="C1504" s="2">
        <v>76501438</v>
      </c>
      <c r="D1504" s="2" t="s">
        <v>740</v>
      </c>
      <c r="E1504" s="2" t="s">
        <v>13</v>
      </c>
      <c r="F1504" t="s">
        <v>30</v>
      </c>
      <c r="G1504" t="s">
        <v>83</v>
      </c>
      <c r="N1504" s="2" t="s">
        <v>18</v>
      </c>
      <c r="O1504" s="2" t="s">
        <v>293</v>
      </c>
      <c r="P1504" s="2">
        <v>30000000</v>
      </c>
      <c r="Q1504" s="2">
        <v>6.1</v>
      </c>
      <c r="R1504" s="2" t="s">
        <v>3452</v>
      </c>
      <c r="S1504" s="2"/>
      <c r="U1504" s="2" t="s">
        <v>3453</v>
      </c>
      <c r="V1504">
        <f ca="1" t="shared" si="45"/>
        <v>7.6</v>
      </c>
      <c r="AC1504" s="2"/>
      <c r="AD1504" t="str">
        <f>IFERROR(__xludf.DUMMYFUNCTION("""COMPUTED_VALUE"""),"Wimbledon ")</f>
        <v>Wimbledon </v>
      </c>
      <c r="AE1504">
        <f t="shared" si="46"/>
        <v>16831407</v>
      </c>
    </row>
    <row r="1505" customHeight="1" spans="1:31">
      <c r="A1505" s="2" t="s">
        <v>1467</v>
      </c>
      <c r="B1505" s="2">
        <v>132</v>
      </c>
      <c r="C1505" s="2">
        <v>74787599</v>
      </c>
      <c r="D1505" s="2" t="s">
        <v>103</v>
      </c>
      <c r="E1505" s="2" t="s">
        <v>30</v>
      </c>
      <c r="F1505" t="s">
        <v>72</v>
      </c>
      <c r="G1505" t="s">
        <v>55</v>
      </c>
      <c r="N1505" s="2" t="s">
        <v>18</v>
      </c>
      <c r="O1505" s="2" t="s">
        <v>19</v>
      </c>
      <c r="P1505" s="2">
        <v>30000000</v>
      </c>
      <c r="Q1505" s="2">
        <v>6.6</v>
      </c>
      <c r="R1505" s="2" t="s">
        <v>3454</v>
      </c>
      <c r="S1505" s="2"/>
      <c r="U1505" s="2" t="s">
        <v>3455</v>
      </c>
      <c r="V1505">
        <f ca="1" t="shared" si="45"/>
        <v>7.2</v>
      </c>
      <c r="AC1505" s="2"/>
      <c r="AD1505" t="str">
        <f>IFERROR(__xludf.DUMMYFUNCTION("""COMPUTED_VALUE"""),"Furry Vengeance ")</f>
        <v>Furry Vengeance </v>
      </c>
      <c r="AE1505">
        <f t="shared" si="46"/>
        <v>17596164</v>
      </c>
    </row>
    <row r="1506" customHeight="1" spans="1:31">
      <c r="A1506" s="2" t="s">
        <v>385</v>
      </c>
      <c r="B1506" s="2">
        <v>133</v>
      </c>
      <c r="C1506" s="2">
        <v>66528842</v>
      </c>
      <c r="D1506" s="2" t="s">
        <v>3240</v>
      </c>
      <c r="E1506" s="2" t="s">
        <v>30</v>
      </c>
      <c r="F1506" t="s">
        <v>56</v>
      </c>
      <c r="G1506" t="s">
        <v>83</v>
      </c>
      <c r="N1506" s="2" t="s">
        <v>18</v>
      </c>
      <c r="O1506" s="2" t="s">
        <v>19</v>
      </c>
      <c r="P1506" s="2">
        <v>30000000</v>
      </c>
      <c r="Q1506" s="2">
        <v>7.5</v>
      </c>
      <c r="R1506" s="2" t="s">
        <v>3456</v>
      </c>
      <c r="S1506" s="2"/>
      <c r="U1506" s="2" t="s">
        <v>3457</v>
      </c>
      <c r="V1506">
        <f ca="1" t="shared" si="45"/>
        <v>5.2</v>
      </c>
      <c r="AC1506" s="2"/>
      <c r="AD1506" t="str">
        <f>IFERROR(__xludf.DUMMYFUNCTION("""COMPUTED_VALUE"""),"Lions for Lambs ")</f>
        <v>Lions for Lambs </v>
      </c>
      <c r="AE1506">
        <f t="shared" si="46"/>
        <v>14997978</v>
      </c>
    </row>
    <row r="1507" customHeight="1" spans="1:31">
      <c r="A1507" s="2" t="s">
        <v>1794</v>
      </c>
      <c r="B1507" s="2">
        <v>108</v>
      </c>
      <c r="C1507" s="2">
        <v>83813460</v>
      </c>
      <c r="D1507" s="2" t="s">
        <v>103</v>
      </c>
      <c r="E1507" s="2" t="s">
        <v>30</v>
      </c>
      <c r="F1507" t="s">
        <v>56</v>
      </c>
      <c r="G1507" t="s">
        <v>17</v>
      </c>
      <c r="N1507" s="2" t="s">
        <v>18</v>
      </c>
      <c r="O1507" s="2" t="s">
        <v>19</v>
      </c>
      <c r="P1507" s="2">
        <v>25000000</v>
      </c>
      <c r="Q1507" s="2">
        <v>7.4</v>
      </c>
      <c r="R1507" s="2" t="s">
        <v>3458</v>
      </c>
      <c r="S1507" s="2"/>
      <c r="U1507" s="2" t="s">
        <v>3459</v>
      </c>
      <c r="V1507">
        <f ca="1" t="shared" si="45"/>
        <v>6.9</v>
      </c>
      <c r="AC1507" s="2"/>
      <c r="AD1507" t="str">
        <f>IFERROR(__xludf.DUMMYFUNCTION("""COMPUTED_VALUE"""),"Flight of the Intruder ")</f>
        <v>Flight of the Intruder </v>
      </c>
      <c r="AE1507">
        <f t="shared" si="46"/>
        <v>14587617</v>
      </c>
    </row>
    <row r="1508" customHeight="1" spans="1:31">
      <c r="A1508" s="2" t="s">
        <v>1796</v>
      </c>
      <c r="B1508" s="2">
        <v>125</v>
      </c>
      <c r="C1508" s="2">
        <v>65010106</v>
      </c>
      <c r="D1508" s="2" t="s">
        <v>975</v>
      </c>
      <c r="E1508" s="2" t="s">
        <v>40</v>
      </c>
      <c r="F1508" t="s">
        <v>13</v>
      </c>
      <c r="G1508" t="s">
        <v>30</v>
      </c>
      <c r="N1508" s="2" t="s">
        <v>18</v>
      </c>
      <c r="O1508" s="2" t="s">
        <v>19</v>
      </c>
      <c r="P1508" s="2">
        <v>30000000</v>
      </c>
      <c r="Q1508" s="2">
        <v>7.2</v>
      </c>
      <c r="R1508" s="2" t="s">
        <v>3460</v>
      </c>
      <c r="S1508" s="2"/>
      <c r="U1508" s="2" t="s">
        <v>3461</v>
      </c>
      <c r="V1508">
        <f ca="1" t="shared" si="45"/>
        <v>6.8</v>
      </c>
      <c r="AC1508" s="2"/>
      <c r="AD1508" t="str">
        <f>IFERROR(__xludf.DUMMYFUNCTION("""COMPUTED_VALUE"""),"Walk Hard: The Dewey Cox Story ")</f>
        <v>Walk Hard: The Dewey Cox Story </v>
      </c>
      <c r="AE1508">
        <f t="shared" si="46"/>
        <v>18317031</v>
      </c>
    </row>
    <row r="1509" customHeight="1" spans="1:31">
      <c r="A1509" s="2" t="s">
        <v>1799</v>
      </c>
      <c r="B1509" s="2">
        <v>98</v>
      </c>
      <c r="C1509" s="2">
        <v>66359959</v>
      </c>
      <c r="D1509" s="2" t="s">
        <v>3462</v>
      </c>
      <c r="E1509" s="2" t="s">
        <v>40</v>
      </c>
      <c r="F1509" t="s">
        <v>40</v>
      </c>
      <c r="G1509" t="s">
        <v>23</v>
      </c>
      <c r="N1509" s="2" t="s">
        <v>18</v>
      </c>
      <c r="O1509" s="2" t="s">
        <v>19</v>
      </c>
      <c r="P1509" s="2">
        <v>35000000</v>
      </c>
      <c r="Q1509" s="2">
        <v>6.9</v>
      </c>
      <c r="R1509" s="2" t="s">
        <v>3463</v>
      </c>
      <c r="S1509" s="2"/>
      <c r="U1509" s="2" t="s">
        <v>3464</v>
      </c>
      <c r="V1509">
        <f ca="1" t="shared" si="45"/>
        <v>5.96666666666667</v>
      </c>
      <c r="AC1509" s="2"/>
      <c r="AD1509" t="str">
        <f>IFERROR(__xludf.DUMMYFUNCTION("""COMPUTED_VALUE"""),"The Shipping News ")</f>
        <v>The Shipping News </v>
      </c>
      <c r="AE1509">
        <f t="shared" si="46"/>
        <v>11405714</v>
      </c>
    </row>
    <row r="1510" customHeight="1" spans="1:31">
      <c r="A1510" s="2" t="s">
        <v>1801</v>
      </c>
      <c r="B1510" s="2">
        <v>119</v>
      </c>
      <c r="C1510" s="2">
        <v>66468315</v>
      </c>
      <c r="D1510" s="2" t="s">
        <v>2277</v>
      </c>
      <c r="E1510" s="2" t="s">
        <v>12</v>
      </c>
      <c r="F1510" t="s">
        <v>30</v>
      </c>
      <c r="G1510" t="s">
        <v>55</v>
      </c>
      <c r="N1510" s="2" t="s">
        <v>18</v>
      </c>
      <c r="O1510" s="2" t="s">
        <v>19</v>
      </c>
      <c r="P1510" s="2">
        <v>30000000</v>
      </c>
      <c r="Q1510" s="2">
        <v>7.4</v>
      </c>
      <c r="R1510" s="2" t="s">
        <v>3465</v>
      </c>
      <c r="S1510" s="2"/>
      <c r="U1510" s="2" t="s">
        <v>3466</v>
      </c>
      <c r="V1510">
        <f ca="1" t="shared" si="45"/>
        <v>4.5</v>
      </c>
      <c r="AC1510" s="2"/>
      <c r="AD1510" t="str">
        <f>IFERROR(__xludf.DUMMYFUNCTION("""COMPUTED_VALUE"""),"American Outlaws ")</f>
        <v>American Outlaws </v>
      </c>
      <c r="AE1510">
        <f t="shared" si="46"/>
        <v>13264892</v>
      </c>
    </row>
    <row r="1511" customHeight="1" spans="1:31">
      <c r="A1511" s="2" t="s">
        <v>98</v>
      </c>
      <c r="B1511" s="2">
        <v>87</v>
      </c>
      <c r="C1511" s="2">
        <v>64172251</v>
      </c>
      <c r="D1511" s="2" t="s">
        <v>1086</v>
      </c>
      <c r="E1511" s="2" t="s">
        <v>40</v>
      </c>
      <c r="F1511" t="s">
        <v>30</v>
      </c>
      <c r="G1511" t="s">
        <v>23</v>
      </c>
      <c r="N1511" s="2" t="s">
        <v>18</v>
      </c>
      <c r="O1511" s="2" t="s">
        <v>19</v>
      </c>
      <c r="P1511" s="2">
        <v>30000000</v>
      </c>
      <c r="Q1511" s="2">
        <v>5.4</v>
      </c>
      <c r="R1511" s="2" t="s">
        <v>3467</v>
      </c>
      <c r="S1511" s="2"/>
      <c r="U1511" s="2" t="s">
        <v>3468</v>
      </c>
      <c r="V1511">
        <f ca="1" t="shared" si="45"/>
        <v>6.9</v>
      </c>
      <c r="AC1511" s="2"/>
      <c r="AD1511" t="str">
        <f>IFERROR(__xludf.DUMMYFUNCTION("""COMPUTED_VALUE"""),"The Young Victoria ")</f>
        <v>The Young Victoria </v>
      </c>
      <c r="AE1511">
        <f t="shared" si="46"/>
        <v>10991281</v>
      </c>
    </row>
    <row r="1512" customHeight="1" spans="1:31">
      <c r="A1512" s="2" t="s">
        <v>1803</v>
      </c>
      <c r="B1512" s="2">
        <v>91</v>
      </c>
      <c r="C1512" s="2">
        <v>66600000</v>
      </c>
      <c r="D1512" s="2" t="s">
        <v>1590</v>
      </c>
      <c r="E1512" s="2" t="s">
        <v>40</v>
      </c>
      <c r="F1512" t="s">
        <v>56</v>
      </c>
      <c r="G1512" t="s">
        <v>28</v>
      </c>
      <c r="N1512" s="2" t="s">
        <v>18</v>
      </c>
      <c r="O1512" s="2" t="s">
        <v>159</v>
      </c>
      <c r="P1512" s="2">
        <v>30000000</v>
      </c>
      <c r="Q1512" s="2">
        <v>6.8</v>
      </c>
      <c r="R1512" s="2" t="s">
        <v>3469</v>
      </c>
      <c r="S1512" s="2"/>
      <c r="U1512" s="2" t="s">
        <v>3470</v>
      </c>
      <c r="V1512">
        <f ca="1" t="shared" si="45"/>
        <v>7.7</v>
      </c>
      <c r="AC1512" s="2"/>
      <c r="AD1512" t="str">
        <f>IFERROR(__xludf.DUMMYFUNCTION("""COMPUTED_VALUE"""),"Whiteout ")</f>
        <v>Whiteout </v>
      </c>
      <c r="AE1512">
        <f t="shared" si="46"/>
        <v>10268745</v>
      </c>
    </row>
    <row r="1513" customHeight="1" spans="1:31">
      <c r="A1513" s="2" t="s">
        <v>1044</v>
      </c>
      <c r="B1513" s="2">
        <v>100</v>
      </c>
      <c r="C1513" s="2">
        <v>63536011</v>
      </c>
      <c r="D1513" s="2" t="s">
        <v>521</v>
      </c>
      <c r="E1513" s="2" t="s">
        <v>40</v>
      </c>
      <c r="F1513" t="s">
        <v>72</v>
      </c>
      <c r="G1513" t="s">
        <v>24</v>
      </c>
      <c r="N1513" s="2" t="s">
        <v>18</v>
      </c>
      <c r="O1513" s="2" t="s">
        <v>19</v>
      </c>
      <c r="P1513" s="2">
        <v>30000000</v>
      </c>
      <c r="Q1513" s="2">
        <v>6.3</v>
      </c>
      <c r="R1513" s="2" t="s">
        <v>3471</v>
      </c>
      <c r="S1513" s="2"/>
      <c r="U1513" s="2" t="s">
        <v>3472</v>
      </c>
      <c r="V1513">
        <f ca="1" t="shared" si="45"/>
        <v>5.3</v>
      </c>
      <c r="AC1513" s="2"/>
      <c r="AD1513" t="str">
        <f>IFERROR(__xludf.DUMMYFUNCTION("""COMPUTED_VALUE"""),"The Tree of Life ")</f>
        <v>The Tree of Life </v>
      </c>
      <c r="AE1513">
        <f t="shared" si="46"/>
        <v>13303180</v>
      </c>
    </row>
    <row r="1514" customHeight="1" spans="1:31">
      <c r="A1514" s="2" t="s">
        <v>1659</v>
      </c>
      <c r="B1514" s="2">
        <v>118</v>
      </c>
      <c r="C1514" s="2">
        <v>62877175</v>
      </c>
      <c r="D1514" s="2" t="s">
        <v>521</v>
      </c>
      <c r="E1514" s="2" t="s">
        <v>40</v>
      </c>
      <c r="F1514" t="s">
        <v>13</v>
      </c>
      <c r="G1514" t="s">
        <v>30</v>
      </c>
      <c r="N1514" s="2" t="s">
        <v>18</v>
      </c>
      <c r="O1514" s="2" t="s">
        <v>19</v>
      </c>
      <c r="P1514" s="2">
        <v>30000000</v>
      </c>
      <c r="Q1514" s="2">
        <v>7.2</v>
      </c>
      <c r="R1514" s="2" t="s">
        <v>3473</v>
      </c>
      <c r="S1514" s="2"/>
      <c r="U1514" s="2" t="s">
        <v>3474</v>
      </c>
      <c r="V1514">
        <f ca="1" t="shared" si="45"/>
        <v>7</v>
      </c>
      <c r="AC1514" s="2"/>
      <c r="AD1514" t="str">
        <f>IFERROR(__xludf.DUMMYFUNCTION("""COMPUTED_VALUE"""),"Knock Off ")</f>
        <v>Knock Off </v>
      </c>
      <c r="AE1514">
        <f t="shared" si="46"/>
        <v>10076045</v>
      </c>
    </row>
    <row r="1515" customHeight="1" spans="1:31">
      <c r="A1515" s="2" t="s">
        <v>859</v>
      </c>
      <c r="B1515" s="2">
        <v>109</v>
      </c>
      <c r="C1515" s="2">
        <v>74484168</v>
      </c>
      <c r="D1515" s="2" t="s">
        <v>915</v>
      </c>
      <c r="E1515" s="2" t="s">
        <v>12</v>
      </c>
      <c r="F1515" t="s">
        <v>30</v>
      </c>
      <c r="G1515" t="s">
        <v>30</v>
      </c>
      <c r="N1515" s="2" t="s">
        <v>18</v>
      </c>
      <c r="O1515" s="2" t="s">
        <v>19</v>
      </c>
      <c r="P1515" s="2">
        <v>45000000</v>
      </c>
      <c r="Q1515" s="2">
        <v>6.9</v>
      </c>
      <c r="R1515" s="2" t="s">
        <v>3475</v>
      </c>
      <c r="S1515" s="2"/>
      <c r="U1515" s="2" t="s">
        <v>3476</v>
      </c>
      <c r="V1515">
        <f ca="1" t="shared" si="45"/>
        <v>6.6</v>
      </c>
      <c r="AC1515" s="2"/>
      <c r="AD1515" t="str">
        <f>IFERROR(__xludf.DUMMYFUNCTION("""COMPUTED_VALUE"""),"Sabotage ")</f>
        <v>Sabotage </v>
      </c>
      <c r="AE1515">
        <f t="shared" si="46"/>
        <v>10499859</v>
      </c>
    </row>
    <row r="1516" customHeight="1" spans="1:31">
      <c r="A1516" s="2" t="s">
        <v>1806</v>
      </c>
      <c r="B1516" s="2">
        <v>99</v>
      </c>
      <c r="C1516" s="2">
        <v>60269340</v>
      </c>
      <c r="D1516" s="2" t="s">
        <v>607</v>
      </c>
      <c r="E1516" s="2" t="s">
        <v>40</v>
      </c>
      <c r="F1516" t="s">
        <v>72</v>
      </c>
      <c r="G1516" t="s">
        <v>24</v>
      </c>
      <c r="N1516" s="2" t="s">
        <v>18</v>
      </c>
      <c r="O1516" s="2" t="s">
        <v>19</v>
      </c>
      <c r="P1516" s="2">
        <v>30000000</v>
      </c>
      <c r="Q1516" s="2">
        <v>6</v>
      </c>
      <c r="R1516" s="2" t="s">
        <v>3477</v>
      </c>
      <c r="S1516" s="2"/>
      <c r="U1516" s="2" t="s">
        <v>3478</v>
      </c>
      <c r="V1516">
        <f ca="1" t="shared" si="45"/>
        <v>6.4</v>
      </c>
      <c r="AC1516" s="2"/>
      <c r="AD1516" t="str">
        <f>IFERROR(__xludf.DUMMYFUNCTION("""COMPUTED_VALUE"""),"The Order ")</f>
        <v>The Order </v>
      </c>
      <c r="AE1516">
        <f t="shared" si="46"/>
        <v>7659645</v>
      </c>
    </row>
    <row r="1517" customHeight="1" spans="1:31">
      <c r="A1517" s="2" t="s">
        <v>1809</v>
      </c>
      <c r="B1517" s="2">
        <v>114</v>
      </c>
      <c r="C1517" s="2">
        <v>60033780</v>
      </c>
      <c r="D1517" s="2" t="s">
        <v>103</v>
      </c>
      <c r="E1517" s="2" t="s">
        <v>30</v>
      </c>
      <c r="F1517" t="s">
        <v>17</v>
      </c>
      <c r="G1517" t="s">
        <v>17</v>
      </c>
      <c r="N1517" s="2" t="s">
        <v>18</v>
      </c>
      <c r="O1517" s="2" t="s">
        <v>19</v>
      </c>
      <c r="P1517" s="2">
        <v>30000000</v>
      </c>
      <c r="Q1517" s="2">
        <v>5.9</v>
      </c>
      <c r="R1517" s="2" t="s">
        <v>3479</v>
      </c>
      <c r="S1517" s="2"/>
      <c r="U1517" s="2" t="s">
        <v>3480</v>
      </c>
      <c r="V1517">
        <f ca="1" t="shared" si="45"/>
        <v>7.7</v>
      </c>
      <c r="AC1517" s="2"/>
      <c r="AD1517" t="str">
        <f>IFERROR(__xludf.DUMMYFUNCTION("""COMPUTED_VALUE"""),"Punisher: War Zone ")</f>
        <v>Punisher: War Zone </v>
      </c>
      <c r="AE1517">
        <f t="shared" si="46"/>
        <v>7948056</v>
      </c>
    </row>
    <row r="1518" customHeight="1" spans="1:31">
      <c r="A1518" s="2" t="s">
        <v>1811</v>
      </c>
      <c r="B1518" s="2">
        <v>89</v>
      </c>
      <c r="C1518" s="2">
        <v>58715510</v>
      </c>
      <c r="D1518" s="2" t="s">
        <v>607</v>
      </c>
      <c r="E1518" s="2" t="s">
        <v>40</v>
      </c>
      <c r="F1518" t="s">
        <v>28</v>
      </c>
      <c r="G1518" t="s">
        <v>14</v>
      </c>
      <c r="N1518" s="2" t="s">
        <v>18</v>
      </c>
      <c r="O1518" s="2" t="s">
        <v>19</v>
      </c>
      <c r="P1518" s="2">
        <v>30000000</v>
      </c>
      <c r="Q1518" s="2">
        <v>5.4</v>
      </c>
      <c r="R1518" s="2" t="s">
        <v>3481</v>
      </c>
      <c r="S1518" s="2"/>
      <c r="U1518" s="2" t="s">
        <v>3482</v>
      </c>
      <c r="V1518">
        <f ca="1" t="shared" si="45"/>
        <v>6.8</v>
      </c>
      <c r="AC1518" s="2"/>
      <c r="AD1518" t="str">
        <f>IFERROR(__xludf.DUMMYFUNCTION("""COMPUTED_VALUE"""),"Zoom ")</f>
        <v>Zoom </v>
      </c>
      <c r="AE1518">
        <f t="shared" si="46"/>
        <v>11631162</v>
      </c>
    </row>
    <row r="1519" customHeight="1" spans="1:31">
      <c r="A1519" s="2" t="s">
        <v>834</v>
      </c>
      <c r="B1519" s="2">
        <v>95</v>
      </c>
      <c r="C1519" s="2">
        <v>58156435</v>
      </c>
      <c r="D1519" s="2" t="s">
        <v>954</v>
      </c>
      <c r="E1519" s="2" t="s">
        <v>13</v>
      </c>
      <c r="F1519" t="s">
        <v>72</v>
      </c>
      <c r="G1519" t="s">
        <v>17</v>
      </c>
      <c r="N1519" s="2" t="s">
        <v>18</v>
      </c>
      <c r="O1519" s="2" t="s">
        <v>19</v>
      </c>
      <c r="P1519" s="2">
        <v>19000000</v>
      </c>
      <c r="Q1519" s="2">
        <v>5.9</v>
      </c>
      <c r="R1519" s="2" t="s">
        <v>3483</v>
      </c>
      <c r="S1519" s="2"/>
      <c r="U1519" s="2" t="s">
        <v>3484</v>
      </c>
      <c r="V1519">
        <f ca="1" t="shared" si="45"/>
        <v>7.55</v>
      </c>
      <c r="AC1519" s="2"/>
      <c r="AD1519" t="str">
        <f>IFERROR(__xludf.DUMMYFUNCTION("""COMPUTED_VALUE"""),"The Walk ")</f>
        <v>The Walk </v>
      </c>
      <c r="AE1519">
        <f t="shared" si="46"/>
        <v>10137379</v>
      </c>
    </row>
    <row r="1520" customHeight="1" spans="1:31">
      <c r="A1520" s="2" t="s">
        <v>1811</v>
      </c>
      <c r="B1520" s="2">
        <v>98</v>
      </c>
      <c r="C1520" s="2">
        <v>56044241</v>
      </c>
      <c r="D1520" s="2" t="s">
        <v>1456</v>
      </c>
      <c r="E1520" s="2" t="s">
        <v>40</v>
      </c>
      <c r="F1520" t="s">
        <v>30</v>
      </c>
      <c r="G1520" t="s">
        <v>24</v>
      </c>
      <c r="N1520" s="2" t="s">
        <v>18</v>
      </c>
      <c r="O1520" s="2" t="s">
        <v>19</v>
      </c>
      <c r="P1520" s="2">
        <v>37000000</v>
      </c>
      <c r="Q1520" s="2">
        <v>6.1</v>
      </c>
      <c r="R1520" s="2" t="s">
        <v>3485</v>
      </c>
      <c r="S1520" s="2"/>
      <c r="U1520" s="2" t="s">
        <v>3486</v>
      </c>
      <c r="V1520">
        <f ca="1" t="shared" si="45"/>
        <v>7</v>
      </c>
      <c r="AC1520" s="2"/>
      <c r="AD1520" t="str">
        <f>IFERROR(__xludf.DUMMYFUNCTION("""COMPUTED_VALUE"""),"Warriors of Virtue ")</f>
        <v>Warriors of Virtue </v>
      </c>
      <c r="AE1520">
        <f t="shared" si="46"/>
        <v>6448716</v>
      </c>
    </row>
    <row r="1521" customHeight="1" spans="1:31">
      <c r="A1521" s="2" t="s">
        <v>1814</v>
      </c>
      <c r="B1521" s="2">
        <v>94</v>
      </c>
      <c r="C1521" s="2">
        <v>56816662</v>
      </c>
      <c r="D1521" s="2" t="s">
        <v>1456</v>
      </c>
      <c r="E1521" s="2" t="s">
        <v>40</v>
      </c>
      <c r="F1521" t="s">
        <v>13</v>
      </c>
      <c r="G1521" t="s">
        <v>83</v>
      </c>
      <c r="N1521" s="2" t="s">
        <v>18</v>
      </c>
      <c r="O1521" s="2" t="s">
        <v>1431</v>
      </c>
      <c r="P1521" s="2">
        <v>17000000</v>
      </c>
      <c r="Q1521" s="2">
        <v>7.7</v>
      </c>
      <c r="R1521" s="2" t="s">
        <v>3487</v>
      </c>
      <c r="S1521" s="2"/>
      <c r="U1521" s="2" t="s">
        <v>3488</v>
      </c>
      <c r="V1521">
        <f ca="1" t="shared" si="45"/>
        <v>7.1</v>
      </c>
      <c r="AC1521" s="2"/>
      <c r="AD1521" t="str">
        <f>IFERROR(__xludf.DUMMYFUNCTION("""COMPUTED_VALUE"""),"A Good Year ")</f>
        <v>A Good Year </v>
      </c>
      <c r="AE1521">
        <f t="shared" si="46"/>
        <v>7458152</v>
      </c>
    </row>
    <row r="1522" customHeight="1" spans="1:31">
      <c r="A1522" s="2" t="s">
        <v>1817</v>
      </c>
      <c r="B1522" s="2">
        <v>85</v>
      </c>
      <c r="C1522" s="2">
        <v>64238770</v>
      </c>
      <c r="D1522" s="2" t="s">
        <v>189</v>
      </c>
      <c r="E1522" s="2" t="s">
        <v>13</v>
      </c>
      <c r="F1522" t="s">
        <v>14</v>
      </c>
      <c r="G1522" t="s">
        <v>28</v>
      </c>
      <c r="N1522" s="2" t="s">
        <v>18</v>
      </c>
      <c r="O1522" s="2" t="s">
        <v>121</v>
      </c>
      <c r="P1522" s="2">
        <v>42000000</v>
      </c>
      <c r="Q1522" s="2">
        <v>5.8</v>
      </c>
      <c r="R1522" s="2" t="s">
        <v>3489</v>
      </c>
      <c r="S1522" s="2"/>
      <c r="U1522" s="2" t="s">
        <v>3490</v>
      </c>
      <c r="V1522">
        <f ca="1" t="shared" si="45"/>
        <v>5.85</v>
      </c>
      <c r="AC1522" s="2"/>
      <c r="AD1522" t="str">
        <f>IFERROR(__xludf.DUMMYFUNCTION("""COMPUTED_VALUE"""),"Radio Flyer ")</f>
        <v>Radio Flyer </v>
      </c>
      <c r="AE1522">
        <f t="shared" si="46"/>
        <v>4651863</v>
      </c>
    </row>
    <row r="1523" customHeight="1" spans="1:31">
      <c r="A1523" s="2" t="s">
        <v>1819</v>
      </c>
      <c r="B1523" s="2">
        <v>124</v>
      </c>
      <c r="C1523" s="2">
        <v>52937130</v>
      </c>
      <c r="D1523" s="2" t="s">
        <v>625</v>
      </c>
      <c r="E1523" s="2" t="s">
        <v>59</v>
      </c>
      <c r="F1523" t="s">
        <v>13</v>
      </c>
      <c r="G1523" t="s">
        <v>55</v>
      </c>
      <c r="N1523" s="2" t="s">
        <v>18</v>
      </c>
      <c r="O1523" s="2" t="s">
        <v>19</v>
      </c>
      <c r="P1523" s="2">
        <v>30000000</v>
      </c>
      <c r="Q1523" s="2">
        <v>7.6</v>
      </c>
      <c r="R1523" s="2" t="s">
        <v>3491</v>
      </c>
      <c r="S1523" s="2"/>
      <c r="U1523" s="2" t="s">
        <v>3492</v>
      </c>
      <c r="V1523">
        <f ca="1" t="shared" si="45"/>
        <v>5.35</v>
      </c>
      <c r="AC1523" s="2"/>
      <c r="AD1523" t="str">
        <f>IFERROR(__xludf.DUMMYFUNCTION("""COMPUTED_VALUE"""),"Blood In, Blood Out ")</f>
        <v>Blood In, Blood Out </v>
      </c>
      <c r="AE1523">
        <f t="shared" si="46"/>
        <v>4496253</v>
      </c>
    </row>
    <row r="1524" customHeight="1" spans="1:31">
      <c r="A1524" s="2" t="s">
        <v>1612</v>
      </c>
      <c r="B1524" s="2">
        <v>131</v>
      </c>
      <c r="C1524" s="2">
        <v>52799004</v>
      </c>
      <c r="D1524" s="2" t="s">
        <v>103</v>
      </c>
      <c r="E1524" s="2" t="s">
        <v>30</v>
      </c>
      <c r="F1524" t="s">
        <v>56</v>
      </c>
      <c r="G1524" t="s">
        <v>30</v>
      </c>
      <c r="N1524" s="2" t="s">
        <v>18</v>
      </c>
      <c r="O1524" s="2" t="s">
        <v>19</v>
      </c>
      <c r="P1524" s="2">
        <v>55000000</v>
      </c>
      <c r="Q1524" s="2">
        <v>6.1</v>
      </c>
      <c r="R1524" s="2" t="s">
        <v>3493</v>
      </c>
      <c r="S1524" s="2"/>
      <c r="U1524" s="2" t="s">
        <v>3494</v>
      </c>
      <c r="V1524">
        <f ca="1" t="shared" si="45"/>
        <v>7.1</v>
      </c>
      <c r="AC1524" s="2"/>
      <c r="AD1524" t="str">
        <f>IFERROR(__xludf.DUMMYFUNCTION("""COMPUTED_VALUE"""),"Smilla's Sense of Snow ")</f>
        <v>Smilla's Sense of Snow </v>
      </c>
      <c r="AE1524">
        <f t="shared" si="46"/>
        <v>2221873</v>
      </c>
    </row>
    <row r="1525" customHeight="1" spans="1:31">
      <c r="A1525" s="2" t="s">
        <v>1822</v>
      </c>
      <c r="B1525" s="2">
        <v>107</v>
      </c>
      <c r="C1525" s="2">
        <v>55210049</v>
      </c>
      <c r="D1525" s="2" t="s">
        <v>108</v>
      </c>
      <c r="E1525" s="2" t="s">
        <v>12</v>
      </c>
      <c r="F1525" t="s">
        <v>72</v>
      </c>
      <c r="G1525" t="s">
        <v>28</v>
      </c>
      <c r="N1525" s="2" t="s">
        <v>18</v>
      </c>
      <c r="O1525" s="2" t="s">
        <v>19</v>
      </c>
      <c r="P1525" s="2">
        <v>27800000</v>
      </c>
      <c r="Q1525" s="2">
        <v>5.4</v>
      </c>
      <c r="R1525" s="2" t="s">
        <v>3495</v>
      </c>
      <c r="S1525" s="2"/>
      <c r="U1525" s="2" t="s">
        <v>3496</v>
      </c>
      <c r="V1525">
        <f ca="1" t="shared" si="45"/>
        <v>6.2</v>
      </c>
      <c r="AC1525" s="2"/>
      <c r="AD1525" t="str">
        <f>IFERROR(__xludf.DUMMYFUNCTION("""COMPUTED_VALUE"""),"Femme Fatale ")</f>
        <v>Femme Fatale </v>
      </c>
      <c r="AE1525">
        <f t="shared" si="46"/>
        <v>6591989</v>
      </c>
    </row>
    <row r="1526" customHeight="1" spans="1:31">
      <c r="A1526" s="2" t="s">
        <v>1422</v>
      </c>
      <c r="B1526" s="2">
        <v>99</v>
      </c>
      <c r="C1526" s="2">
        <v>51432423</v>
      </c>
      <c r="D1526" s="2" t="s">
        <v>3497</v>
      </c>
      <c r="E1526" s="2" t="s">
        <v>40</v>
      </c>
      <c r="F1526" t="s">
        <v>17</v>
      </c>
      <c r="G1526" t="s">
        <v>83</v>
      </c>
      <c r="N1526" s="2" t="s">
        <v>18</v>
      </c>
      <c r="O1526" s="2" t="s">
        <v>19</v>
      </c>
      <c r="P1526" s="2">
        <v>30000000</v>
      </c>
      <c r="Q1526" s="2">
        <v>5.1</v>
      </c>
      <c r="R1526" s="2" t="s">
        <v>3498</v>
      </c>
      <c r="S1526" s="2"/>
      <c r="U1526" s="2" t="s">
        <v>3499</v>
      </c>
      <c r="V1526">
        <f ca="1" t="shared" si="45"/>
        <v>6.1</v>
      </c>
      <c r="AC1526" s="2"/>
      <c r="AD1526" t="str">
        <f>IFERROR(__xludf.DUMMYFUNCTION("""COMPUTED_VALUE"""),"Ride with the Devil ")</f>
        <v>Ride with the Devil </v>
      </c>
      <c r="AE1526">
        <f t="shared" si="46"/>
        <v>630631</v>
      </c>
    </row>
    <row r="1527" customHeight="1" spans="1:31">
      <c r="A1527" s="2" t="s">
        <v>781</v>
      </c>
      <c r="B1527" s="2">
        <v>83</v>
      </c>
      <c r="C1527" s="2">
        <v>51109400</v>
      </c>
      <c r="D1527" s="2" t="s">
        <v>383</v>
      </c>
      <c r="E1527" s="2" t="s">
        <v>40</v>
      </c>
      <c r="F1527" t="s">
        <v>40</v>
      </c>
      <c r="G1527" t="s">
        <v>24</v>
      </c>
      <c r="N1527" s="2" t="s">
        <v>18</v>
      </c>
      <c r="O1527" s="2" t="s">
        <v>19</v>
      </c>
      <c r="P1527" s="2">
        <v>30000000</v>
      </c>
      <c r="Q1527" s="2">
        <v>6.4</v>
      </c>
      <c r="R1527" s="2" t="s">
        <v>3500</v>
      </c>
      <c r="S1527" s="2"/>
      <c r="U1527" s="2" t="s">
        <v>3501</v>
      </c>
      <c r="V1527">
        <f ca="1" t="shared" ref="V1527:V1590" si="47">AVERAGEIF(A1411:A5196,U1527,Q1412:Q5196)</f>
        <v>7.5</v>
      </c>
      <c r="AC1527" s="2"/>
      <c r="AD1527" t="str">
        <f>IFERROR(__xludf.DUMMYFUNCTION("""COMPUTED_VALUE"""),"The Maze Runner ")</f>
        <v>The Maze Runner </v>
      </c>
      <c r="AE1527">
        <f t="shared" ref="AE1527:AE1590" si="48">C1411-B1411</f>
        <v>102413493</v>
      </c>
    </row>
    <row r="1528" customHeight="1" spans="1:31">
      <c r="A1528" s="2" t="s">
        <v>1472</v>
      </c>
      <c r="B1528" s="2">
        <v>131</v>
      </c>
      <c r="C1528" s="2">
        <v>50300000</v>
      </c>
      <c r="D1528" s="2" t="s">
        <v>27</v>
      </c>
      <c r="E1528" s="2" t="s">
        <v>12</v>
      </c>
      <c r="F1528" t="s">
        <v>14</v>
      </c>
      <c r="G1528" t="s">
        <v>17</v>
      </c>
      <c r="N1528" s="2" t="s">
        <v>18</v>
      </c>
      <c r="O1528" s="2" t="s">
        <v>31</v>
      </c>
      <c r="P1528" s="2">
        <v>30000000</v>
      </c>
      <c r="Q1528" s="2">
        <v>6.3</v>
      </c>
      <c r="R1528" s="2" t="s">
        <v>3502</v>
      </c>
      <c r="S1528" s="2"/>
      <c r="U1528" s="2" t="s">
        <v>3503</v>
      </c>
      <c r="V1528">
        <f ca="1" t="shared" si="47"/>
        <v>7.4</v>
      </c>
      <c r="AC1528" s="2"/>
      <c r="AD1528" t="str">
        <f>IFERROR(__xludf.DUMMYFUNCTION("""COMPUTED_VALUE"""),"Unfinished Business ")</f>
        <v>Unfinished Business </v>
      </c>
      <c r="AE1528">
        <f t="shared" si="48"/>
        <v>10213922</v>
      </c>
    </row>
    <row r="1529" customHeight="1" spans="1:31">
      <c r="A1529" s="2" t="s">
        <v>1825</v>
      </c>
      <c r="B1529" s="2">
        <v>85</v>
      </c>
      <c r="C1529" s="2">
        <v>56068547</v>
      </c>
      <c r="D1529" s="2" t="s">
        <v>3504</v>
      </c>
      <c r="E1529" s="2" t="s">
        <v>35</v>
      </c>
      <c r="F1529" t="s">
        <v>24</v>
      </c>
      <c r="G1529" t="s">
        <v>17</v>
      </c>
      <c r="N1529" s="2" t="s">
        <v>18</v>
      </c>
      <c r="O1529" s="2" t="s">
        <v>31</v>
      </c>
      <c r="P1529" s="2">
        <v>30000000</v>
      </c>
      <c r="Q1529" s="2">
        <v>7.5</v>
      </c>
      <c r="R1529" s="2" t="s">
        <v>3505</v>
      </c>
      <c r="S1529" s="2"/>
      <c r="U1529" s="2" t="s">
        <v>3506</v>
      </c>
      <c r="V1529">
        <f ca="1" t="shared" si="47"/>
        <v>7.3</v>
      </c>
      <c r="AC1529" s="2"/>
      <c r="AD1529" t="str">
        <f>IFERROR(__xludf.DUMMYFUNCTION("""COMPUTED_VALUE"""),"The Age of Innocence ")</f>
        <v>The Age of Innocence </v>
      </c>
      <c r="AE1529">
        <f t="shared" si="48"/>
        <v>31999861</v>
      </c>
    </row>
    <row r="1530" customHeight="1" spans="1:31">
      <c r="A1530" s="2" t="s">
        <v>1356</v>
      </c>
      <c r="B1530" s="2">
        <v>126</v>
      </c>
      <c r="C1530" s="2">
        <v>53680848</v>
      </c>
      <c r="D1530" s="2" t="s">
        <v>103</v>
      </c>
      <c r="E1530" s="2" t="s">
        <v>30</v>
      </c>
      <c r="F1530" t="s">
        <v>56</v>
      </c>
      <c r="G1530" t="s">
        <v>17</v>
      </c>
      <c r="N1530" s="2" t="s">
        <v>18</v>
      </c>
      <c r="O1530" s="2" t="s">
        <v>19</v>
      </c>
      <c r="P1530" s="2">
        <v>30000000</v>
      </c>
      <c r="Q1530" s="2">
        <v>7.1</v>
      </c>
      <c r="R1530" s="2" t="s">
        <v>3507</v>
      </c>
      <c r="S1530" s="2"/>
      <c r="U1530" s="2" t="s">
        <v>3508</v>
      </c>
      <c r="V1530">
        <f ca="1" t="shared" si="47"/>
        <v>8</v>
      </c>
      <c r="AC1530" s="2"/>
      <c r="AD1530" t="str">
        <f>IFERROR(__xludf.DUMMYFUNCTION("""COMPUTED_VALUE"""),"The Fountain ")</f>
        <v>The Fountain </v>
      </c>
      <c r="AE1530">
        <f t="shared" si="48"/>
        <v>10139158</v>
      </c>
    </row>
    <row r="1531" customHeight="1" spans="1:31">
      <c r="A1531" s="2" t="s">
        <v>361</v>
      </c>
      <c r="B1531" s="2">
        <v>123</v>
      </c>
      <c r="C1531" s="2">
        <v>50921738</v>
      </c>
      <c r="D1531" s="2" t="s">
        <v>1972</v>
      </c>
      <c r="E1531" s="2" t="s">
        <v>30</v>
      </c>
      <c r="F1531" t="s">
        <v>55</v>
      </c>
      <c r="G1531" t="s">
        <v>30</v>
      </c>
      <c r="N1531" s="2" t="s">
        <v>18</v>
      </c>
      <c r="O1531" s="2" t="s">
        <v>31</v>
      </c>
      <c r="P1531" s="2">
        <v>30000000</v>
      </c>
      <c r="Q1531" s="2">
        <v>7.8</v>
      </c>
      <c r="R1531" s="2" t="s">
        <v>3509</v>
      </c>
      <c r="S1531" s="2"/>
      <c r="U1531" s="2" t="s">
        <v>3510</v>
      </c>
      <c r="V1531">
        <f ca="1" t="shared" si="47"/>
        <v>5.5</v>
      </c>
      <c r="AC1531" s="2"/>
      <c r="AD1531" t="str">
        <f>IFERROR(__xludf.DUMMYFUNCTION("""COMPUTED_VALUE"""),"Chill Factor ")</f>
        <v>Chill Factor </v>
      </c>
      <c r="AE1531">
        <f t="shared" si="48"/>
        <v>11227838</v>
      </c>
    </row>
    <row r="1532" customHeight="1" spans="1:31">
      <c r="A1532" s="2" t="s">
        <v>1811</v>
      </c>
      <c r="B1532" s="2">
        <v>105</v>
      </c>
      <c r="C1532" s="2">
        <v>53021560</v>
      </c>
      <c r="D1532" s="2" t="s">
        <v>521</v>
      </c>
      <c r="E1532" s="2" t="s">
        <v>40</v>
      </c>
      <c r="F1532" t="s">
        <v>30</v>
      </c>
      <c r="G1532" t="s">
        <v>15</v>
      </c>
      <c r="N1532" s="2" t="s">
        <v>18</v>
      </c>
      <c r="O1532" s="2" t="s">
        <v>19</v>
      </c>
      <c r="P1532" s="2">
        <v>30000000</v>
      </c>
      <c r="Q1532" s="2">
        <v>6.5</v>
      </c>
      <c r="R1532" s="2" t="s">
        <v>3511</v>
      </c>
      <c r="S1532" s="2"/>
      <c r="U1532" s="2" t="s">
        <v>3512</v>
      </c>
      <c r="V1532">
        <f ca="1" t="shared" si="47"/>
        <v>5.9</v>
      </c>
      <c r="AC1532" s="2"/>
      <c r="AD1532" t="str">
        <f>IFERROR(__xludf.DUMMYFUNCTION("""COMPUTED_VALUE"""),"Stolen ")</f>
        <v>Stolen </v>
      </c>
      <c r="AE1532">
        <f t="shared" si="48"/>
        <v>183029</v>
      </c>
    </row>
    <row r="1533" customHeight="1" spans="1:31">
      <c r="A1533" s="2" t="s">
        <v>94</v>
      </c>
      <c r="B1533" s="2">
        <v>125</v>
      </c>
      <c r="C1533" s="2">
        <v>45645204</v>
      </c>
      <c r="D1533" s="2" t="s">
        <v>150</v>
      </c>
      <c r="E1533" s="2" t="s">
        <v>12</v>
      </c>
      <c r="F1533" t="s">
        <v>56</v>
      </c>
      <c r="G1533" t="s">
        <v>23</v>
      </c>
      <c r="N1533" s="2" t="s">
        <v>18</v>
      </c>
      <c r="O1533" s="2" t="s">
        <v>19</v>
      </c>
      <c r="P1533" s="2">
        <v>30000000</v>
      </c>
      <c r="Q1533" s="2">
        <v>6.6</v>
      </c>
      <c r="R1533" s="2" t="s">
        <v>3513</v>
      </c>
      <c r="S1533" s="2"/>
      <c r="U1533" s="2" t="s">
        <v>3514</v>
      </c>
      <c r="V1533">
        <f ca="1" t="shared" si="47"/>
        <v>6.7</v>
      </c>
      <c r="AC1533" s="2"/>
      <c r="AD1533" t="str">
        <f>IFERROR(__xludf.DUMMYFUNCTION("""COMPUTED_VALUE"""),"Ponyo ")</f>
        <v>Ponyo </v>
      </c>
      <c r="AE1533">
        <f t="shared" si="48"/>
        <v>15081682</v>
      </c>
    </row>
    <row r="1534" customHeight="1" spans="1:31">
      <c r="A1534" s="2" t="s">
        <v>117</v>
      </c>
      <c r="B1534" s="2">
        <v>77</v>
      </c>
      <c r="C1534" s="2">
        <v>53337608</v>
      </c>
      <c r="D1534" s="2" t="s">
        <v>3515</v>
      </c>
      <c r="E1534" s="2" t="s">
        <v>35</v>
      </c>
      <c r="F1534" t="s">
        <v>17</v>
      </c>
      <c r="G1534" t="s">
        <v>15</v>
      </c>
      <c r="N1534" s="2" t="s">
        <v>18</v>
      </c>
      <c r="O1534" s="2" t="s">
        <v>19</v>
      </c>
      <c r="P1534" s="2">
        <v>40000000</v>
      </c>
      <c r="Q1534" s="2">
        <v>7.4</v>
      </c>
      <c r="R1534" s="2" t="s">
        <v>3516</v>
      </c>
      <c r="S1534" s="2"/>
      <c r="U1534" s="2" t="s">
        <v>3517</v>
      </c>
      <c r="V1534">
        <f ca="1" t="shared" si="47"/>
        <v>5.4</v>
      </c>
      <c r="AC1534" s="2"/>
      <c r="AD1534" t="str">
        <f>IFERROR(__xludf.DUMMYFUNCTION("""COMPUTED_VALUE"""),"The Longest Ride ")</f>
        <v>The Longest Ride </v>
      </c>
      <c r="AE1534">
        <f t="shared" si="48"/>
        <v>37432171</v>
      </c>
    </row>
    <row r="1535" customHeight="1" spans="1:31">
      <c r="A1535" s="2" t="s">
        <v>1388</v>
      </c>
      <c r="B1535" s="2">
        <v>121</v>
      </c>
      <c r="C1535" s="2">
        <v>46875468</v>
      </c>
      <c r="D1535" s="2" t="s">
        <v>915</v>
      </c>
      <c r="E1535" s="2" t="s">
        <v>12</v>
      </c>
      <c r="F1535" t="s">
        <v>56</v>
      </c>
      <c r="G1535" t="s">
        <v>23</v>
      </c>
      <c r="N1535" s="2" t="s">
        <v>18</v>
      </c>
      <c r="O1535" s="2" t="s">
        <v>19</v>
      </c>
      <c r="P1535" s="2">
        <v>30000000</v>
      </c>
      <c r="Q1535" s="2">
        <v>7.6</v>
      </c>
      <c r="R1535" s="2" t="s">
        <v>3518</v>
      </c>
      <c r="S1535" s="2"/>
      <c r="U1535" s="2" t="s">
        <v>3519</v>
      </c>
      <c r="V1535">
        <f ca="1" t="shared" si="47"/>
        <v>8.1</v>
      </c>
      <c r="AC1535" s="2"/>
      <c r="AD1535" t="str">
        <f>IFERROR(__xludf.DUMMYFUNCTION("""COMPUTED_VALUE"""),"The Astronaut's Wife ")</f>
        <v>The Astronaut's Wife </v>
      </c>
      <c r="AE1535">
        <f t="shared" si="48"/>
        <v>10654472</v>
      </c>
    </row>
    <row r="1536" customHeight="1" spans="1:31">
      <c r="A1536" s="2" t="s">
        <v>881</v>
      </c>
      <c r="B1536" s="2">
        <v>124</v>
      </c>
      <c r="C1536" s="2">
        <v>52418902</v>
      </c>
      <c r="D1536" s="2" t="s">
        <v>1527</v>
      </c>
      <c r="E1536" s="2" t="s">
        <v>30</v>
      </c>
      <c r="F1536" t="s">
        <v>30</v>
      </c>
      <c r="G1536" t="s">
        <v>30</v>
      </c>
      <c r="N1536" s="2" t="s">
        <v>18</v>
      </c>
      <c r="O1536" s="2" t="s">
        <v>19</v>
      </c>
      <c r="P1536" s="2">
        <v>30000000</v>
      </c>
      <c r="Q1536" s="2">
        <v>7.5</v>
      </c>
      <c r="R1536" s="2" t="s">
        <v>3520</v>
      </c>
      <c r="S1536" s="2"/>
      <c r="U1536" s="2" t="s">
        <v>3521</v>
      </c>
      <c r="V1536">
        <f ca="1" t="shared" si="47"/>
        <v>6.8</v>
      </c>
      <c r="AC1536" s="2"/>
      <c r="AD1536" t="str">
        <f>IFERROR(__xludf.DUMMYFUNCTION("""COMPUTED_VALUE"""),"I Dreamed of Africa ")</f>
        <v>I Dreamed of Africa </v>
      </c>
      <c r="AE1536">
        <f t="shared" si="48"/>
        <v>6543080</v>
      </c>
    </row>
    <row r="1537" customHeight="1" spans="1:31">
      <c r="A1537" s="2" t="s">
        <v>50</v>
      </c>
      <c r="B1537" s="2">
        <v>99</v>
      </c>
      <c r="C1537" s="2">
        <v>42057340</v>
      </c>
      <c r="D1537" s="2" t="s">
        <v>2781</v>
      </c>
      <c r="E1537" s="2" t="s">
        <v>72</v>
      </c>
      <c r="F1537" t="s">
        <v>30</v>
      </c>
      <c r="G1537" t="s">
        <v>40</v>
      </c>
      <c r="N1537" s="2" t="s">
        <v>18</v>
      </c>
      <c r="O1537" s="2" t="s">
        <v>19</v>
      </c>
      <c r="P1537" s="2">
        <v>30000000</v>
      </c>
      <c r="Q1537" s="2">
        <v>6.6</v>
      </c>
      <c r="R1537" s="2" t="s">
        <v>3522</v>
      </c>
      <c r="S1537" s="2"/>
      <c r="U1537" s="2" t="s">
        <v>3523</v>
      </c>
      <c r="V1537">
        <f ca="1" t="shared" si="47"/>
        <v>7.7</v>
      </c>
      <c r="AC1537" s="2"/>
      <c r="AD1537" t="str">
        <f>IFERROR(__xludf.DUMMYFUNCTION("""COMPUTED_VALUE"""),"Playing for Keeps ")</f>
        <v>Playing for Keeps </v>
      </c>
      <c r="AE1537">
        <f t="shared" si="48"/>
        <v>13101037</v>
      </c>
    </row>
    <row r="1538" customHeight="1" spans="1:31">
      <c r="A1538" s="2" t="s">
        <v>1828</v>
      </c>
      <c r="B1538" s="2">
        <v>112</v>
      </c>
      <c r="C1538" s="2">
        <v>42478175</v>
      </c>
      <c r="D1538" s="2" t="s">
        <v>266</v>
      </c>
      <c r="E1538" s="2" t="s">
        <v>30</v>
      </c>
      <c r="F1538" t="s">
        <v>13</v>
      </c>
      <c r="G1538" t="s">
        <v>72</v>
      </c>
      <c r="N1538" s="2" t="s">
        <v>18</v>
      </c>
      <c r="O1538" s="2" t="s">
        <v>19</v>
      </c>
      <c r="P1538" s="2">
        <v>25000000</v>
      </c>
      <c r="Q1538" s="2">
        <v>7.2</v>
      </c>
      <c r="R1538" s="2" t="s">
        <v>3524</v>
      </c>
      <c r="S1538" s="2"/>
      <c r="U1538" s="2" t="s">
        <v>3525</v>
      </c>
      <c r="V1538">
        <f ca="1" t="shared" si="47"/>
        <v>7.3</v>
      </c>
      <c r="AC1538" s="2"/>
      <c r="AD1538" t="str">
        <f>IFERROR(__xludf.DUMMYFUNCTION("""COMPUTED_VALUE"""),"Mandela: Long Walk to Freedom ")</f>
        <v>Mandela: Long Walk to Freedom </v>
      </c>
      <c r="AE1538">
        <f t="shared" si="48"/>
        <v>8324607</v>
      </c>
    </row>
    <row r="1539" customHeight="1" spans="1:31">
      <c r="A1539" s="2" t="s">
        <v>1830</v>
      </c>
      <c r="B1539" s="2">
        <v>111</v>
      </c>
      <c r="C1539" s="2">
        <v>41407470</v>
      </c>
      <c r="D1539" s="2" t="s">
        <v>1590</v>
      </c>
      <c r="E1539" s="2" t="s">
        <v>40</v>
      </c>
      <c r="F1539" t="s">
        <v>56</v>
      </c>
      <c r="G1539" t="s">
        <v>14</v>
      </c>
      <c r="N1539" s="2" t="s">
        <v>18</v>
      </c>
      <c r="O1539" s="2" t="s">
        <v>19</v>
      </c>
      <c r="P1539" s="2">
        <v>30000000</v>
      </c>
      <c r="Q1539" s="2">
        <v>7.6</v>
      </c>
      <c r="R1539" s="2" t="s">
        <v>3526</v>
      </c>
      <c r="S1539" s="2"/>
      <c r="U1539" s="2" t="s">
        <v>3527</v>
      </c>
      <c r="V1539">
        <f ca="1" t="shared" si="47"/>
        <v>5.9</v>
      </c>
      <c r="AC1539" s="2"/>
      <c r="AD1539" t="str">
        <f>IFERROR(__xludf.DUMMYFUNCTION("""COMPUTED_VALUE"""),"A Few Good Men ")</f>
        <v>A Few Good Men </v>
      </c>
      <c r="AE1539">
        <f t="shared" si="48"/>
        <v>141340040</v>
      </c>
    </row>
    <row r="1540" customHeight="1" spans="1:31">
      <c r="A1540" s="2" t="s">
        <v>403</v>
      </c>
      <c r="B1540" s="2">
        <v>107</v>
      </c>
      <c r="C1540" s="2">
        <v>42385520</v>
      </c>
      <c r="D1540" s="2" t="s">
        <v>3280</v>
      </c>
      <c r="E1540" s="2" t="s">
        <v>30</v>
      </c>
      <c r="F1540" t="s">
        <v>13</v>
      </c>
      <c r="G1540" t="s">
        <v>30</v>
      </c>
      <c r="N1540" s="2" t="s">
        <v>18</v>
      </c>
      <c r="O1540" s="2" t="s">
        <v>19</v>
      </c>
      <c r="P1540" s="2">
        <v>30000000</v>
      </c>
      <c r="Q1540" s="2">
        <v>6.2</v>
      </c>
      <c r="R1540" s="2" t="s">
        <v>3528</v>
      </c>
      <c r="S1540" s="2"/>
      <c r="U1540" s="2" t="s">
        <v>3529</v>
      </c>
      <c r="V1540">
        <f ca="1" t="shared" si="47"/>
        <v>8.7</v>
      </c>
      <c r="AC1540" s="2"/>
      <c r="AD1540" t="str">
        <f>IFERROR(__xludf.DUMMYFUNCTION("""COMPUTED_VALUE"""),"Exit Wounds ")</f>
        <v>Exit Wounds </v>
      </c>
      <c r="AE1540">
        <f t="shared" si="48"/>
        <v>51758498</v>
      </c>
    </row>
    <row r="1541" customHeight="1" spans="1:31">
      <c r="A1541" s="2" t="s">
        <v>1342</v>
      </c>
      <c r="B1541" s="2">
        <v>104</v>
      </c>
      <c r="C1541" s="2">
        <v>40118420</v>
      </c>
      <c r="D1541" s="2" t="s">
        <v>2015</v>
      </c>
      <c r="E1541" s="2" t="s">
        <v>30</v>
      </c>
      <c r="F1541" t="s">
        <v>59</v>
      </c>
      <c r="G1541" t="s">
        <v>28</v>
      </c>
      <c r="N1541" s="2" t="s">
        <v>18</v>
      </c>
      <c r="O1541" s="2" t="s">
        <v>19</v>
      </c>
      <c r="P1541" s="2">
        <v>30000000</v>
      </c>
      <c r="Q1541" s="2">
        <v>5.6</v>
      </c>
      <c r="R1541" s="2" t="s">
        <v>3530</v>
      </c>
      <c r="S1541" s="2"/>
      <c r="U1541" s="2" t="s">
        <v>3531</v>
      </c>
      <c r="V1541">
        <f ca="1" t="shared" si="47"/>
        <v>6.1</v>
      </c>
      <c r="AC1541" s="2"/>
      <c r="AD1541" t="str">
        <f>IFERROR(__xludf.DUMMYFUNCTION("""COMPUTED_VALUE"""),"Big Momma's House ")</f>
        <v>Big Momma's House </v>
      </c>
      <c r="AE1541">
        <f t="shared" si="48"/>
        <v>117559339</v>
      </c>
    </row>
    <row r="1542" customHeight="1" spans="1:31">
      <c r="A1542" s="2" t="s">
        <v>69</v>
      </c>
      <c r="B1542" s="2">
        <v>113</v>
      </c>
      <c r="C1542" s="2">
        <v>40137776</v>
      </c>
      <c r="D1542" s="2" t="s">
        <v>959</v>
      </c>
      <c r="E1542" s="2" t="s">
        <v>40</v>
      </c>
      <c r="F1542" t="s">
        <v>83</v>
      </c>
      <c r="G1542" t="s">
        <v>24</v>
      </c>
      <c r="N1542" s="2" t="s">
        <v>18</v>
      </c>
      <c r="O1542" s="2" t="s">
        <v>19</v>
      </c>
      <c r="P1542" s="2">
        <v>38000000</v>
      </c>
      <c r="Q1542" s="2">
        <v>7.6</v>
      </c>
      <c r="R1542" s="2" t="s">
        <v>3532</v>
      </c>
      <c r="S1542" s="2"/>
      <c r="U1542" s="2" t="s">
        <v>3533</v>
      </c>
      <c r="V1542">
        <f ca="1" t="shared" si="47"/>
        <v>7.6</v>
      </c>
      <c r="AC1542" s="2"/>
      <c r="AD1542" t="str">
        <f>IFERROR(__xludf.DUMMYFUNCTION("""COMPUTED_VALUE"""),"Thunder and the House of Magic ")</f>
        <v>Thunder and the House of Magic </v>
      </c>
      <c r="AE1542">
        <f t="shared" si="48"/>
        <v>4006</v>
      </c>
    </row>
    <row r="1543" customHeight="1" spans="1:31">
      <c r="A1543" s="2" t="s">
        <v>969</v>
      </c>
      <c r="B1543" s="2">
        <v>113</v>
      </c>
      <c r="C1543" s="2">
        <v>39568996</v>
      </c>
      <c r="D1543" s="2" t="s">
        <v>72</v>
      </c>
      <c r="E1543" s="2" t="s">
        <v>72</v>
      </c>
      <c r="F1543" t="s">
        <v>30</v>
      </c>
      <c r="G1543" t="s">
        <v>24</v>
      </c>
      <c r="N1543" s="2" t="s">
        <v>18</v>
      </c>
      <c r="O1543" s="2" t="s">
        <v>19</v>
      </c>
      <c r="P1543" s="2">
        <v>32000000</v>
      </c>
      <c r="Q1543" s="2">
        <v>6.6</v>
      </c>
      <c r="R1543" s="2" t="s">
        <v>3534</v>
      </c>
      <c r="S1543" s="2"/>
      <c r="U1543" s="2" t="s">
        <v>3535</v>
      </c>
      <c r="V1543">
        <f ca="1" t="shared" si="47"/>
        <v>6.5</v>
      </c>
      <c r="AC1543" s="2"/>
      <c r="AD1543" t="str">
        <f>IFERROR(__xludf.DUMMYFUNCTION("""COMPUTED_VALUE"""),"The Darkest Hour ")</f>
        <v>The Darkest Hour </v>
      </c>
      <c r="AE1543">
        <f t="shared" si="48"/>
        <v>21426716</v>
      </c>
    </row>
    <row r="1544" customHeight="1" spans="1:31">
      <c r="A1544" s="2" t="s">
        <v>1832</v>
      </c>
      <c r="B1544" s="2">
        <v>95</v>
      </c>
      <c r="C1544" s="2">
        <v>42043633</v>
      </c>
      <c r="D1544" s="2" t="s">
        <v>1036</v>
      </c>
      <c r="E1544" s="2" t="s">
        <v>14</v>
      </c>
      <c r="F1544" t="s">
        <v>30</v>
      </c>
      <c r="G1544" t="s">
        <v>23</v>
      </c>
      <c r="N1544" s="2" t="s">
        <v>18</v>
      </c>
      <c r="O1544" s="2" t="s">
        <v>19</v>
      </c>
      <c r="P1544" s="2">
        <v>30000000</v>
      </c>
      <c r="Q1544" s="2">
        <v>7</v>
      </c>
      <c r="R1544" s="2" t="s">
        <v>3536</v>
      </c>
      <c r="S1544" s="2"/>
      <c r="U1544" s="2" t="s">
        <v>3537</v>
      </c>
      <c r="V1544">
        <f ca="1" t="shared" si="47"/>
        <v>7.1</v>
      </c>
      <c r="AC1544" s="2"/>
      <c r="AD1544" t="str">
        <f>IFERROR(__xludf.DUMMYFUNCTION("""COMPUTED_VALUE"""),"Step Up Revolution ")</f>
        <v>Step Up Revolution </v>
      </c>
      <c r="AE1544">
        <f t="shared" si="48"/>
        <v>35057233</v>
      </c>
    </row>
    <row r="1545" customHeight="1" spans="1:31">
      <c r="A1545" s="2" t="s">
        <v>1834</v>
      </c>
      <c r="B1545" s="2">
        <v>86</v>
      </c>
      <c r="C1545" s="2">
        <v>38232624</v>
      </c>
      <c r="D1545" s="2" t="s">
        <v>40</v>
      </c>
      <c r="E1545" s="2" t="s">
        <v>40</v>
      </c>
      <c r="F1545" t="s">
        <v>40</v>
      </c>
      <c r="G1545" t="s">
        <v>30</v>
      </c>
      <c r="N1545" s="2" t="s">
        <v>18</v>
      </c>
      <c r="O1545" s="2" t="s">
        <v>19</v>
      </c>
      <c r="P1545" s="2">
        <v>30000000</v>
      </c>
      <c r="Q1545" s="2">
        <v>2.7</v>
      </c>
      <c r="R1545" s="2" t="s">
        <v>3538</v>
      </c>
      <c r="S1545" s="2"/>
      <c r="U1545" s="2" t="s">
        <v>3539</v>
      </c>
      <c r="V1545">
        <f ca="1" t="shared" si="47"/>
        <v>7.6</v>
      </c>
      <c r="AC1545" s="2"/>
      <c r="AD1545" t="str">
        <f>IFERROR(__xludf.DUMMYFUNCTION("""COMPUTED_VALUE"""),"Snakes on a Plane ")</f>
        <v>Snakes on a Plane </v>
      </c>
      <c r="AE1545">
        <f t="shared" si="48"/>
        <v>34014293</v>
      </c>
    </row>
    <row r="1546" customHeight="1" spans="1:31">
      <c r="A1546" s="2" t="s">
        <v>769</v>
      </c>
      <c r="B1546" s="2">
        <v>126</v>
      </c>
      <c r="C1546" s="2">
        <v>38413606</v>
      </c>
      <c r="D1546" s="2" t="s">
        <v>174</v>
      </c>
      <c r="E1546" s="2" t="s">
        <v>12</v>
      </c>
      <c r="F1546" t="s">
        <v>17</v>
      </c>
      <c r="G1546" t="s">
        <v>72</v>
      </c>
      <c r="N1546" s="2" t="s">
        <v>18</v>
      </c>
      <c r="O1546" s="2" t="s">
        <v>19</v>
      </c>
      <c r="P1546" s="2">
        <v>30000000</v>
      </c>
      <c r="Q1546" s="2">
        <v>7.6</v>
      </c>
      <c r="R1546" s="2" t="s">
        <v>3540</v>
      </c>
      <c r="S1546" s="2"/>
      <c r="U1546" s="2" t="s">
        <v>3541</v>
      </c>
      <c r="V1546">
        <f ca="1" t="shared" si="47"/>
        <v>5.75</v>
      </c>
      <c r="AC1546" s="2"/>
      <c r="AD1546" t="str">
        <f>IFERROR(__xludf.DUMMYFUNCTION("""COMPUTED_VALUE"""),"The Watcher ")</f>
        <v>The Watcher </v>
      </c>
      <c r="AE1546">
        <f t="shared" si="48"/>
        <v>28927623</v>
      </c>
    </row>
    <row r="1547" customHeight="1" spans="1:31">
      <c r="A1547" s="2" t="s">
        <v>1836</v>
      </c>
      <c r="B1547" s="2">
        <v>101</v>
      </c>
      <c r="C1547" s="2">
        <v>38122105</v>
      </c>
      <c r="D1547" s="2" t="s">
        <v>516</v>
      </c>
      <c r="E1547" s="2" t="s">
        <v>12</v>
      </c>
      <c r="F1547" t="s">
        <v>30</v>
      </c>
      <c r="G1547" t="s">
        <v>72</v>
      </c>
      <c r="N1547" s="2" t="s">
        <v>18</v>
      </c>
      <c r="O1547" s="2" t="s">
        <v>19</v>
      </c>
      <c r="P1547" s="2">
        <v>27000000</v>
      </c>
      <c r="Q1547" s="2">
        <v>6.6</v>
      </c>
      <c r="R1547" s="2" t="s">
        <v>3542</v>
      </c>
      <c r="S1547" s="2"/>
      <c r="U1547" s="2" t="s">
        <v>3543</v>
      </c>
      <c r="V1547">
        <f ca="1" t="shared" si="47"/>
        <v>7.3</v>
      </c>
      <c r="AC1547" s="2"/>
      <c r="AD1547" t="str">
        <f>IFERROR(__xludf.DUMMYFUNCTION("""COMPUTED_VALUE"""),"The Punisher ")</f>
        <v>The Punisher </v>
      </c>
      <c r="AE1547">
        <f t="shared" si="48"/>
        <v>33682133</v>
      </c>
    </row>
    <row r="1548" customHeight="1" spans="1:31">
      <c r="A1548" s="2" t="s">
        <v>679</v>
      </c>
      <c r="B1548" s="2">
        <v>102</v>
      </c>
      <c r="C1548" s="2">
        <v>38747385</v>
      </c>
      <c r="D1548" s="2" t="s">
        <v>3544</v>
      </c>
      <c r="E1548" s="2" t="s">
        <v>40</v>
      </c>
      <c r="F1548" t="s">
        <v>30</v>
      </c>
      <c r="G1548" t="s">
        <v>14</v>
      </c>
      <c r="N1548" s="2" t="s">
        <v>18</v>
      </c>
      <c r="O1548" s="2" t="s">
        <v>19</v>
      </c>
      <c r="P1548" s="2">
        <v>25000000</v>
      </c>
      <c r="Q1548" s="2">
        <v>6.9</v>
      </c>
      <c r="R1548" s="2" t="s">
        <v>3545</v>
      </c>
      <c r="S1548" s="2"/>
      <c r="U1548" s="2" t="s">
        <v>3546</v>
      </c>
      <c r="V1548">
        <f ca="1" t="shared" si="47"/>
        <v>8</v>
      </c>
      <c r="AC1548" s="2"/>
      <c r="AD1548" t="str">
        <f>IFERROR(__xludf.DUMMYFUNCTION("""COMPUTED_VALUE"""),"Goal! The Dream Begins ")</f>
        <v>Goal! The Dream Begins </v>
      </c>
      <c r="AE1548">
        <f t="shared" si="48"/>
        <v>4280459</v>
      </c>
    </row>
    <row r="1549" customHeight="1" spans="1:31">
      <c r="A1549" s="2" t="s">
        <v>361</v>
      </c>
      <c r="B1549" s="2">
        <v>111</v>
      </c>
      <c r="C1549" s="2">
        <v>40247512</v>
      </c>
      <c r="D1549" s="2" t="s">
        <v>355</v>
      </c>
      <c r="E1549" s="2" t="s">
        <v>12</v>
      </c>
      <c r="F1549" t="s">
        <v>14</v>
      </c>
      <c r="G1549" t="s">
        <v>17</v>
      </c>
      <c r="N1549" s="2" t="s">
        <v>18</v>
      </c>
      <c r="O1549" s="2" t="s">
        <v>19</v>
      </c>
      <c r="P1549" s="2">
        <v>30000000</v>
      </c>
      <c r="Q1549" s="2">
        <v>6.8</v>
      </c>
      <c r="R1549" s="2" t="s">
        <v>3547</v>
      </c>
      <c r="S1549" s="2"/>
      <c r="U1549" s="2" t="s">
        <v>3548</v>
      </c>
      <c r="V1549">
        <f ca="1" t="shared" si="47"/>
        <v>5.5</v>
      </c>
      <c r="AC1549" s="2"/>
      <c r="AD1549" t="str">
        <f>IFERROR(__xludf.DUMMYFUNCTION("""COMPUTED_VALUE"""),"Safe ")</f>
        <v>Safe </v>
      </c>
      <c r="AE1549">
        <f t="shared" si="48"/>
        <v>17119925</v>
      </c>
    </row>
    <row r="1550" customHeight="1" spans="1:31">
      <c r="A1550" s="2" t="s">
        <v>1838</v>
      </c>
      <c r="B1550" s="2">
        <v>95</v>
      </c>
      <c r="C1550" s="2">
        <v>35927406</v>
      </c>
      <c r="D1550" s="2" t="s">
        <v>120</v>
      </c>
      <c r="E1550" s="2" t="s">
        <v>12</v>
      </c>
      <c r="F1550" t="s">
        <v>28</v>
      </c>
      <c r="G1550" t="s">
        <v>56</v>
      </c>
      <c r="N1550" s="2" t="s">
        <v>18</v>
      </c>
      <c r="O1550" s="2" t="s">
        <v>19</v>
      </c>
      <c r="P1550" s="2">
        <v>30000000</v>
      </c>
      <c r="Q1550" s="2">
        <v>3.7</v>
      </c>
      <c r="R1550" s="2" t="s">
        <v>3549</v>
      </c>
      <c r="S1550" s="2"/>
      <c r="U1550" s="2" t="s">
        <v>3550</v>
      </c>
      <c r="V1550">
        <f ca="1" t="shared" si="47"/>
        <v>7.5</v>
      </c>
      <c r="AC1550" s="2"/>
      <c r="AD1550" t="str">
        <f>IFERROR(__xludf.DUMMYFUNCTION("""COMPUTED_VALUE"""),"Pushing Tin ")</f>
        <v>Pushing Tin </v>
      </c>
      <c r="AE1550">
        <f t="shared" si="48"/>
        <v>8406140</v>
      </c>
    </row>
    <row r="1551" customHeight="1" spans="1:31">
      <c r="A1551" s="2" t="s">
        <v>1840</v>
      </c>
      <c r="B1551" s="2">
        <v>98</v>
      </c>
      <c r="C1551" s="2">
        <v>35565975</v>
      </c>
      <c r="D1551" s="2" t="s">
        <v>521</v>
      </c>
      <c r="E1551" s="2" t="s">
        <v>40</v>
      </c>
      <c r="F1551" t="s">
        <v>35</v>
      </c>
      <c r="G1551" t="s">
        <v>83</v>
      </c>
      <c r="N1551" s="2" t="s">
        <v>18</v>
      </c>
      <c r="O1551" s="2" t="s">
        <v>19</v>
      </c>
      <c r="P1551" s="2">
        <v>30000000</v>
      </c>
      <c r="Q1551" s="2">
        <v>6.1</v>
      </c>
      <c r="R1551" s="2" t="s">
        <v>3551</v>
      </c>
      <c r="S1551" s="2"/>
      <c r="U1551" s="2" t="s">
        <v>3552</v>
      </c>
      <c r="V1551">
        <f ca="1" t="shared" si="47"/>
        <v>6.95</v>
      </c>
      <c r="AC1551" s="2"/>
      <c r="AD1551" t="str">
        <f>IFERROR(__xludf.DUMMYFUNCTION("""COMPUTED_VALUE"""),"Star Wars: Episode VI - Return of the Jedi ")</f>
        <v>Star Wars: Episode VI - Return of the Jedi </v>
      </c>
      <c r="AE1551">
        <f t="shared" si="48"/>
        <v>309125275</v>
      </c>
    </row>
    <row r="1552" customHeight="1" spans="1:31">
      <c r="A1552" s="2" t="s">
        <v>1842</v>
      </c>
      <c r="B1552" s="2">
        <v>100</v>
      </c>
      <c r="C1552" s="2">
        <v>35266619</v>
      </c>
      <c r="D1552" s="2" t="s">
        <v>2078</v>
      </c>
      <c r="E1552" s="2" t="s">
        <v>30</v>
      </c>
      <c r="F1552" t="s">
        <v>56</v>
      </c>
      <c r="G1552" t="s">
        <v>30</v>
      </c>
      <c r="N1552" s="2" t="s">
        <v>18</v>
      </c>
      <c r="O1552" s="2" t="s">
        <v>19</v>
      </c>
      <c r="P1552" s="2">
        <v>30000000</v>
      </c>
      <c r="Q1552" s="2">
        <v>5.9</v>
      </c>
      <c r="R1552" s="2" t="s">
        <v>3553</v>
      </c>
      <c r="S1552" s="2"/>
      <c r="U1552" s="2" t="s">
        <v>3554</v>
      </c>
      <c r="V1552">
        <f ca="1" t="shared" si="47"/>
        <v>5.5</v>
      </c>
      <c r="AC1552" s="2"/>
      <c r="AD1552" t="str">
        <f>IFERROR(__xludf.DUMMYFUNCTION("""COMPUTED_VALUE"""),"Doomsday ")</f>
        <v>Doomsday </v>
      </c>
      <c r="AE1552">
        <f t="shared" si="48"/>
        <v>10955312</v>
      </c>
    </row>
    <row r="1553" customHeight="1" spans="1:31">
      <c r="A1553" s="2" t="s">
        <v>1845</v>
      </c>
      <c r="B1553" s="2">
        <v>118</v>
      </c>
      <c r="C1553" s="2">
        <v>34703228</v>
      </c>
      <c r="D1553" s="2" t="s">
        <v>2565</v>
      </c>
      <c r="E1553" s="2" t="s">
        <v>30</v>
      </c>
      <c r="F1553" t="s">
        <v>13</v>
      </c>
      <c r="G1553" t="s">
        <v>55</v>
      </c>
      <c r="N1553" s="2" t="s">
        <v>18</v>
      </c>
      <c r="O1553" s="2" t="s">
        <v>19</v>
      </c>
      <c r="P1553" s="2">
        <v>30000000</v>
      </c>
      <c r="Q1553" s="2">
        <v>6.7</v>
      </c>
      <c r="R1553" s="2" t="s">
        <v>3555</v>
      </c>
      <c r="S1553" s="2"/>
      <c r="U1553" s="2" t="s">
        <v>3556</v>
      </c>
      <c r="V1553">
        <f ca="1" t="shared" si="47"/>
        <v>7.3</v>
      </c>
      <c r="AC1553" s="2"/>
      <c r="AD1553" t="str">
        <f>IFERROR(__xludf.DUMMYFUNCTION("""COMPUTED_VALUE"""),"The Reader ")</f>
        <v>The Reader </v>
      </c>
      <c r="AE1553">
        <f t="shared" si="48"/>
        <v>34180830</v>
      </c>
    </row>
    <row r="1554" customHeight="1" spans="1:31">
      <c r="A1554" s="2" t="s">
        <v>1847</v>
      </c>
      <c r="B1554" s="2">
        <v>125</v>
      </c>
      <c r="C1554" s="2">
        <v>38432823</v>
      </c>
      <c r="D1554" s="2" t="s">
        <v>3557</v>
      </c>
      <c r="E1554" s="2" t="s">
        <v>56</v>
      </c>
      <c r="F1554" t="s">
        <v>35</v>
      </c>
      <c r="G1554" t="s">
        <v>24</v>
      </c>
      <c r="N1554" s="2" t="s">
        <v>18</v>
      </c>
      <c r="O1554" s="2" t="s">
        <v>19</v>
      </c>
      <c r="P1554" s="2">
        <v>30000000</v>
      </c>
      <c r="Q1554" s="2">
        <v>6.9</v>
      </c>
      <c r="R1554" s="2" t="s">
        <v>3558</v>
      </c>
      <c r="S1554" s="2"/>
      <c r="U1554" s="2" t="s">
        <v>3559</v>
      </c>
      <c r="V1554">
        <f ca="1" t="shared" si="47"/>
        <v>6.5</v>
      </c>
      <c r="AC1554" s="2"/>
      <c r="AD1554" t="str">
        <f>IFERROR(__xludf.DUMMYFUNCTION("""COMPUTED_VALUE"""),"Elf ")</f>
        <v>Elf </v>
      </c>
      <c r="AE1554">
        <f t="shared" si="48"/>
        <v>173381308</v>
      </c>
    </row>
    <row r="1555" customHeight="1" spans="1:31">
      <c r="A1555" s="2" t="s">
        <v>1172</v>
      </c>
      <c r="B1555" s="2">
        <v>94</v>
      </c>
      <c r="C1555" s="2">
        <v>32095318</v>
      </c>
      <c r="D1555" s="2" t="s">
        <v>383</v>
      </c>
      <c r="E1555" s="2" t="s">
        <v>40</v>
      </c>
      <c r="F1555" t="s">
        <v>30</v>
      </c>
      <c r="G1555" t="s">
        <v>56</v>
      </c>
      <c r="N1555" s="2" t="s">
        <v>18</v>
      </c>
      <c r="O1555" s="2" t="s">
        <v>19</v>
      </c>
      <c r="P1555" s="2">
        <v>45000000</v>
      </c>
      <c r="Q1555" s="2">
        <v>5.5</v>
      </c>
      <c r="R1555" s="2" t="s">
        <v>3560</v>
      </c>
      <c r="S1555" s="2"/>
      <c r="U1555" s="2" t="s">
        <v>3561</v>
      </c>
      <c r="V1555">
        <f ca="1" t="shared" si="47"/>
        <v>7.25</v>
      </c>
      <c r="AC1555" s="2"/>
      <c r="AD1555" t="str">
        <f>IFERROR(__xludf.DUMMYFUNCTION("""COMPUTED_VALUE"""),"Phenomenon ")</f>
        <v>Phenomenon </v>
      </c>
      <c r="AE1555">
        <f t="shared" si="48"/>
        <v>104632450</v>
      </c>
    </row>
    <row r="1556" customHeight="1" spans="1:31">
      <c r="A1556" s="2" t="s">
        <v>1850</v>
      </c>
      <c r="B1556" s="2">
        <v>79</v>
      </c>
      <c r="C1556" s="2">
        <v>31743332</v>
      </c>
      <c r="D1556" s="2" t="s">
        <v>3562</v>
      </c>
      <c r="E1556" s="2" t="s">
        <v>12</v>
      </c>
      <c r="F1556" t="s">
        <v>56</v>
      </c>
      <c r="G1556" t="s">
        <v>15</v>
      </c>
      <c r="N1556" s="2" t="s">
        <v>18</v>
      </c>
      <c r="O1556" s="2" t="s">
        <v>19</v>
      </c>
      <c r="P1556" s="2">
        <v>30000000</v>
      </c>
      <c r="Q1556" s="2">
        <v>7.1</v>
      </c>
      <c r="R1556" s="2" t="s">
        <v>3563</v>
      </c>
      <c r="S1556" s="2"/>
      <c r="U1556" s="2" t="s">
        <v>3564</v>
      </c>
      <c r="V1556">
        <f ca="1" t="shared" si="47"/>
        <v>8.5</v>
      </c>
      <c r="AC1556" s="2"/>
      <c r="AD1556" t="str">
        <f>IFERROR(__xludf.DUMMYFUNCTION("""COMPUTED_VALUE"""),"Snow Dogs ")</f>
        <v>Snow Dogs </v>
      </c>
      <c r="AE1556">
        <f t="shared" si="48"/>
        <v>81150593</v>
      </c>
    </row>
    <row r="1557" customHeight="1" spans="1:31">
      <c r="A1557" s="2" t="s">
        <v>556</v>
      </c>
      <c r="B1557" s="2">
        <v>106</v>
      </c>
      <c r="C1557" s="2">
        <v>32154410</v>
      </c>
      <c r="D1557" s="2" t="s">
        <v>805</v>
      </c>
      <c r="E1557" s="2" t="s">
        <v>56</v>
      </c>
      <c r="F1557" t="s">
        <v>24</v>
      </c>
      <c r="G1557" t="s">
        <v>15</v>
      </c>
      <c r="N1557" s="2" t="s">
        <v>18</v>
      </c>
      <c r="O1557" s="2" t="s">
        <v>19</v>
      </c>
      <c r="P1557" s="2">
        <v>30000000</v>
      </c>
      <c r="Q1557" s="2">
        <v>7.1</v>
      </c>
      <c r="R1557" s="2" t="s">
        <v>3565</v>
      </c>
      <c r="S1557" s="2"/>
      <c r="U1557" s="2" t="s">
        <v>3566</v>
      </c>
      <c r="V1557">
        <f ca="1" t="shared" si="47"/>
        <v>4.8</v>
      </c>
      <c r="AC1557" s="2"/>
      <c r="AD1557" t="str">
        <f>IFERROR(__xludf.DUMMYFUNCTION("""COMPUTED_VALUE"""),"Scrooged ")</f>
        <v>Scrooged </v>
      </c>
      <c r="AE1557">
        <f t="shared" si="48"/>
        <v>60328457</v>
      </c>
    </row>
    <row r="1558" customHeight="1" spans="1:31">
      <c r="A1558" s="2" t="s">
        <v>1853</v>
      </c>
      <c r="B1558" s="2">
        <v>63</v>
      </c>
      <c r="C1558" s="2">
        <v>26687172</v>
      </c>
      <c r="D1558" s="2" t="s">
        <v>475</v>
      </c>
      <c r="E1558" s="2" t="s">
        <v>13</v>
      </c>
      <c r="F1558" t="s">
        <v>40</v>
      </c>
      <c r="G1558" t="s">
        <v>55</v>
      </c>
      <c r="N1558" s="2" t="s">
        <v>18</v>
      </c>
      <c r="O1558" s="2" t="s">
        <v>19</v>
      </c>
      <c r="P1558" s="2">
        <v>30000000</v>
      </c>
      <c r="Q1558" s="2">
        <v>7.3</v>
      </c>
      <c r="R1558" s="2" t="s">
        <v>3567</v>
      </c>
      <c r="S1558" s="2"/>
      <c r="U1558" s="2" t="s">
        <v>3568</v>
      </c>
      <c r="V1558">
        <f ca="1" t="shared" si="47"/>
        <v>7</v>
      </c>
      <c r="AC1558" s="2"/>
      <c r="AD1558" t="str">
        <f>IFERROR(__xludf.DUMMYFUNCTION("""COMPUTED_VALUE"""),"Nacho Libre ")</f>
        <v>Nacho Libre </v>
      </c>
      <c r="AE1558">
        <f t="shared" si="48"/>
        <v>80197901</v>
      </c>
    </row>
    <row r="1559" customHeight="1" spans="1:31">
      <c r="A1559" s="2" t="s">
        <v>1856</v>
      </c>
      <c r="B1559" s="2">
        <v>85</v>
      </c>
      <c r="C1559" s="2">
        <v>26096584</v>
      </c>
      <c r="D1559" s="2" t="s">
        <v>40</v>
      </c>
      <c r="E1559" s="2" t="s">
        <v>40</v>
      </c>
      <c r="F1559" t="s">
        <v>30</v>
      </c>
      <c r="G1559" t="s">
        <v>17</v>
      </c>
      <c r="N1559" s="2" t="s">
        <v>18</v>
      </c>
      <c r="O1559" s="2" t="s">
        <v>19</v>
      </c>
      <c r="P1559" s="2">
        <v>19000000</v>
      </c>
      <c r="Q1559" s="2">
        <v>3.4</v>
      </c>
      <c r="R1559" s="2" t="s">
        <v>3569</v>
      </c>
      <c r="S1559" s="2"/>
      <c r="U1559" s="2" t="s">
        <v>3570</v>
      </c>
      <c r="V1559">
        <f ca="1" t="shared" si="47"/>
        <v>5.4</v>
      </c>
      <c r="AC1559" s="2"/>
      <c r="AD1559" t="str">
        <f>IFERROR(__xludf.DUMMYFUNCTION("""COMPUTED_VALUE"""),"Bridesmaids ")</f>
        <v>Bridesmaids </v>
      </c>
      <c r="AE1559">
        <f t="shared" si="48"/>
        <v>169076614</v>
      </c>
    </row>
    <row r="1560" customHeight="1" spans="1:31">
      <c r="A1560" s="2" t="s">
        <v>1370</v>
      </c>
      <c r="B1560" s="2">
        <v>108</v>
      </c>
      <c r="C1560" s="2">
        <v>26525834</v>
      </c>
      <c r="D1560" s="2" t="s">
        <v>521</v>
      </c>
      <c r="E1560" s="2" t="s">
        <v>40</v>
      </c>
      <c r="F1560" t="s">
        <v>30</v>
      </c>
      <c r="G1560" t="s">
        <v>30</v>
      </c>
      <c r="N1560" s="2" t="s">
        <v>18</v>
      </c>
      <c r="O1560" s="2" t="s">
        <v>19</v>
      </c>
      <c r="P1560" s="2">
        <v>30000000</v>
      </c>
      <c r="Q1560" s="2">
        <v>6.8</v>
      </c>
      <c r="R1560" s="2" t="s">
        <v>3571</v>
      </c>
      <c r="S1560" s="2"/>
      <c r="U1560" s="2" t="s">
        <v>3572</v>
      </c>
      <c r="V1560">
        <f ca="1" t="shared" si="47"/>
        <v>5.9</v>
      </c>
      <c r="AC1560" s="2"/>
      <c r="AD1560" t="str">
        <f>IFERROR(__xludf.DUMMYFUNCTION("""COMPUTED_VALUE"""),"This Is the End ")</f>
        <v>This Is the End </v>
      </c>
      <c r="AE1560">
        <f t="shared" si="48"/>
        <v>101470095</v>
      </c>
    </row>
    <row r="1561" customHeight="1" spans="1:31">
      <c r="A1561" s="2" t="s">
        <v>1858</v>
      </c>
      <c r="B1561" s="2">
        <v>139</v>
      </c>
      <c r="C1561" s="2">
        <v>30513940</v>
      </c>
      <c r="D1561" s="2" t="s">
        <v>1747</v>
      </c>
      <c r="E1561" s="2" t="s">
        <v>59</v>
      </c>
      <c r="F1561" t="s">
        <v>72</v>
      </c>
      <c r="G1561" t="s">
        <v>14</v>
      </c>
      <c r="N1561" s="2" t="s">
        <v>18</v>
      </c>
      <c r="O1561" s="2" t="s">
        <v>19</v>
      </c>
      <c r="P1561" s="2">
        <v>30000000</v>
      </c>
      <c r="Q1561" s="2">
        <v>6.9</v>
      </c>
      <c r="R1561" s="2" t="s">
        <v>3573</v>
      </c>
      <c r="S1561" s="2"/>
      <c r="U1561" s="2" t="s">
        <v>3574</v>
      </c>
      <c r="V1561">
        <f ca="1" t="shared" si="47"/>
        <v>6.3</v>
      </c>
      <c r="AC1561" s="2"/>
      <c r="AD1561" t="str">
        <f>IFERROR(__xludf.DUMMYFUNCTION("""COMPUTED_VALUE"""),"Stigmata ")</f>
        <v>Stigmata </v>
      </c>
      <c r="AE1561">
        <f t="shared" si="48"/>
        <v>50041629</v>
      </c>
    </row>
    <row r="1562" customHeight="1" spans="1:31">
      <c r="A1562" s="2" t="s">
        <v>1317</v>
      </c>
      <c r="B1562" s="2">
        <v>127</v>
      </c>
      <c r="C1562" s="2">
        <v>23209440</v>
      </c>
      <c r="D1562" s="2" t="s">
        <v>30</v>
      </c>
      <c r="E1562" s="2" t="s">
        <v>30</v>
      </c>
      <c r="F1562" t="s">
        <v>17</v>
      </c>
      <c r="G1562" t="s">
        <v>24</v>
      </c>
      <c r="N1562" s="2" t="s">
        <v>18</v>
      </c>
      <c r="O1562" s="2" t="s">
        <v>19</v>
      </c>
      <c r="P1562" s="2">
        <v>30000000</v>
      </c>
      <c r="Q1562" s="2">
        <v>7</v>
      </c>
      <c r="R1562" s="2" t="s">
        <v>3575</v>
      </c>
      <c r="S1562" s="2"/>
      <c r="U1562" s="2" t="s">
        <v>3576</v>
      </c>
      <c r="V1562">
        <f ca="1" t="shared" si="47"/>
        <v>7</v>
      </c>
      <c r="AC1562" s="2"/>
      <c r="AD1562" t="str">
        <f>IFERROR(__xludf.DUMMYFUNCTION("""COMPUTED_VALUE"""),"Men of Honor ")</f>
        <v>Men of Honor </v>
      </c>
      <c r="AE1562">
        <f t="shared" si="48"/>
        <v>48814780</v>
      </c>
    </row>
    <row r="1563" customHeight="1" spans="1:31">
      <c r="A1563" s="2" t="s">
        <v>1860</v>
      </c>
      <c r="B1563" s="2">
        <v>106</v>
      </c>
      <c r="C1563" s="2">
        <v>24048000</v>
      </c>
      <c r="D1563" s="2" t="s">
        <v>516</v>
      </c>
      <c r="E1563" s="2" t="s">
        <v>12</v>
      </c>
      <c r="F1563" t="s">
        <v>30</v>
      </c>
      <c r="G1563" t="s">
        <v>72</v>
      </c>
      <c r="N1563" s="2" t="s">
        <v>18</v>
      </c>
      <c r="O1563" s="2" t="s">
        <v>19</v>
      </c>
      <c r="P1563" s="2">
        <v>30000000</v>
      </c>
      <c r="Q1563" s="2">
        <v>5.5</v>
      </c>
      <c r="R1563" s="2" t="s">
        <v>3577</v>
      </c>
      <c r="S1563" s="2"/>
      <c r="U1563" s="2" t="s">
        <v>3578</v>
      </c>
      <c r="V1563">
        <f ca="1" t="shared" si="47"/>
        <v>6.3</v>
      </c>
      <c r="AC1563" s="2"/>
      <c r="AD1563" t="str">
        <f>IFERROR(__xludf.DUMMYFUNCTION("""COMPUTED_VALUE"""),"Takers ")</f>
        <v>Takers </v>
      </c>
      <c r="AE1563">
        <f t="shared" si="48"/>
        <v>57744613</v>
      </c>
    </row>
    <row r="1564" customHeight="1" spans="1:31">
      <c r="A1564" s="2" t="s">
        <v>816</v>
      </c>
      <c r="B1564" s="2">
        <v>95</v>
      </c>
      <c r="C1564" s="2">
        <v>22526144</v>
      </c>
      <c r="D1564" s="2" t="s">
        <v>951</v>
      </c>
      <c r="E1564" s="2" t="s">
        <v>40</v>
      </c>
      <c r="F1564" t="s">
        <v>24</v>
      </c>
      <c r="G1564" t="s">
        <v>23</v>
      </c>
      <c r="N1564" s="2" t="s">
        <v>18</v>
      </c>
      <c r="O1564" s="2" t="s">
        <v>19</v>
      </c>
      <c r="P1564" s="2">
        <v>30000000</v>
      </c>
      <c r="Q1564" s="2">
        <v>5.1</v>
      </c>
      <c r="R1564" s="2" t="s">
        <v>3579</v>
      </c>
      <c r="S1564" s="2"/>
      <c r="U1564" s="2" t="s">
        <v>3580</v>
      </c>
      <c r="V1564">
        <f ca="1" t="shared" si="47"/>
        <v>6.5</v>
      </c>
      <c r="AC1564" s="2"/>
      <c r="AD1564" t="str">
        <f>IFERROR(__xludf.DUMMYFUNCTION("""COMPUTED_VALUE"""),"The Big Wedding ")</f>
        <v>The Big Wedding </v>
      </c>
      <c r="AE1564">
        <f t="shared" si="48"/>
        <v>21784343</v>
      </c>
    </row>
    <row r="1565" customHeight="1" spans="1:31">
      <c r="A1565" s="2" t="s">
        <v>813</v>
      </c>
      <c r="B1565" s="2">
        <v>118</v>
      </c>
      <c r="C1565" s="2">
        <v>30523568</v>
      </c>
      <c r="D1565" s="2" t="s">
        <v>1189</v>
      </c>
      <c r="E1565" s="2" t="s">
        <v>72</v>
      </c>
      <c r="F1565" t="s">
        <v>17</v>
      </c>
      <c r="G1565" t="s">
        <v>83</v>
      </c>
      <c r="N1565" s="2" t="s">
        <v>18</v>
      </c>
      <c r="O1565" s="2" t="s">
        <v>19</v>
      </c>
      <c r="P1565" s="2">
        <v>30000000</v>
      </c>
      <c r="Q1565" s="2">
        <v>6.2</v>
      </c>
      <c r="R1565" s="2" t="s">
        <v>3581</v>
      </c>
      <c r="S1565" s="2"/>
      <c r="U1565" s="2" t="s">
        <v>3582</v>
      </c>
      <c r="V1565">
        <f ca="1" t="shared" si="47"/>
        <v>5.8</v>
      </c>
      <c r="AC1565" s="2"/>
      <c r="AD1565" t="str">
        <f>IFERROR(__xludf.DUMMYFUNCTION("""COMPUTED_VALUE"""),"Big Mommas: Like Father, Like Son ")</f>
        <v>Big Mommas: Like Father, Like Son </v>
      </c>
      <c r="AE1565">
        <f t="shared" si="48"/>
        <v>37911763</v>
      </c>
    </row>
    <row r="1566" customHeight="1" spans="1:31">
      <c r="A1566" s="2" t="s">
        <v>1862</v>
      </c>
      <c r="B1566" s="2">
        <v>108</v>
      </c>
      <c r="C1566" s="2">
        <v>23070045</v>
      </c>
      <c r="D1566" s="2" t="s">
        <v>666</v>
      </c>
      <c r="E1566" s="2" t="s">
        <v>13</v>
      </c>
      <c r="F1566" t="s">
        <v>13</v>
      </c>
      <c r="G1566" t="s">
        <v>30</v>
      </c>
      <c r="N1566" s="2" t="s">
        <v>18</v>
      </c>
      <c r="O1566" s="2" t="s">
        <v>19</v>
      </c>
      <c r="P1566" s="2">
        <v>30000000</v>
      </c>
      <c r="Q1566" s="2">
        <v>5.9</v>
      </c>
      <c r="R1566" s="2" t="s">
        <v>3583</v>
      </c>
      <c r="S1566" s="2"/>
      <c r="U1566" s="2" t="s">
        <v>3584</v>
      </c>
      <c r="V1566">
        <f ca="1" t="shared" si="47"/>
        <v>5.2</v>
      </c>
      <c r="AC1566" s="2"/>
      <c r="AD1566" t="str">
        <f>IFERROR(__xludf.DUMMYFUNCTION("""COMPUTED_VALUE"""),"Source Code ")</f>
        <v>Source Code </v>
      </c>
      <c r="AE1566">
        <f t="shared" si="48"/>
        <v>54696809</v>
      </c>
    </row>
    <row r="1567" customHeight="1" spans="1:31">
      <c r="A1567" s="2" t="s">
        <v>1865</v>
      </c>
      <c r="B1567" s="2">
        <v>105</v>
      </c>
      <c r="C1567" s="2">
        <v>20422207</v>
      </c>
      <c r="D1567" s="2" t="s">
        <v>521</v>
      </c>
      <c r="E1567" s="2" t="s">
        <v>40</v>
      </c>
      <c r="F1567" t="s">
        <v>17</v>
      </c>
      <c r="G1567" t="s">
        <v>17</v>
      </c>
      <c r="N1567" s="2" t="s">
        <v>18</v>
      </c>
      <c r="O1567" s="2" t="s">
        <v>19</v>
      </c>
      <c r="P1567" s="2">
        <v>35000000</v>
      </c>
      <c r="Q1567" s="2">
        <v>5.2</v>
      </c>
      <c r="R1567" s="2" t="s">
        <v>3585</v>
      </c>
      <c r="S1567" s="2"/>
      <c r="U1567" s="2" t="s">
        <v>3586</v>
      </c>
      <c r="V1567">
        <f ca="1" t="shared" si="47"/>
        <v>8.2</v>
      </c>
      <c r="AC1567" s="2"/>
      <c r="AD1567" t="str">
        <f>IFERROR(__xludf.DUMMYFUNCTION("""COMPUTED_VALUE"""),"Alive ")</f>
        <v>Alive </v>
      </c>
      <c r="AE1567">
        <f t="shared" si="48"/>
        <v>36733789</v>
      </c>
    </row>
    <row r="1568" customHeight="1" spans="1:31">
      <c r="A1568" s="2" t="s">
        <v>1659</v>
      </c>
      <c r="B1568" s="2">
        <v>131</v>
      </c>
      <c r="C1568" s="2">
        <v>28644770</v>
      </c>
      <c r="D1568" s="2" t="s">
        <v>607</v>
      </c>
      <c r="E1568" s="2" t="s">
        <v>40</v>
      </c>
      <c r="F1568" t="s">
        <v>56</v>
      </c>
      <c r="G1568" t="s">
        <v>24</v>
      </c>
      <c r="N1568" s="2" t="s">
        <v>18</v>
      </c>
      <c r="O1568" s="2" t="s">
        <v>19</v>
      </c>
      <c r="P1568" s="2">
        <v>30000000</v>
      </c>
      <c r="Q1568" s="2">
        <v>6.2</v>
      </c>
      <c r="R1568" s="2" t="s">
        <v>3587</v>
      </c>
      <c r="S1568" s="2"/>
      <c r="U1568" s="2" t="s">
        <v>3588</v>
      </c>
      <c r="V1568">
        <f ca="1" t="shared" si="47"/>
        <v>7</v>
      </c>
      <c r="AC1568" s="2"/>
      <c r="AD1568" t="str">
        <f>IFERROR(__xludf.DUMMYFUNCTION("""COMPUTED_VALUE"""),"The Number 23 ")</f>
        <v>The Number 23 </v>
      </c>
      <c r="AE1568">
        <f t="shared" si="48"/>
        <v>35063634</v>
      </c>
    </row>
    <row r="1569" customHeight="1" spans="1:31">
      <c r="A1569" s="2" t="s">
        <v>1868</v>
      </c>
      <c r="B1569" s="2">
        <v>104</v>
      </c>
      <c r="C1569" s="2">
        <v>21800302</v>
      </c>
      <c r="D1569" s="2" t="s">
        <v>1826</v>
      </c>
      <c r="E1569" s="2" t="s">
        <v>40</v>
      </c>
      <c r="F1569" t="s">
        <v>17</v>
      </c>
      <c r="G1569" t="s">
        <v>15</v>
      </c>
      <c r="N1569" s="2" t="s">
        <v>18</v>
      </c>
      <c r="O1569" s="2" t="s">
        <v>19</v>
      </c>
      <c r="P1569" s="2">
        <v>30000000</v>
      </c>
      <c r="Q1569" s="2">
        <v>5.5</v>
      </c>
      <c r="R1569" s="2" t="s">
        <v>3589</v>
      </c>
      <c r="S1569" s="2"/>
      <c r="U1569" s="2" t="s">
        <v>3590</v>
      </c>
      <c r="V1569">
        <f ca="1" t="shared" si="47"/>
        <v>6.8</v>
      </c>
      <c r="AC1569" s="2"/>
      <c r="AD1569" t="str">
        <f>IFERROR(__xludf.DUMMYFUNCTION("""COMPUTED_VALUE"""),"The Young and Prodigious T.S. Spivet ")</f>
        <v>The Young and Prodigious T.S. Spivet </v>
      </c>
      <c r="AE1569">
        <f t="shared" si="48"/>
        <v>99357</v>
      </c>
    </row>
    <row r="1570" customHeight="1" spans="1:31">
      <c r="A1570" s="2" t="s">
        <v>1870</v>
      </c>
      <c r="B1570" s="2">
        <v>133</v>
      </c>
      <c r="C1570" s="2">
        <v>21129348</v>
      </c>
      <c r="D1570" s="2" t="s">
        <v>2171</v>
      </c>
      <c r="E1570" s="2" t="s">
        <v>56</v>
      </c>
      <c r="F1570" t="s">
        <v>23</v>
      </c>
      <c r="G1570" t="s">
        <v>56</v>
      </c>
      <c r="N1570" s="2" t="s">
        <v>18</v>
      </c>
      <c r="O1570" s="2" t="s">
        <v>19</v>
      </c>
      <c r="P1570" s="2">
        <v>35000000</v>
      </c>
      <c r="Q1570" s="2">
        <v>7.4</v>
      </c>
      <c r="R1570" s="2" t="s">
        <v>3591</v>
      </c>
      <c r="S1570" s="2"/>
      <c r="U1570" s="2" t="s">
        <v>3592</v>
      </c>
      <c r="V1570">
        <f ca="1" t="shared" si="47"/>
        <v>7</v>
      </c>
      <c r="AC1570" s="2"/>
      <c r="AD1570" t="str">
        <f>IFERROR(__xludf.DUMMYFUNCTION("""COMPUTED_VALUE"""),"Dreamer: Inspired by a True Story ")</f>
        <v>Dreamer: Inspired by a True Story </v>
      </c>
      <c r="AE1570">
        <f t="shared" si="48"/>
        <v>32700990</v>
      </c>
    </row>
    <row r="1571" customHeight="1" spans="1:31">
      <c r="A1571" s="2" t="s">
        <v>1872</v>
      </c>
      <c r="B1571" s="2">
        <v>94</v>
      </c>
      <c r="C1571" s="2">
        <v>18500966</v>
      </c>
      <c r="D1571" s="2" t="s">
        <v>843</v>
      </c>
      <c r="E1571" s="2" t="s">
        <v>12</v>
      </c>
      <c r="F1571" t="s">
        <v>30</v>
      </c>
      <c r="G1571" t="s">
        <v>56</v>
      </c>
      <c r="N1571" s="2" t="s">
        <v>18</v>
      </c>
      <c r="O1571" s="2" t="s">
        <v>19</v>
      </c>
      <c r="P1571" s="2">
        <v>30000000</v>
      </c>
      <c r="Q1571" s="2">
        <v>4.4</v>
      </c>
      <c r="R1571" s="2" t="s">
        <v>3593</v>
      </c>
      <c r="S1571" s="2"/>
      <c r="U1571" s="2" t="s">
        <v>3594</v>
      </c>
      <c r="V1571">
        <f ca="1" t="shared" si="47"/>
        <v>6.8</v>
      </c>
      <c r="AC1571" s="2"/>
      <c r="AD1571" t="str">
        <f>IFERROR(__xludf.DUMMYFUNCTION("""COMPUTED_VALUE"""),"A History of Violence ")</f>
        <v>A History of Violence </v>
      </c>
      <c r="AE1571">
        <f t="shared" si="48"/>
        <v>31493686</v>
      </c>
    </row>
    <row r="1572" customHeight="1" spans="1:31">
      <c r="A1572" s="2" t="s">
        <v>1875</v>
      </c>
      <c r="B1572" s="2">
        <v>109</v>
      </c>
      <c r="C1572" s="2">
        <v>19976073</v>
      </c>
      <c r="D1572" s="2" t="s">
        <v>186</v>
      </c>
      <c r="E1572" s="2" t="s">
        <v>12</v>
      </c>
      <c r="F1572" t="s">
        <v>40</v>
      </c>
      <c r="G1572" t="s">
        <v>83</v>
      </c>
      <c r="N1572" s="2" t="s">
        <v>18</v>
      </c>
      <c r="O1572" s="2" t="s">
        <v>19</v>
      </c>
      <c r="P1572" s="2">
        <v>20000000</v>
      </c>
      <c r="Q1572" s="2">
        <v>6.3</v>
      </c>
      <c r="R1572" s="2" t="s">
        <v>3595</v>
      </c>
      <c r="S1572" s="2"/>
      <c r="U1572" s="2" t="s">
        <v>3596</v>
      </c>
      <c r="V1572">
        <f ca="1" t="shared" si="47"/>
        <v>7.1</v>
      </c>
      <c r="AC1572" s="2"/>
      <c r="AD1572" t="str">
        <f>IFERROR(__xludf.DUMMYFUNCTION("""COMPUTED_VALUE"""),"Transporter 2 ")</f>
        <v>Transporter 2 </v>
      </c>
      <c r="AE1572">
        <f t="shared" si="48"/>
        <v>43095513</v>
      </c>
    </row>
    <row r="1573" customHeight="1" spans="1:31">
      <c r="A1573" s="2" t="s">
        <v>881</v>
      </c>
      <c r="B1573" s="2">
        <v>96</v>
      </c>
      <c r="C1573" s="2">
        <v>18967571</v>
      </c>
      <c r="D1573" s="2" t="s">
        <v>150</v>
      </c>
      <c r="E1573" s="2" t="s">
        <v>12</v>
      </c>
      <c r="F1573" t="s">
        <v>40</v>
      </c>
      <c r="G1573" t="s">
        <v>30</v>
      </c>
      <c r="N1573" s="2" t="s">
        <v>18</v>
      </c>
      <c r="O1573" s="2" t="s">
        <v>19</v>
      </c>
      <c r="P1573" s="2">
        <v>30000000</v>
      </c>
      <c r="Q1573" s="2">
        <v>6.1</v>
      </c>
      <c r="R1573" s="2" t="s">
        <v>3597</v>
      </c>
      <c r="S1573" s="2"/>
      <c r="U1573" s="2" t="s">
        <v>3598</v>
      </c>
      <c r="V1573">
        <f ca="1" t="shared" si="47"/>
        <v>6.9</v>
      </c>
      <c r="AC1573" s="2"/>
      <c r="AD1573" t="str">
        <f>IFERROR(__xludf.DUMMYFUNCTION("""COMPUTED_VALUE"""),"The Quick and the Dead ")</f>
        <v>The Quick and the Dead </v>
      </c>
      <c r="AE1573">
        <f t="shared" si="48"/>
        <v>18636430</v>
      </c>
    </row>
    <row r="1574" customHeight="1" spans="1:31">
      <c r="A1574" s="2" t="s">
        <v>1877</v>
      </c>
      <c r="B1574" s="2">
        <v>105</v>
      </c>
      <c r="C1574" s="2">
        <v>17100000</v>
      </c>
      <c r="D1574" s="2" t="s">
        <v>3599</v>
      </c>
      <c r="E1574" s="2" t="s">
        <v>12</v>
      </c>
      <c r="F1574" t="s">
        <v>14</v>
      </c>
      <c r="G1574" t="s">
        <v>40</v>
      </c>
      <c r="N1574" s="2" t="s">
        <v>18</v>
      </c>
      <c r="O1574" s="2" t="s">
        <v>19</v>
      </c>
      <c r="P1574" s="2">
        <v>25000000</v>
      </c>
      <c r="Q1574" s="2">
        <v>5.3</v>
      </c>
      <c r="R1574" s="2" t="s">
        <v>3600</v>
      </c>
      <c r="S1574" s="2"/>
      <c r="U1574" s="2" t="s">
        <v>3601</v>
      </c>
      <c r="V1574">
        <f ca="1" t="shared" si="47"/>
        <v>6.9</v>
      </c>
      <c r="AC1574" s="2"/>
      <c r="AD1574" t="str">
        <f>IFERROR(__xludf.DUMMYFUNCTION("""COMPUTED_VALUE"""),"Laws of Attraction ")</f>
        <v>Laws of Attraction </v>
      </c>
      <c r="AE1574">
        <f t="shared" si="48"/>
        <v>17848232</v>
      </c>
    </row>
    <row r="1575" customHeight="1" spans="1:31">
      <c r="A1575" s="2" t="s">
        <v>1879</v>
      </c>
      <c r="B1575" s="2">
        <v>99</v>
      </c>
      <c r="C1575" s="2">
        <v>17266505</v>
      </c>
      <c r="D1575" s="2" t="s">
        <v>3602</v>
      </c>
      <c r="E1575" s="2" t="s">
        <v>12</v>
      </c>
      <c r="F1575" t="s">
        <v>23</v>
      </c>
      <c r="G1575" t="s">
        <v>56</v>
      </c>
      <c r="N1575" s="2" t="s">
        <v>18</v>
      </c>
      <c r="O1575" s="2" t="s">
        <v>19</v>
      </c>
      <c r="P1575" s="2">
        <v>30000000</v>
      </c>
      <c r="Q1575" s="2">
        <v>5.4</v>
      </c>
      <c r="R1575" s="2" t="s">
        <v>3603</v>
      </c>
      <c r="S1575" s="2"/>
      <c r="U1575" s="2" t="s">
        <v>3604</v>
      </c>
      <c r="V1575">
        <f ca="1" t="shared" si="47"/>
        <v>7.3</v>
      </c>
      <c r="AC1575" s="2"/>
      <c r="AD1575" t="str">
        <f>IFERROR(__xludf.DUMMYFUNCTION("""COMPUTED_VALUE"""),"Bringing Out the Dead ")</f>
        <v>Bringing Out the Dead </v>
      </c>
      <c r="AE1575">
        <f t="shared" si="48"/>
        <v>16640089</v>
      </c>
    </row>
    <row r="1576" customHeight="1" spans="1:31">
      <c r="A1576" s="2" t="s">
        <v>385</v>
      </c>
      <c r="B1576" s="2">
        <v>112</v>
      </c>
      <c r="C1576" s="2">
        <v>32357532</v>
      </c>
      <c r="D1576" s="2" t="s">
        <v>521</v>
      </c>
      <c r="E1576" s="2" t="s">
        <v>40</v>
      </c>
      <c r="F1576" t="s">
        <v>17</v>
      </c>
      <c r="G1576" t="s">
        <v>15</v>
      </c>
      <c r="N1576" s="2" t="s">
        <v>18</v>
      </c>
      <c r="O1576" s="2" t="s">
        <v>19</v>
      </c>
      <c r="P1576" s="2">
        <v>30000000</v>
      </c>
      <c r="Q1576" s="2">
        <v>6.7</v>
      </c>
      <c r="R1576" s="2" t="s">
        <v>3605</v>
      </c>
      <c r="S1576" s="2"/>
      <c r="U1576" s="2" t="s">
        <v>3606</v>
      </c>
      <c r="V1576">
        <f ca="1" t="shared" si="47"/>
        <v>6.8</v>
      </c>
      <c r="AC1576" s="2"/>
      <c r="AD1576" t="str">
        <f>IFERROR(__xludf.DUMMYFUNCTION("""COMPUTED_VALUE"""),"Repo Men ")</f>
        <v>Repo Men </v>
      </c>
      <c r="AE1576">
        <f t="shared" si="48"/>
        <v>13763011</v>
      </c>
    </row>
    <row r="1577" customHeight="1" spans="1:31">
      <c r="A1577" s="2" t="s">
        <v>1080</v>
      </c>
      <c r="B1577" s="2">
        <v>108</v>
      </c>
      <c r="C1577" s="2">
        <v>16930884</v>
      </c>
      <c r="D1577" s="2" t="s">
        <v>814</v>
      </c>
      <c r="E1577" s="2" t="s">
        <v>56</v>
      </c>
      <c r="F1577" t="s">
        <v>24</v>
      </c>
      <c r="G1577" t="s">
        <v>30</v>
      </c>
      <c r="N1577" s="2" t="s">
        <v>18</v>
      </c>
      <c r="O1577" s="2" t="s">
        <v>19</v>
      </c>
      <c r="P1577" s="2">
        <v>30000000</v>
      </c>
      <c r="Q1577" s="2">
        <v>5.9</v>
      </c>
      <c r="R1577" s="2" t="s">
        <v>3607</v>
      </c>
      <c r="S1577" s="2"/>
      <c r="U1577" s="2" t="s">
        <v>3608</v>
      </c>
      <c r="V1577">
        <f ca="1" t="shared" si="47"/>
        <v>3.9</v>
      </c>
      <c r="AC1577" s="2"/>
      <c r="AD1577" t="str">
        <f>IFERROR(__xludf.DUMMYFUNCTION("""COMPUTED_VALUE"""),"Dragon Wars: D-War ")</f>
        <v>Dragon Wars: D-War </v>
      </c>
      <c r="AE1577">
        <f t="shared" si="48"/>
        <v>10956272</v>
      </c>
    </row>
    <row r="1578" customHeight="1" spans="1:31">
      <c r="A1578" s="2" t="s">
        <v>1881</v>
      </c>
      <c r="B1578" s="2">
        <v>126</v>
      </c>
      <c r="C1578" s="2">
        <v>18324242</v>
      </c>
      <c r="D1578" s="2" t="s">
        <v>30</v>
      </c>
      <c r="E1578" s="2" t="s">
        <v>30</v>
      </c>
      <c r="F1578" t="s">
        <v>59</v>
      </c>
      <c r="G1578" t="s">
        <v>24</v>
      </c>
      <c r="N1578" s="2" t="s">
        <v>18</v>
      </c>
      <c r="O1578" s="2" t="s">
        <v>19</v>
      </c>
      <c r="P1578" s="2">
        <v>35000000</v>
      </c>
      <c r="Q1578" s="2">
        <v>7.3</v>
      </c>
      <c r="R1578" s="2" t="s">
        <v>3609</v>
      </c>
      <c r="S1578" s="2"/>
      <c r="U1578" s="2" t="s">
        <v>3610</v>
      </c>
      <c r="V1578">
        <f ca="1" t="shared" si="47"/>
        <v>6.1</v>
      </c>
      <c r="AC1578" s="2"/>
      <c r="AD1578" t="str">
        <f>IFERROR(__xludf.DUMMYFUNCTION("""COMPUTED_VALUE"""),"Bogus ")</f>
        <v>Bogus </v>
      </c>
      <c r="AE1578">
        <f t="shared" si="48"/>
        <v>4356890</v>
      </c>
    </row>
    <row r="1579" customHeight="1" spans="1:31">
      <c r="A1579" s="2" t="s">
        <v>1304</v>
      </c>
      <c r="B1579" s="2">
        <v>98</v>
      </c>
      <c r="C1579" s="2">
        <v>16323969</v>
      </c>
      <c r="D1579" s="2" t="s">
        <v>2471</v>
      </c>
      <c r="E1579" s="2" t="s">
        <v>40</v>
      </c>
      <c r="F1579" t="s">
        <v>30</v>
      </c>
      <c r="G1579" t="s">
        <v>28</v>
      </c>
      <c r="N1579" s="2" t="s">
        <v>18</v>
      </c>
      <c r="O1579" s="2" t="s">
        <v>19</v>
      </c>
      <c r="P1579" s="2">
        <v>40000000</v>
      </c>
      <c r="Q1579" s="2">
        <v>5.5</v>
      </c>
      <c r="R1579" s="2" t="s">
        <v>3611</v>
      </c>
      <c r="S1579" s="2"/>
      <c r="U1579" s="2" t="s">
        <v>3612</v>
      </c>
      <c r="V1579">
        <f ca="1" t="shared" si="47"/>
        <v>6.8</v>
      </c>
      <c r="AC1579" s="2"/>
      <c r="AD1579" t="str">
        <f>IFERROR(__xludf.DUMMYFUNCTION("""COMPUTED_VALUE"""),"The Incredible Burt Wonderstone ")</f>
        <v>The Incredible Burt Wonderstone </v>
      </c>
      <c r="AE1579">
        <f t="shared" si="48"/>
        <v>22525821</v>
      </c>
    </row>
    <row r="1580" customHeight="1" spans="1:31">
      <c r="A1580" s="2" t="s">
        <v>1883</v>
      </c>
      <c r="B1580" s="2">
        <v>104</v>
      </c>
      <c r="C1580" s="2">
        <v>16999046</v>
      </c>
      <c r="D1580" s="2" t="s">
        <v>299</v>
      </c>
      <c r="E1580" s="2" t="s">
        <v>30</v>
      </c>
      <c r="F1580" t="s">
        <v>30</v>
      </c>
      <c r="G1580" t="s">
        <v>39</v>
      </c>
      <c r="N1580" s="2" t="s">
        <v>18</v>
      </c>
      <c r="O1580" s="2" t="s">
        <v>121</v>
      </c>
      <c r="P1580" s="2">
        <v>26000000</v>
      </c>
      <c r="Q1580" s="2">
        <v>5.8</v>
      </c>
      <c r="R1580" s="2" t="s">
        <v>3613</v>
      </c>
      <c r="S1580" s="2"/>
      <c r="U1580" s="2" t="s">
        <v>3614</v>
      </c>
      <c r="V1580">
        <f ca="1" t="shared" si="47"/>
        <v>7.8</v>
      </c>
      <c r="AC1580" s="2"/>
      <c r="AD1580" t="str">
        <f>IFERROR(__xludf.DUMMYFUNCTION("""COMPUTED_VALUE"""),"Cats Don't Dance ")</f>
        <v>Cats Don't Dance </v>
      </c>
      <c r="AE1580">
        <f t="shared" si="48"/>
        <v>3562674</v>
      </c>
    </row>
    <row r="1581" customHeight="1" spans="1:31">
      <c r="A1581" s="2" t="s">
        <v>1885</v>
      </c>
      <c r="B1581" s="2">
        <v>110</v>
      </c>
      <c r="C1581" s="2">
        <v>16295774</v>
      </c>
      <c r="D1581" s="2" t="s">
        <v>1807</v>
      </c>
      <c r="E1581" s="2" t="s">
        <v>12</v>
      </c>
      <c r="F1581" t="s">
        <v>72</v>
      </c>
      <c r="G1581" t="s">
        <v>23</v>
      </c>
      <c r="N1581" s="2" t="s">
        <v>18</v>
      </c>
      <c r="O1581" s="2" t="s">
        <v>19</v>
      </c>
      <c r="P1581" s="2">
        <v>35000000</v>
      </c>
      <c r="Q1581" s="2">
        <v>4.6</v>
      </c>
      <c r="R1581" s="2" t="s">
        <v>3615</v>
      </c>
      <c r="S1581" s="2"/>
      <c r="U1581" s="2" t="s">
        <v>3616</v>
      </c>
      <c r="V1581">
        <f ca="1" t="shared" si="47"/>
        <v>6.8</v>
      </c>
      <c r="AC1581" s="2"/>
      <c r="AD1581" t="str">
        <f>IFERROR(__xludf.DUMMYFUNCTION("""COMPUTED_VALUE"""),"Cradle Will Rock ")</f>
        <v>Cradle Will Rock </v>
      </c>
      <c r="AE1581">
        <f t="shared" si="48"/>
        <v>2899838</v>
      </c>
    </row>
    <row r="1582" customHeight="1" spans="1:31">
      <c r="A1582" s="2" t="s">
        <v>1887</v>
      </c>
      <c r="B1582" s="2">
        <v>130</v>
      </c>
      <c r="C1582" s="2">
        <v>15709385</v>
      </c>
      <c r="D1582" s="2" t="s">
        <v>805</v>
      </c>
      <c r="E1582" s="2" t="s">
        <v>56</v>
      </c>
      <c r="F1582" t="s">
        <v>14</v>
      </c>
      <c r="G1582" t="s">
        <v>17</v>
      </c>
      <c r="N1582" s="2" t="s">
        <v>18</v>
      </c>
      <c r="O1582" s="2" t="s">
        <v>19</v>
      </c>
      <c r="P1582" s="2">
        <v>30000000</v>
      </c>
      <c r="Q1582" s="2">
        <v>6.7</v>
      </c>
      <c r="R1582" s="2" t="s">
        <v>3617</v>
      </c>
      <c r="S1582" s="2"/>
      <c r="U1582" s="2" t="s">
        <v>3618</v>
      </c>
      <c r="V1582">
        <f ca="1" t="shared" si="47"/>
        <v>7</v>
      </c>
      <c r="AC1582" s="2"/>
      <c r="AD1582" t="str">
        <f>IFERROR(__xludf.DUMMYFUNCTION("""COMPUTED_VALUE"""),"The Good German ")</f>
        <v>The Good German </v>
      </c>
      <c r="AE1582">
        <f t="shared" si="48"/>
        <v>1304732</v>
      </c>
    </row>
    <row r="1583" customHeight="1" spans="1:31">
      <c r="A1583" s="2" t="s">
        <v>1889</v>
      </c>
      <c r="B1583" s="2">
        <v>93</v>
      </c>
      <c r="C1583" s="2">
        <v>14888028</v>
      </c>
      <c r="D1583" s="2" t="s">
        <v>3619</v>
      </c>
      <c r="E1583" s="2" t="s">
        <v>13</v>
      </c>
      <c r="F1583" t="s">
        <v>30</v>
      </c>
      <c r="G1583" t="s">
        <v>30</v>
      </c>
      <c r="N1583" s="2" t="s">
        <v>18</v>
      </c>
      <c r="O1583" s="2" t="s">
        <v>19</v>
      </c>
      <c r="P1583" s="2">
        <v>30000000</v>
      </c>
      <c r="Q1583" s="2">
        <v>5.1</v>
      </c>
      <c r="R1583" s="2" t="s">
        <v>3620</v>
      </c>
      <c r="S1583" s="2"/>
      <c r="U1583" s="2" t="s">
        <v>3621</v>
      </c>
      <c r="V1583">
        <f ca="1" t="shared" si="47"/>
        <v>6.5</v>
      </c>
      <c r="AC1583" s="2"/>
      <c r="AD1583" t="str">
        <f>IFERROR(__xludf.DUMMYFUNCTION("""COMPUTED_VALUE"""),"Apocalypse Now ")</f>
        <v>Apocalypse Now </v>
      </c>
      <c r="AE1583">
        <f t="shared" si="48"/>
        <v>78799711</v>
      </c>
    </row>
    <row r="1584" customHeight="1" spans="1:31">
      <c r="A1584" s="2" t="s">
        <v>1030</v>
      </c>
      <c r="B1584" s="2">
        <v>96</v>
      </c>
      <c r="C1584" s="2">
        <v>14208384</v>
      </c>
      <c r="D1584" s="2" t="s">
        <v>607</v>
      </c>
      <c r="E1584" s="2" t="s">
        <v>40</v>
      </c>
      <c r="F1584" t="s">
        <v>40</v>
      </c>
      <c r="G1584" t="s">
        <v>83</v>
      </c>
      <c r="N1584" s="2" t="s">
        <v>18</v>
      </c>
      <c r="O1584" s="2" t="s">
        <v>19</v>
      </c>
      <c r="P1584" s="2">
        <v>30000000</v>
      </c>
      <c r="Q1584" s="2">
        <v>5.6</v>
      </c>
      <c r="R1584" s="2" t="s">
        <v>3622</v>
      </c>
      <c r="S1584" s="2"/>
      <c r="U1584" s="2" t="s">
        <v>3623</v>
      </c>
      <c r="V1584">
        <f ca="1" t="shared" si="47"/>
        <v>6.4</v>
      </c>
      <c r="AC1584" s="2"/>
      <c r="AD1584" t="str">
        <f>IFERROR(__xludf.DUMMYFUNCTION("""COMPUTED_VALUE"""),"Going the Distance ")</f>
        <v>Going the Distance </v>
      </c>
      <c r="AE1584">
        <f t="shared" si="48"/>
        <v>17797214</v>
      </c>
    </row>
    <row r="1585" customHeight="1" spans="1:31">
      <c r="A1585" s="2" t="s">
        <v>1451</v>
      </c>
      <c r="B1585" s="2">
        <v>114</v>
      </c>
      <c r="C1585" s="2">
        <v>12831121</v>
      </c>
      <c r="D1585" s="2" t="s">
        <v>1300</v>
      </c>
      <c r="E1585" s="2" t="s">
        <v>30</v>
      </c>
      <c r="F1585" t="s">
        <v>23</v>
      </c>
      <c r="G1585" t="s">
        <v>30</v>
      </c>
      <c r="N1585" s="2" t="s">
        <v>18</v>
      </c>
      <c r="O1585" s="2" t="s">
        <v>19</v>
      </c>
      <c r="P1585" s="2">
        <v>30000000</v>
      </c>
      <c r="Q1585" s="2">
        <v>7</v>
      </c>
      <c r="R1585" s="2" t="s">
        <v>3624</v>
      </c>
      <c r="S1585" s="2"/>
      <c r="U1585" s="2" t="s">
        <v>3625</v>
      </c>
      <c r="V1585">
        <f ca="1" t="shared" si="47"/>
        <v>5.3</v>
      </c>
      <c r="AC1585" s="2"/>
      <c r="AD1585" t="str">
        <f>IFERROR(__xludf.DUMMYFUNCTION("""COMPUTED_VALUE"""),"Mr. Holland's Opus ")</f>
        <v>Mr. Holland's Opus </v>
      </c>
      <c r="AE1585">
        <f t="shared" si="48"/>
        <v>82527954</v>
      </c>
    </row>
    <row r="1586" customHeight="1" spans="1:31">
      <c r="A1586" s="2" t="s">
        <v>1891</v>
      </c>
      <c r="B1586" s="2">
        <v>106</v>
      </c>
      <c r="C1586" s="2">
        <v>18298649</v>
      </c>
      <c r="D1586" s="2" t="s">
        <v>3178</v>
      </c>
      <c r="E1586" s="2" t="s">
        <v>40</v>
      </c>
      <c r="F1586" t="s">
        <v>72</v>
      </c>
      <c r="G1586" t="s">
        <v>17</v>
      </c>
      <c r="N1586" s="2" t="s">
        <v>18</v>
      </c>
      <c r="O1586" s="2" t="s">
        <v>19</v>
      </c>
      <c r="P1586" s="2">
        <v>30000000</v>
      </c>
      <c r="Q1586" s="2">
        <v>6.4</v>
      </c>
      <c r="R1586" s="2" t="s">
        <v>3626</v>
      </c>
      <c r="S1586" s="2"/>
      <c r="U1586" s="2" t="s">
        <v>3627</v>
      </c>
      <c r="V1586">
        <f ca="1" t="shared" si="47"/>
        <v>7</v>
      </c>
      <c r="AC1586" s="2"/>
      <c r="AD1586" t="str">
        <f>IFERROR(__xludf.DUMMYFUNCTION("""COMPUTED_VALUE"""),"Criminal ")</f>
        <v>Criminal </v>
      </c>
      <c r="AE1586">
        <f t="shared" si="48"/>
        <v>14268420</v>
      </c>
    </row>
    <row r="1587" customHeight="1" spans="1:31">
      <c r="A1587" s="2" t="s">
        <v>1236</v>
      </c>
      <c r="B1587" s="2">
        <v>150</v>
      </c>
      <c r="C1587" s="2">
        <v>12712093</v>
      </c>
      <c r="D1587" s="2" t="s">
        <v>2530</v>
      </c>
      <c r="E1587" s="2" t="s">
        <v>59</v>
      </c>
      <c r="F1587" t="s">
        <v>30</v>
      </c>
      <c r="G1587" t="s">
        <v>14</v>
      </c>
      <c r="N1587" s="2" t="s">
        <v>18</v>
      </c>
      <c r="O1587" s="2" t="s">
        <v>19</v>
      </c>
      <c r="P1587" s="2">
        <v>30000000</v>
      </c>
      <c r="Q1587" s="2">
        <v>6.7</v>
      </c>
      <c r="R1587" s="2" t="s">
        <v>3628</v>
      </c>
      <c r="S1587" s="2"/>
      <c r="U1587" s="2" t="s">
        <v>3629</v>
      </c>
      <c r="V1587">
        <f ca="1" t="shared" si="47"/>
        <v>7.25</v>
      </c>
      <c r="AC1587" s="2"/>
      <c r="AD1587" t="str">
        <f>IFERROR(__xludf.DUMMYFUNCTION("""COMPUTED_VALUE"""),"Out of Africa ")</f>
        <v>Out of Africa </v>
      </c>
      <c r="AE1587">
        <f t="shared" si="48"/>
        <v>87099839</v>
      </c>
    </row>
    <row r="1588" customHeight="1" spans="1:31">
      <c r="A1588" s="2" t="s">
        <v>1893</v>
      </c>
      <c r="B1588" s="2">
        <v>100</v>
      </c>
      <c r="C1588" s="2">
        <v>11576087</v>
      </c>
      <c r="D1588" s="2" t="s">
        <v>38</v>
      </c>
      <c r="E1588" s="2" t="s">
        <v>12</v>
      </c>
      <c r="F1588" t="s">
        <v>72</v>
      </c>
      <c r="G1588" t="s">
        <v>28</v>
      </c>
      <c r="N1588" s="2" t="s">
        <v>18</v>
      </c>
      <c r="O1588" s="2" t="s">
        <v>19</v>
      </c>
      <c r="P1588" s="2">
        <v>30000000</v>
      </c>
      <c r="Q1588" s="2">
        <v>4.1</v>
      </c>
      <c r="R1588" s="2" t="s">
        <v>3630</v>
      </c>
      <c r="S1588" s="2"/>
      <c r="U1588" s="2" t="s">
        <v>3631</v>
      </c>
      <c r="V1588">
        <f ca="1" t="shared" si="47"/>
        <v>7.1</v>
      </c>
      <c r="AC1588" s="2"/>
      <c r="AD1588" t="str">
        <f>IFERROR(__xludf.DUMMYFUNCTION("""COMPUTED_VALUE"""),"Flight ")</f>
        <v>Flight </v>
      </c>
      <c r="AE1588">
        <f t="shared" si="48"/>
        <v>93749065</v>
      </c>
    </row>
    <row r="1589" customHeight="1" spans="1:31">
      <c r="A1589" s="2" t="s">
        <v>1255</v>
      </c>
      <c r="B1589" s="2">
        <v>100</v>
      </c>
      <c r="C1589" s="2">
        <v>11900000</v>
      </c>
      <c r="D1589" s="2" t="s">
        <v>748</v>
      </c>
      <c r="E1589" s="2" t="s">
        <v>30</v>
      </c>
      <c r="F1589" t="s">
        <v>30</v>
      </c>
      <c r="G1589" t="s">
        <v>16</v>
      </c>
      <c r="N1589" s="2" t="s">
        <v>18</v>
      </c>
      <c r="O1589" s="2" t="s">
        <v>19</v>
      </c>
      <c r="P1589" s="2">
        <v>30000000</v>
      </c>
      <c r="Q1589" s="2">
        <v>5.5</v>
      </c>
      <c r="R1589" s="2" t="s">
        <v>3632</v>
      </c>
      <c r="S1589" s="2"/>
      <c r="U1589" s="2" t="s">
        <v>3633</v>
      </c>
      <c r="V1589">
        <f ca="1" t="shared" si="47"/>
        <v>8.5</v>
      </c>
      <c r="AC1589" s="2"/>
      <c r="AD1589" t="str">
        <f>IFERROR(__xludf.DUMMYFUNCTION("""COMPUTED_VALUE"""),"Moonraker ")</f>
        <v>Moonraker </v>
      </c>
      <c r="AE1589">
        <f t="shared" si="48"/>
        <v>62699874</v>
      </c>
    </row>
    <row r="1590" customHeight="1" spans="1:31">
      <c r="A1590" s="2" t="s">
        <v>1365</v>
      </c>
      <c r="B1590" s="2">
        <v>100</v>
      </c>
      <c r="C1590" s="2">
        <v>9353573</v>
      </c>
      <c r="D1590" s="2" t="s">
        <v>120</v>
      </c>
      <c r="E1590" s="2" t="s">
        <v>12</v>
      </c>
      <c r="F1590" t="s">
        <v>30</v>
      </c>
      <c r="G1590" t="s">
        <v>71</v>
      </c>
      <c r="N1590" s="2" t="s">
        <v>18</v>
      </c>
      <c r="O1590" s="2" t="s">
        <v>19</v>
      </c>
      <c r="P1590" s="2">
        <v>45000000</v>
      </c>
      <c r="Q1590" s="2">
        <v>2.7</v>
      </c>
      <c r="R1590" s="2" t="s">
        <v>3634</v>
      </c>
      <c r="S1590" s="2"/>
      <c r="U1590" s="2" t="s">
        <v>3635</v>
      </c>
      <c r="V1590">
        <f ca="1" t="shared" si="47"/>
        <v>8.7</v>
      </c>
      <c r="AC1590" s="2"/>
      <c r="AD1590" t="str">
        <f>IFERROR(__xludf.DUMMYFUNCTION("""COMPUTED_VALUE"""),"The Grand Budapest Hotel ")</f>
        <v>The Grand Budapest Hotel </v>
      </c>
      <c r="AE1590">
        <f t="shared" si="48"/>
        <v>59073674</v>
      </c>
    </row>
    <row r="1591" customHeight="1" spans="1:31">
      <c r="A1591" s="2" t="s">
        <v>1895</v>
      </c>
      <c r="B1591" s="2">
        <v>107</v>
      </c>
      <c r="C1591" s="2">
        <v>12026670</v>
      </c>
      <c r="D1591" s="2" t="s">
        <v>150</v>
      </c>
      <c r="E1591" s="2" t="s">
        <v>12</v>
      </c>
      <c r="F1591" t="s">
        <v>40</v>
      </c>
      <c r="G1591" t="s">
        <v>39</v>
      </c>
      <c r="N1591" s="2" t="s">
        <v>18</v>
      </c>
      <c r="O1591" s="2" t="s">
        <v>19</v>
      </c>
      <c r="P1591" s="2">
        <v>45000000</v>
      </c>
      <c r="Q1591" s="2">
        <v>6.4</v>
      </c>
      <c r="R1591" s="2" t="s">
        <v>3636</v>
      </c>
      <c r="S1591" s="2"/>
      <c r="U1591" s="2" t="s">
        <v>3637</v>
      </c>
      <c r="V1591">
        <f ca="1" t="shared" ref="V1591:V1654" si="49">AVERAGEIF(A1475:A5260,U1591,Q1476:Q5260)</f>
        <v>8.3</v>
      </c>
      <c r="AC1591" s="2"/>
      <c r="AD1591" t="str">
        <f>IFERROR(__xludf.DUMMYFUNCTION("""COMPUTED_VALUE"""),"Hearts in Atlantis ")</f>
        <v>Hearts in Atlantis </v>
      </c>
      <c r="AE1591">
        <f t="shared" ref="AE1591:AE1654" si="50">C1475-B1475</f>
        <v>24185680</v>
      </c>
    </row>
    <row r="1592" customHeight="1" spans="1:31">
      <c r="A1592" s="2" t="s">
        <v>1897</v>
      </c>
      <c r="B1592" s="2">
        <v>102</v>
      </c>
      <c r="C1592" s="2">
        <v>14334645</v>
      </c>
      <c r="D1592" s="2" t="s">
        <v>1461</v>
      </c>
      <c r="E1592" s="2" t="s">
        <v>30</v>
      </c>
      <c r="F1592" t="s">
        <v>56</v>
      </c>
      <c r="G1592" t="s">
        <v>15</v>
      </c>
      <c r="N1592" s="2" t="s">
        <v>18</v>
      </c>
      <c r="O1592" s="2" t="s">
        <v>19</v>
      </c>
      <c r="P1592" s="2">
        <v>25000000</v>
      </c>
      <c r="Q1592" s="2">
        <v>4.8</v>
      </c>
      <c r="R1592" s="2" t="s">
        <v>3638</v>
      </c>
      <c r="S1592" s="2"/>
      <c r="U1592" s="2" t="s">
        <v>3639</v>
      </c>
      <c r="V1592">
        <f ca="1" t="shared" si="49"/>
        <v>7.5</v>
      </c>
      <c r="AC1592" s="2"/>
      <c r="AD1592" t="str">
        <f>IFERROR(__xludf.DUMMYFUNCTION("""COMPUTED_VALUE"""),"Arachnophobia ")</f>
        <v>Arachnophobia </v>
      </c>
      <c r="AE1592">
        <f t="shared" si="50"/>
        <v>53133785</v>
      </c>
    </row>
    <row r="1593" customHeight="1" spans="1:31">
      <c r="A1593" s="2" t="s">
        <v>1899</v>
      </c>
      <c r="B1593" s="2">
        <v>101</v>
      </c>
      <c r="C1593" s="2">
        <v>12189514</v>
      </c>
      <c r="D1593" s="2" t="s">
        <v>607</v>
      </c>
      <c r="E1593" s="2" t="s">
        <v>40</v>
      </c>
      <c r="F1593" t="s">
        <v>13</v>
      </c>
      <c r="G1593" t="s">
        <v>17</v>
      </c>
      <c r="N1593" s="2" t="s">
        <v>18</v>
      </c>
      <c r="O1593" s="2" t="s">
        <v>19</v>
      </c>
      <c r="P1593" s="2">
        <v>23000000</v>
      </c>
      <c r="Q1593" s="2">
        <v>6.1</v>
      </c>
      <c r="R1593" s="2" t="s">
        <v>3640</v>
      </c>
      <c r="S1593" s="2"/>
      <c r="U1593" s="2" t="s">
        <v>3641</v>
      </c>
      <c r="V1593">
        <f ca="1" t="shared" si="49"/>
        <v>7.2</v>
      </c>
      <c r="AC1593" s="2"/>
      <c r="AD1593" t="str">
        <f>IFERROR(__xludf.DUMMYFUNCTION("""COMPUTED_VALUE"""),"Frequency ")</f>
        <v>Frequency </v>
      </c>
      <c r="AE1593">
        <f t="shared" si="50"/>
        <v>44983586</v>
      </c>
    </row>
    <row r="1594" customHeight="1" spans="1:31">
      <c r="A1594" s="2" t="s">
        <v>1901</v>
      </c>
      <c r="B1594" s="2">
        <v>86</v>
      </c>
      <c r="C1594" s="2">
        <v>10134754</v>
      </c>
      <c r="D1594" s="2" t="s">
        <v>1159</v>
      </c>
      <c r="E1594" s="2" t="s">
        <v>35</v>
      </c>
      <c r="F1594" t="s">
        <v>17</v>
      </c>
      <c r="G1594" t="s">
        <v>14</v>
      </c>
      <c r="N1594" s="2" t="s">
        <v>18</v>
      </c>
      <c r="O1594" s="2" t="s">
        <v>19</v>
      </c>
      <c r="P1594" s="2">
        <v>30000000</v>
      </c>
      <c r="Q1594" s="2">
        <v>4.8</v>
      </c>
      <c r="R1594" s="2" t="s">
        <v>3642</v>
      </c>
      <c r="S1594" s="2"/>
      <c r="U1594" s="2" t="s">
        <v>3643</v>
      </c>
      <c r="V1594">
        <f ca="1" t="shared" si="49"/>
        <v>7.4</v>
      </c>
      <c r="AC1594" s="2"/>
      <c r="AD1594" t="str">
        <f>IFERROR(__xludf.DUMMYFUNCTION("""COMPUTED_VALUE"""),"Vacation ")</f>
        <v>Vacation </v>
      </c>
      <c r="AE1594">
        <f t="shared" si="50"/>
        <v>58879033</v>
      </c>
    </row>
    <row r="1595" customHeight="1" spans="1:31">
      <c r="A1595" s="2" t="s">
        <v>1698</v>
      </c>
      <c r="B1595" s="2">
        <v>108</v>
      </c>
      <c r="C1595" s="2">
        <v>8535575</v>
      </c>
      <c r="D1595" s="2" t="s">
        <v>30</v>
      </c>
      <c r="E1595" s="2" t="s">
        <v>30</v>
      </c>
      <c r="F1595" t="s">
        <v>30</v>
      </c>
      <c r="G1595" t="s">
        <v>35</v>
      </c>
      <c r="N1595" s="2" t="s">
        <v>18</v>
      </c>
      <c r="O1595" s="2" t="s">
        <v>19</v>
      </c>
      <c r="P1595" s="2">
        <v>30000000</v>
      </c>
      <c r="Q1595" s="2">
        <v>7</v>
      </c>
      <c r="R1595" s="2" t="s">
        <v>3644</v>
      </c>
      <c r="S1595" s="2"/>
      <c r="U1595" s="2" t="s">
        <v>3645</v>
      </c>
      <c r="V1595">
        <f ca="1" t="shared" si="49"/>
        <v>7.4</v>
      </c>
      <c r="AC1595" s="2"/>
      <c r="AD1595" t="str">
        <f>IFERROR(__xludf.DUMMYFUNCTION("""COMPUTED_VALUE"""),"Get Shorty ")</f>
        <v>Get Shorty </v>
      </c>
      <c r="AE1595">
        <f t="shared" si="50"/>
        <v>72076895</v>
      </c>
    </row>
    <row r="1596" customHeight="1" spans="1:31">
      <c r="A1596" s="2" t="s">
        <v>836</v>
      </c>
      <c r="B1596" s="2">
        <v>123</v>
      </c>
      <c r="C1596" s="2">
        <v>7689458</v>
      </c>
      <c r="D1596" s="2" t="s">
        <v>3646</v>
      </c>
      <c r="E1596" s="2" t="s">
        <v>13</v>
      </c>
      <c r="F1596" t="s">
        <v>30</v>
      </c>
      <c r="G1596" t="s">
        <v>39</v>
      </c>
      <c r="N1596" s="2" t="s">
        <v>18</v>
      </c>
      <c r="O1596" s="2" t="s">
        <v>31</v>
      </c>
      <c r="P1596" s="2">
        <v>40000000</v>
      </c>
      <c r="Q1596" s="2">
        <v>6.8</v>
      </c>
      <c r="R1596" s="2" t="s">
        <v>3647</v>
      </c>
      <c r="S1596" s="2"/>
      <c r="U1596" s="2" t="s">
        <v>3648</v>
      </c>
      <c r="V1596">
        <f ca="1" t="shared" si="49"/>
        <v>8.2</v>
      </c>
      <c r="AC1596" s="2"/>
      <c r="AD1596" t="str">
        <f>IFERROR(__xludf.DUMMYFUNCTION("""COMPUTED_VALUE"""),"Chicago ")</f>
        <v>Chicago </v>
      </c>
      <c r="AE1596">
        <f t="shared" si="50"/>
        <v>170684392</v>
      </c>
    </row>
    <row r="1597" customHeight="1" spans="1:31">
      <c r="A1597" s="2" t="s">
        <v>1382</v>
      </c>
      <c r="B1597" s="2">
        <v>88</v>
      </c>
      <c r="C1597" s="2">
        <v>19316646</v>
      </c>
      <c r="D1597" s="2" t="s">
        <v>557</v>
      </c>
      <c r="E1597" s="2" t="s">
        <v>56</v>
      </c>
      <c r="F1597" t="s">
        <v>30</v>
      </c>
      <c r="G1597" t="s">
        <v>30</v>
      </c>
      <c r="N1597" s="2" t="s">
        <v>18</v>
      </c>
      <c r="O1597" s="2" t="s">
        <v>19</v>
      </c>
      <c r="P1597" s="2">
        <v>30000000</v>
      </c>
      <c r="Q1597" s="2">
        <v>5.6</v>
      </c>
      <c r="R1597" s="2" t="s">
        <v>3649</v>
      </c>
      <c r="S1597" s="2"/>
      <c r="U1597" s="2" t="s">
        <v>3650</v>
      </c>
      <c r="V1597">
        <f ca="1" t="shared" si="49"/>
        <v>7.2</v>
      </c>
      <c r="AC1597" s="2"/>
      <c r="AD1597" t="str">
        <f>IFERROR(__xludf.DUMMYFUNCTION("""COMPUTED_VALUE"""),"Big Daddy ")</f>
        <v>Big Daddy </v>
      </c>
      <c r="AE1597">
        <f t="shared" si="50"/>
        <v>163479702</v>
      </c>
    </row>
    <row r="1598" customHeight="1" spans="1:31">
      <c r="A1598" s="2" t="s">
        <v>1409</v>
      </c>
      <c r="B1598" s="2">
        <v>109</v>
      </c>
      <c r="C1598" s="2">
        <v>10965209</v>
      </c>
      <c r="D1598" s="2" t="s">
        <v>186</v>
      </c>
      <c r="E1598" s="2" t="s">
        <v>12</v>
      </c>
      <c r="F1598" t="s">
        <v>24</v>
      </c>
      <c r="G1598" t="s">
        <v>14</v>
      </c>
      <c r="N1598" s="2" t="s">
        <v>18</v>
      </c>
      <c r="O1598" s="2" t="s">
        <v>19</v>
      </c>
      <c r="P1598" s="2">
        <v>30000000</v>
      </c>
      <c r="Q1598" s="2">
        <v>6.1</v>
      </c>
      <c r="R1598" s="2" t="s">
        <v>3651</v>
      </c>
      <c r="S1598" s="2"/>
      <c r="U1598" s="2" t="s">
        <v>3652</v>
      </c>
      <c r="V1598">
        <f ca="1" t="shared" si="49"/>
        <v>3</v>
      </c>
      <c r="AC1598" s="2"/>
      <c r="AD1598" t="str">
        <f>IFERROR(__xludf.DUMMYFUNCTION("""COMPUTED_VALUE"""),"American Pie 2 ")</f>
        <v>American Pie 2 </v>
      </c>
      <c r="AE1598">
        <f t="shared" si="50"/>
        <v>145096712</v>
      </c>
    </row>
    <row r="1599" customHeight="1" spans="1:31">
      <c r="A1599" s="2" t="s">
        <v>385</v>
      </c>
      <c r="B1599" s="2">
        <v>122</v>
      </c>
      <c r="C1599" s="2">
        <v>26830000</v>
      </c>
      <c r="D1599" s="2" t="s">
        <v>731</v>
      </c>
      <c r="E1599" s="2" t="s">
        <v>30</v>
      </c>
      <c r="F1599" t="s">
        <v>13</v>
      </c>
      <c r="G1599" t="s">
        <v>56</v>
      </c>
      <c r="N1599" s="2" t="s">
        <v>18</v>
      </c>
      <c r="O1599" s="2" t="s">
        <v>19</v>
      </c>
      <c r="P1599" s="2">
        <v>18000000</v>
      </c>
      <c r="Q1599" s="2">
        <v>7.9</v>
      </c>
      <c r="R1599" s="2" t="s">
        <v>3653</v>
      </c>
      <c r="S1599" s="2"/>
      <c r="U1599" s="2" t="s">
        <v>3654</v>
      </c>
      <c r="V1599">
        <f ca="1" t="shared" si="49"/>
        <v>7.9</v>
      </c>
      <c r="AC1599" s="2"/>
      <c r="AD1599" t="str">
        <f>IFERROR(__xludf.DUMMYFUNCTION("""COMPUTED_VALUE"""),"Toy Story ")</f>
        <v>Toy Story </v>
      </c>
      <c r="AE1599">
        <f t="shared" si="50"/>
        <v>191796159</v>
      </c>
    </row>
    <row r="1600" customHeight="1" spans="1:31">
      <c r="A1600" s="2" t="s">
        <v>1903</v>
      </c>
      <c r="B1600" s="2">
        <v>251</v>
      </c>
      <c r="C1600" s="2">
        <v>5300000</v>
      </c>
      <c r="D1600" s="2" t="s">
        <v>718</v>
      </c>
      <c r="E1600" s="2" t="s">
        <v>56</v>
      </c>
      <c r="F1600" t="s">
        <v>30</v>
      </c>
      <c r="G1600" t="s">
        <v>28</v>
      </c>
      <c r="N1600" s="2" t="s">
        <v>18</v>
      </c>
      <c r="O1600" s="2" t="s">
        <v>3655</v>
      </c>
      <c r="P1600" s="2">
        <v>30000000</v>
      </c>
      <c r="Q1600" s="2">
        <v>8.4</v>
      </c>
      <c r="R1600" s="2" t="s">
        <v>3656</v>
      </c>
      <c r="S1600" s="2"/>
      <c r="U1600" s="2" t="s">
        <v>3657</v>
      </c>
      <c r="V1600">
        <f ca="1" t="shared" si="49"/>
        <v>6.5</v>
      </c>
      <c r="AC1600" s="2"/>
      <c r="AD1600" t="str">
        <f>IFERROR(__xludf.DUMMYFUNCTION("""COMPUTED_VALUE"""),"Speed ")</f>
        <v>Speed </v>
      </c>
      <c r="AE1600">
        <f t="shared" si="50"/>
        <v>121248029</v>
      </c>
    </row>
    <row r="1601" customHeight="1" spans="1:31">
      <c r="A1601" s="2" t="s">
        <v>1905</v>
      </c>
      <c r="B1601" s="2">
        <v>118</v>
      </c>
      <c r="C1601" s="2">
        <v>10880926</v>
      </c>
      <c r="D1601" s="2" t="s">
        <v>186</v>
      </c>
      <c r="E1601" s="2" t="s">
        <v>12</v>
      </c>
      <c r="F1601" t="s">
        <v>40</v>
      </c>
      <c r="G1601" t="s">
        <v>14</v>
      </c>
      <c r="N1601" s="2" t="s">
        <v>18</v>
      </c>
      <c r="O1601" s="2" t="s">
        <v>19</v>
      </c>
      <c r="P1601" s="2">
        <v>30000000</v>
      </c>
      <c r="Q1601" s="2">
        <v>6.5</v>
      </c>
      <c r="R1601" s="2" t="s">
        <v>3658</v>
      </c>
      <c r="S1601" s="2"/>
      <c r="U1601" s="2" t="s">
        <v>3659</v>
      </c>
      <c r="V1601">
        <f ca="1" t="shared" si="49"/>
        <v>7</v>
      </c>
      <c r="AC1601" s="2"/>
      <c r="AD1601" t="str">
        <f>IFERROR(__xludf.DUMMYFUNCTION("""COMPUTED_VALUE"""),"The Vow ")</f>
        <v>The Vow </v>
      </c>
      <c r="AE1601">
        <f t="shared" si="50"/>
        <v>125013926</v>
      </c>
    </row>
    <row r="1602" customHeight="1" spans="1:31">
      <c r="A1602" s="2" t="s">
        <v>1907</v>
      </c>
      <c r="B1602" s="2">
        <v>131</v>
      </c>
      <c r="C1602" s="2">
        <v>3752725</v>
      </c>
      <c r="D1602" s="2" t="s">
        <v>103</v>
      </c>
      <c r="E1602" s="2" t="s">
        <v>30</v>
      </c>
      <c r="F1602" t="s">
        <v>83</v>
      </c>
      <c r="G1602" t="s">
        <v>56</v>
      </c>
      <c r="N1602" s="2" t="s">
        <v>18</v>
      </c>
      <c r="O1602" s="2" t="s">
        <v>19</v>
      </c>
      <c r="P1602" s="2">
        <v>18000000</v>
      </c>
      <c r="Q1602" s="2">
        <v>7.1</v>
      </c>
      <c r="R1602" s="2" t="s">
        <v>3660</v>
      </c>
      <c r="S1602" s="2"/>
      <c r="U1602" s="2" t="s">
        <v>3661</v>
      </c>
      <c r="V1602">
        <f ca="1" t="shared" si="49"/>
        <v>6.9</v>
      </c>
      <c r="AC1602" s="2"/>
      <c r="AD1602" t="str">
        <f>IFERROR(__xludf.DUMMYFUNCTION("""COMPUTED_VALUE"""),"Extraordinary Measures ")</f>
        <v>Extraordinary Measures </v>
      </c>
      <c r="AE1602">
        <f t="shared" si="50"/>
        <v>11854588</v>
      </c>
    </row>
    <row r="1603" customHeight="1" spans="1:31">
      <c r="A1603" s="2" t="s">
        <v>1255</v>
      </c>
      <c r="B1603" s="2">
        <v>109</v>
      </c>
      <c r="C1603" s="2">
        <v>3517797</v>
      </c>
      <c r="D1603" s="2" t="s">
        <v>2398</v>
      </c>
      <c r="E1603" s="2" t="s">
        <v>12</v>
      </c>
      <c r="F1603" t="s">
        <v>30</v>
      </c>
      <c r="G1603" t="s">
        <v>71</v>
      </c>
      <c r="N1603" s="2" t="s">
        <v>18</v>
      </c>
      <c r="O1603" s="2" t="s">
        <v>707</v>
      </c>
      <c r="P1603" s="2">
        <v>25000000</v>
      </c>
      <c r="Q1603" s="2">
        <v>6.6</v>
      </c>
      <c r="R1603" s="2" t="s">
        <v>3662</v>
      </c>
      <c r="S1603" s="2"/>
      <c r="U1603" s="2" t="s">
        <v>3663</v>
      </c>
      <c r="V1603">
        <f ca="1" t="shared" si="49"/>
        <v>4.4</v>
      </c>
      <c r="AC1603" s="2"/>
      <c r="AD1603" t="str">
        <f>IFERROR(__xludf.DUMMYFUNCTION("""COMPUTED_VALUE"""),"Remember the Titans ")</f>
        <v>Remember the Titans </v>
      </c>
      <c r="AE1603">
        <f t="shared" si="50"/>
        <v>115648465</v>
      </c>
    </row>
    <row r="1604" customHeight="1" spans="1:31">
      <c r="A1604" s="2" t="s">
        <v>1803</v>
      </c>
      <c r="B1604" s="2">
        <v>88</v>
      </c>
      <c r="C1604" s="2">
        <v>2975649</v>
      </c>
      <c r="D1604" s="2" t="s">
        <v>2624</v>
      </c>
      <c r="E1604" s="2" t="s">
        <v>59</v>
      </c>
      <c r="F1604" t="s">
        <v>40</v>
      </c>
      <c r="G1604" t="s">
        <v>28</v>
      </c>
      <c r="N1604" s="2" t="s">
        <v>18</v>
      </c>
      <c r="O1604" s="2" t="s">
        <v>31</v>
      </c>
      <c r="P1604" s="2">
        <v>30000000</v>
      </c>
      <c r="Q1604" s="2">
        <v>7</v>
      </c>
      <c r="R1604" s="2" t="s">
        <v>3664</v>
      </c>
      <c r="S1604" s="2"/>
      <c r="U1604" s="2" t="s">
        <v>3665</v>
      </c>
      <c r="V1604">
        <f ca="1" t="shared" si="49"/>
        <v>6</v>
      </c>
      <c r="AC1604" s="2"/>
      <c r="AD1604" t="str">
        <f>IFERROR(__xludf.DUMMYFUNCTION("""COMPUTED_VALUE"""),"The Hunt for Red October ")</f>
        <v>The Hunt for Red October </v>
      </c>
      <c r="AE1604">
        <f t="shared" si="50"/>
        <v>122012508</v>
      </c>
    </row>
    <row r="1605" customHeight="1" spans="1:31">
      <c r="A1605" s="2" t="s">
        <v>1910</v>
      </c>
      <c r="B1605" s="2">
        <v>103</v>
      </c>
      <c r="C1605" s="2">
        <v>668171</v>
      </c>
      <c r="D1605" s="2" t="s">
        <v>2883</v>
      </c>
      <c r="E1605" s="2" t="s">
        <v>12</v>
      </c>
      <c r="F1605" t="s">
        <v>30</v>
      </c>
      <c r="G1605" t="s">
        <v>17</v>
      </c>
      <c r="N1605" s="2" t="s">
        <v>722</v>
      </c>
      <c r="O1605" s="2" t="s">
        <v>343</v>
      </c>
      <c r="P1605" s="2">
        <v>60000000</v>
      </c>
      <c r="Q1605" s="2">
        <v>5.6</v>
      </c>
      <c r="R1605" s="2" t="s">
        <v>3666</v>
      </c>
      <c r="S1605" s="2"/>
      <c r="U1605" s="2" t="s">
        <v>3667</v>
      </c>
      <c r="V1605">
        <f ca="1" t="shared" si="49"/>
        <v>5.3</v>
      </c>
      <c r="AC1605" s="2"/>
      <c r="AD1605" t="str">
        <f>IFERROR(__xludf.DUMMYFUNCTION("""COMPUTED_VALUE"""),"Lee Daniels' The Butler ")</f>
        <v>Lee Daniels' The Butler </v>
      </c>
      <c r="AE1605">
        <f t="shared" si="50"/>
        <v>116631178</v>
      </c>
    </row>
    <row r="1606" customHeight="1" spans="1:31">
      <c r="A1606" s="2" t="s">
        <v>1912</v>
      </c>
      <c r="B1606" s="2">
        <v>87</v>
      </c>
      <c r="C1606" s="2">
        <v>480314</v>
      </c>
      <c r="D1606" s="2" t="s">
        <v>70</v>
      </c>
      <c r="E1606" s="2" t="s">
        <v>12</v>
      </c>
      <c r="F1606" t="s">
        <v>30</v>
      </c>
      <c r="G1606" t="s">
        <v>15</v>
      </c>
      <c r="N1606" s="2" t="s">
        <v>18</v>
      </c>
      <c r="O1606" s="2" t="s">
        <v>19</v>
      </c>
      <c r="P1606" s="2">
        <v>21000000</v>
      </c>
      <c r="Q1606" s="2">
        <v>4.8</v>
      </c>
      <c r="R1606" s="2" t="s">
        <v>3668</v>
      </c>
      <c r="S1606" s="2"/>
      <c r="U1606" s="2" t="s">
        <v>3669</v>
      </c>
      <c r="V1606">
        <f ca="1" t="shared" si="49"/>
        <v>7.1</v>
      </c>
      <c r="AC1606" s="2"/>
      <c r="AD1606" t="str">
        <f>IFERROR(__xludf.DUMMYFUNCTION("""COMPUTED_VALUE"""),"Dodgeball: A True Underdog Story ")</f>
        <v>Dodgeball: A True Underdog Story </v>
      </c>
      <c r="AE1606">
        <f t="shared" si="50"/>
        <v>114323980</v>
      </c>
    </row>
    <row r="1607" customHeight="1" spans="1:31">
      <c r="A1607" s="2" t="s">
        <v>1914</v>
      </c>
      <c r="B1607" s="2">
        <v>160</v>
      </c>
      <c r="C1607" s="2">
        <v>3904982</v>
      </c>
      <c r="D1607" s="2" t="s">
        <v>3670</v>
      </c>
      <c r="E1607" s="2" t="s">
        <v>59</v>
      </c>
      <c r="F1607" t="s">
        <v>55</v>
      </c>
      <c r="G1607" t="s">
        <v>24</v>
      </c>
      <c r="N1607" s="2" t="s">
        <v>18</v>
      </c>
      <c r="O1607" s="2" t="s">
        <v>19</v>
      </c>
      <c r="P1607" s="2">
        <v>30000000</v>
      </c>
      <c r="Q1607" s="2">
        <v>7.5</v>
      </c>
      <c r="R1607" s="2" t="s">
        <v>3671</v>
      </c>
      <c r="S1607" s="2"/>
      <c r="U1607" s="2" t="s">
        <v>3672</v>
      </c>
      <c r="V1607">
        <f ca="1" t="shared" si="49"/>
        <v>5.4</v>
      </c>
      <c r="AC1607" s="2"/>
      <c r="AD1607" t="str">
        <f>IFERROR(__xludf.DUMMYFUNCTION("""COMPUTED_VALUE"""),"The Addams Family ")</f>
        <v>The Addams Family </v>
      </c>
      <c r="AE1607">
        <f t="shared" si="50"/>
        <v>113502147</v>
      </c>
    </row>
    <row r="1608" customHeight="1" spans="1:31">
      <c r="A1608" s="2" t="s">
        <v>1916</v>
      </c>
      <c r="B1608" s="2">
        <v>121</v>
      </c>
      <c r="C1608" s="2">
        <v>127437</v>
      </c>
      <c r="D1608" s="2" t="s">
        <v>414</v>
      </c>
      <c r="E1608" s="2" t="s">
        <v>12</v>
      </c>
      <c r="F1608" t="s">
        <v>30</v>
      </c>
      <c r="G1608" t="s">
        <v>17</v>
      </c>
      <c r="N1608" s="2" t="s">
        <v>722</v>
      </c>
      <c r="O1608" s="2" t="s">
        <v>343</v>
      </c>
      <c r="P1608" s="2">
        <v>18000000</v>
      </c>
      <c r="Q1608" s="2">
        <v>6</v>
      </c>
      <c r="R1608" s="2" t="s">
        <v>3673</v>
      </c>
      <c r="S1608" s="2"/>
      <c r="U1608" s="2" t="s">
        <v>3674</v>
      </c>
      <c r="V1608">
        <f ca="1" t="shared" si="49"/>
        <v>6.9</v>
      </c>
      <c r="AC1608" s="2"/>
      <c r="AD1608" t="str">
        <f>IFERROR(__xludf.DUMMYFUNCTION("""COMPUTED_VALUE"""),"Ace Ventura: When Nature Calls ")</f>
        <v>Ace Ventura: When Nature Calls </v>
      </c>
      <c r="AE1608">
        <f t="shared" si="50"/>
        <v>108359910</v>
      </c>
    </row>
    <row r="1609" customHeight="1" spans="1:31">
      <c r="A1609" s="2" t="s">
        <v>69</v>
      </c>
      <c r="B1609" s="2">
        <v>129</v>
      </c>
      <c r="C1609" s="2">
        <v>537580</v>
      </c>
      <c r="D1609" s="2" t="s">
        <v>3675</v>
      </c>
      <c r="E1609" s="2" t="s">
        <v>12</v>
      </c>
      <c r="F1609" t="s">
        <v>30</v>
      </c>
      <c r="G1609" t="s">
        <v>24</v>
      </c>
      <c r="N1609" s="2" t="s">
        <v>18</v>
      </c>
      <c r="O1609" s="2" t="s">
        <v>19</v>
      </c>
      <c r="P1609" s="2">
        <v>30000000</v>
      </c>
      <c r="Q1609" s="2">
        <v>6.8</v>
      </c>
      <c r="R1609" s="2" t="s">
        <v>3676</v>
      </c>
      <c r="S1609" s="2"/>
      <c r="U1609" s="2" t="s">
        <v>3677</v>
      </c>
      <c r="V1609">
        <f ca="1" t="shared" si="49"/>
        <v>7.3</v>
      </c>
      <c r="AC1609" s="2"/>
      <c r="AD1609" t="str">
        <f>IFERROR(__xludf.DUMMYFUNCTION("""COMPUTED_VALUE"""),"The Princess Diaries ")</f>
        <v>The Princess Diaries </v>
      </c>
      <c r="AE1609">
        <f t="shared" si="50"/>
        <v>108244663</v>
      </c>
    </row>
    <row r="1610" customHeight="1" spans="1:31">
      <c r="A1610" s="2" t="s">
        <v>1918</v>
      </c>
      <c r="B1610" s="2">
        <v>115</v>
      </c>
      <c r="C1610" s="2">
        <v>183436380</v>
      </c>
      <c r="D1610" s="2" t="s">
        <v>3198</v>
      </c>
      <c r="E1610" s="2" t="s">
        <v>40</v>
      </c>
      <c r="F1610" t="s">
        <v>56</v>
      </c>
      <c r="G1610" t="s">
        <v>30</v>
      </c>
      <c r="N1610" s="2" t="s">
        <v>18</v>
      </c>
      <c r="O1610" s="2" t="s">
        <v>19</v>
      </c>
      <c r="P1610" s="2">
        <v>29000000</v>
      </c>
      <c r="Q1610" s="2">
        <v>6.5</v>
      </c>
      <c r="R1610" s="2" t="s">
        <v>3678</v>
      </c>
      <c r="S1610" s="2"/>
      <c r="U1610" s="2" t="s">
        <v>3679</v>
      </c>
      <c r="V1610">
        <f ca="1" t="shared" si="49"/>
        <v>6.9</v>
      </c>
      <c r="AC1610" s="2"/>
      <c r="AD1610" t="str">
        <f>IFERROR(__xludf.DUMMYFUNCTION("""COMPUTED_VALUE"""),"The First Wives Club ")</f>
        <v>The First Wives Club </v>
      </c>
      <c r="AE1610">
        <f t="shared" si="50"/>
        <v>105444316</v>
      </c>
    </row>
    <row r="1611" customHeight="1" spans="1:31">
      <c r="A1611" s="2" t="s">
        <v>523</v>
      </c>
      <c r="B1611" s="2">
        <v>153</v>
      </c>
      <c r="C1611" s="2">
        <v>119518352</v>
      </c>
      <c r="D1611" s="2" t="s">
        <v>3680</v>
      </c>
      <c r="E1611" s="2" t="s">
        <v>59</v>
      </c>
      <c r="F1611" t="s">
        <v>28</v>
      </c>
      <c r="G1611" t="s">
        <v>23</v>
      </c>
      <c r="N1611" s="2" t="s">
        <v>18</v>
      </c>
      <c r="O1611" s="2" t="s">
        <v>19</v>
      </c>
      <c r="P1611" s="2">
        <v>28000000</v>
      </c>
      <c r="Q1611" s="2">
        <v>7.9</v>
      </c>
      <c r="R1611" s="2" t="s">
        <v>3681</v>
      </c>
      <c r="S1611" s="2"/>
      <c r="U1611" s="2" t="s">
        <v>3682</v>
      </c>
      <c r="V1611">
        <f ca="1" t="shared" si="49"/>
        <v>6.1</v>
      </c>
      <c r="AC1611" s="2"/>
      <c r="AD1611" t="str">
        <f>IFERROR(__xludf.DUMMYFUNCTION("""COMPUTED_VALUE"""),"Se7en ")</f>
        <v>Se7en </v>
      </c>
      <c r="AE1611">
        <f t="shared" si="50"/>
        <v>100125213</v>
      </c>
    </row>
    <row r="1612" customHeight="1" spans="1:31">
      <c r="A1612" s="2" t="s">
        <v>1920</v>
      </c>
      <c r="B1612" s="2">
        <v>128</v>
      </c>
      <c r="C1612" s="2">
        <v>37036404</v>
      </c>
      <c r="D1612" s="2" t="s">
        <v>521</v>
      </c>
      <c r="E1612" s="2" t="s">
        <v>40</v>
      </c>
      <c r="F1612" t="s">
        <v>30</v>
      </c>
      <c r="G1612" t="s">
        <v>30</v>
      </c>
      <c r="N1612" s="2" t="s">
        <v>18</v>
      </c>
      <c r="O1612" s="2" t="s">
        <v>19</v>
      </c>
      <c r="P1612" s="2">
        <v>30000000</v>
      </c>
      <c r="Q1612" s="2">
        <v>6.4</v>
      </c>
      <c r="R1612" s="2" t="s">
        <v>3683</v>
      </c>
      <c r="S1612" s="2"/>
      <c r="U1612" s="2" t="s">
        <v>3684</v>
      </c>
      <c r="V1612">
        <f ca="1" t="shared" si="49"/>
        <v>5</v>
      </c>
      <c r="AC1612" s="2"/>
      <c r="AD1612" t="str">
        <f>IFERROR(__xludf.DUMMYFUNCTION("""COMPUTED_VALUE"""),"District 9 ")</f>
        <v>District 9 </v>
      </c>
      <c r="AE1612">
        <f t="shared" si="50"/>
        <v>115646123</v>
      </c>
    </row>
    <row r="1613" customHeight="1" spans="1:31">
      <c r="A1613" s="2" t="s">
        <v>1266</v>
      </c>
      <c r="B1613" s="2">
        <v>89</v>
      </c>
      <c r="C1613" s="2">
        <v>22359293</v>
      </c>
      <c r="D1613" s="2" t="s">
        <v>301</v>
      </c>
      <c r="E1613" s="2" t="s">
        <v>13</v>
      </c>
      <c r="F1613" t="s">
        <v>30</v>
      </c>
      <c r="G1613" t="s">
        <v>17</v>
      </c>
      <c r="N1613" s="2" t="s">
        <v>18</v>
      </c>
      <c r="O1613" s="2" t="s">
        <v>31</v>
      </c>
      <c r="P1613" s="2">
        <v>29000000</v>
      </c>
      <c r="Q1613" s="2">
        <v>5.8</v>
      </c>
      <c r="R1613" s="2" t="s">
        <v>3685</v>
      </c>
      <c r="S1613" s="2"/>
      <c r="U1613" s="2" t="s">
        <v>3686</v>
      </c>
      <c r="V1613">
        <f ca="1" t="shared" si="49"/>
        <v>5.3</v>
      </c>
      <c r="AC1613" s="2"/>
      <c r="AD1613" t="str">
        <f>IFERROR(__xludf.DUMMYFUNCTION("""COMPUTED_VALUE"""),"The SpongeBob SquarePants Movie ")</f>
        <v>The SpongeBob SquarePants Movie </v>
      </c>
      <c r="AE1613">
        <f t="shared" si="50"/>
        <v>85416522</v>
      </c>
    </row>
    <row r="1614" customHeight="1" spans="1:31">
      <c r="A1614" s="2" t="s">
        <v>327</v>
      </c>
      <c r="B1614" s="2">
        <v>122</v>
      </c>
      <c r="C1614" s="2">
        <v>18593156</v>
      </c>
      <c r="D1614" s="2" t="s">
        <v>30</v>
      </c>
      <c r="E1614" s="2" t="s">
        <v>30</v>
      </c>
      <c r="F1614" t="s">
        <v>13</v>
      </c>
      <c r="G1614" t="s">
        <v>17</v>
      </c>
      <c r="N1614" s="2" t="s">
        <v>18</v>
      </c>
      <c r="O1614" s="2" t="s">
        <v>19</v>
      </c>
      <c r="P1614" s="2">
        <v>35000000</v>
      </c>
      <c r="Q1614" s="2">
        <v>7.7</v>
      </c>
      <c r="R1614" s="2" t="s">
        <v>3687</v>
      </c>
      <c r="S1614" s="2"/>
      <c r="U1614" s="2" t="s">
        <v>3688</v>
      </c>
      <c r="V1614">
        <f ca="1" t="shared" si="49"/>
        <v>5.3</v>
      </c>
      <c r="AC1614" s="2"/>
      <c r="AD1614" t="str">
        <f>IFERROR(__xludf.DUMMYFUNCTION("""COMPUTED_VALUE"""),"Mystic River ")</f>
        <v>Mystic River </v>
      </c>
      <c r="AE1614">
        <f t="shared" si="50"/>
        <v>90135053</v>
      </c>
    </row>
    <row r="1615" customHeight="1" spans="1:31">
      <c r="A1615" s="2" t="s">
        <v>1463</v>
      </c>
      <c r="B1615" s="2">
        <v>99</v>
      </c>
      <c r="C1615" s="2">
        <v>16930185</v>
      </c>
      <c r="D1615" s="2" t="s">
        <v>607</v>
      </c>
      <c r="E1615" s="2" t="s">
        <v>40</v>
      </c>
      <c r="F1615" t="s">
        <v>30</v>
      </c>
      <c r="G1615" t="s">
        <v>83</v>
      </c>
      <c r="N1615" s="2" t="s">
        <v>18</v>
      </c>
      <c r="O1615" s="2" t="s">
        <v>293</v>
      </c>
      <c r="P1615" s="2">
        <v>29000000</v>
      </c>
      <c r="Q1615" s="2">
        <v>5.3</v>
      </c>
      <c r="R1615" s="2" t="s">
        <v>3689</v>
      </c>
      <c r="S1615" s="2"/>
      <c r="U1615" s="2" t="s">
        <v>3690</v>
      </c>
      <c r="V1615">
        <f ca="1" t="shared" si="49"/>
        <v>7.4</v>
      </c>
      <c r="AC1615" s="2"/>
      <c r="AD1615" t="str">
        <f>IFERROR(__xludf.DUMMYFUNCTION("""COMPUTED_VALUE"""),"Million Dollar Baby ")</f>
        <v>Million Dollar Baby </v>
      </c>
      <c r="AE1615">
        <f t="shared" si="50"/>
        <v>100422654</v>
      </c>
    </row>
    <row r="1616" customHeight="1" spans="1:31">
      <c r="A1616" s="2" t="s">
        <v>1923</v>
      </c>
      <c r="B1616" s="2">
        <v>99</v>
      </c>
      <c r="C1616" s="2">
        <v>63034755</v>
      </c>
      <c r="D1616" s="2" t="s">
        <v>40</v>
      </c>
      <c r="E1616" s="2" t="s">
        <v>40</v>
      </c>
      <c r="F1616" t="s">
        <v>40</v>
      </c>
      <c r="G1616" t="s">
        <v>83</v>
      </c>
      <c r="N1616" s="2" t="s">
        <v>18</v>
      </c>
      <c r="O1616" s="2" t="s">
        <v>19</v>
      </c>
      <c r="P1616" s="2">
        <v>29000000</v>
      </c>
      <c r="Q1616" s="2">
        <v>5.3</v>
      </c>
      <c r="R1616" s="2" t="s">
        <v>3691</v>
      </c>
      <c r="S1616" s="2"/>
      <c r="U1616" s="2" t="s">
        <v>3692</v>
      </c>
      <c r="V1616">
        <f ca="1" t="shared" si="49"/>
        <v>4.1</v>
      </c>
      <c r="AC1616" s="2"/>
      <c r="AD1616" t="str">
        <f>IFERROR(__xludf.DUMMYFUNCTION("""COMPUTED_VALUE"""),"Analyze This ")</f>
        <v>Analyze This </v>
      </c>
      <c r="AE1616">
        <f t="shared" si="50"/>
        <v>106693913</v>
      </c>
    </row>
    <row r="1617" customHeight="1" spans="1:31">
      <c r="A1617" s="2" t="s">
        <v>1925</v>
      </c>
      <c r="B1617" s="2">
        <v>147</v>
      </c>
      <c r="C1617" s="2">
        <v>5899797</v>
      </c>
      <c r="D1617" s="2" t="s">
        <v>2457</v>
      </c>
      <c r="E1617" s="2" t="s">
        <v>59</v>
      </c>
      <c r="F1617" t="s">
        <v>56</v>
      </c>
      <c r="G1617" t="s">
        <v>28</v>
      </c>
      <c r="N1617" s="2" t="s">
        <v>18</v>
      </c>
      <c r="O1617" s="2" t="s">
        <v>31</v>
      </c>
      <c r="P1617" s="2">
        <v>29000000</v>
      </c>
      <c r="Q1617" s="2">
        <v>7.5</v>
      </c>
      <c r="R1617" s="2" t="s">
        <v>3693</v>
      </c>
      <c r="S1617" s="2"/>
      <c r="U1617" s="2" t="s">
        <v>3694</v>
      </c>
      <c r="V1617">
        <f ca="1" t="shared" si="49"/>
        <v>6.7</v>
      </c>
      <c r="AC1617" s="2"/>
      <c r="AD1617" t="str">
        <f>IFERROR(__xludf.DUMMYFUNCTION("""COMPUTED_VALUE"""),"The Notebook ")</f>
        <v>The Notebook </v>
      </c>
      <c r="AE1617">
        <f t="shared" si="50"/>
        <v>64163</v>
      </c>
    </row>
    <row r="1618" customHeight="1" spans="1:31">
      <c r="A1618" s="2" t="s">
        <v>987</v>
      </c>
      <c r="B1618" s="2">
        <v>112</v>
      </c>
      <c r="C1618" s="2">
        <v>4554569</v>
      </c>
      <c r="D1618" s="2" t="s">
        <v>975</v>
      </c>
      <c r="E1618" s="2" t="s">
        <v>40</v>
      </c>
      <c r="F1618" t="s">
        <v>72</v>
      </c>
      <c r="G1618" t="s">
        <v>30</v>
      </c>
      <c r="N1618" s="2" t="s">
        <v>18</v>
      </c>
      <c r="O1618" s="2" t="s">
        <v>19</v>
      </c>
      <c r="P1618" s="2">
        <v>28000000</v>
      </c>
      <c r="Q1618" s="2">
        <v>6.9</v>
      </c>
      <c r="R1618" s="2" t="s">
        <v>3695</v>
      </c>
      <c r="S1618" s="2"/>
      <c r="U1618" s="2" t="s">
        <v>3696</v>
      </c>
      <c r="V1618">
        <f ca="1" t="shared" si="49"/>
        <v>5.8</v>
      </c>
      <c r="AC1618" s="2"/>
      <c r="AD1618" t="str">
        <f>IFERROR(__xludf.DUMMYFUNCTION("""COMPUTED_VALUE"""),"27 Dresses ")</f>
        <v>27 Dresses </v>
      </c>
      <c r="AE1618">
        <f t="shared" si="50"/>
        <v>76806201</v>
      </c>
    </row>
    <row r="1619" customHeight="1" spans="1:31">
      <c r="A1619" s="2" t="s">
        <v>1928</v>
      </c>
      <c r="B1619" s="2">
        <v>88</v>
      </c>
      <c r="C1619" s="2">
        <v>17016190</v>
      </c>
      <c r="D1619" s="2" t="s">
        <v>3391</v>
      </c>
      <c r="E1619" s="2" t="s">
        <v>40</v>
      </c>
      <c r="F1619" t="s">
        <v>30</v>
      </c>
      <c r="G1619" t="s">
        <v>17</v>
      </c>
      <c r="N1619" s="2" t="s">
        <v>18</v>
      </c>
      <c r="O1619" s="2" t="s">
        <v>3697</v>
      </c>
      <c r="P1619" s="2">
        <v>12000000</v>
      </c>
      <c r="Q1619" s="2">
        <v>4.9</v>
      </c>
      <c r="R1619" s="2" t="s">
        <v>3698</v>
      </c>
      <c r="S1619" s="2"/>
      <c r="U1619" s="2" t="s">
        <v>3699</v>
      </c>
      <c r="V1619">
        <f ca="1" t="shared" si="49"/>
        <v>8</v>
      </c>
      <c r="AC1619" s="2"/>
      <c r="AD1619" t="str">
        <f>IFERROR(__xludf.DUMMYFUNCTION("""COMPUTED_VALUE"""),"Hannah Montana: The Movie ")</f>
        <v>Hannah Montana: The Movie </v>
      </c>
      <c r="AE1619">
        <f t="shared" si="50"/>
        <v>79566769</v>
      </c>
    </row>
    <row r="1620" customHeight="1" spans="1:31">
      <c r="A1620" s="2" t="s">
        <v>1930</v>
      </c>
      <c r="B1620" s="2">
        <v>94</v>
      </c>
      <c r="C1620" s="2">
        <v>6301131</v>
      </c>
      <c r="D1620" s="2" t="s">
        <v>840</v>
      </c>
      <c r="E1620" s="2" t="s">
        <v>30</v>
      </c>
      <c r="F1620" t="s">
        <v>24</v>
      </c>
      <c r="G1620" t="s">
        <v>56</v>
      </c>
      <c r="N1620" s="2" t="s">
        <v>18</v>
      </c>
      <c r="O1620" s="2" t="s">
        <v>19</v>
      </c>
      <c r="P1620" s="2">
        <v>29000000</v>
      </c>
      <c r="Q1620" s="2">
        <v>7.1</v>
      </c>
      <c r="R1620" s="2" t="s">
        <v>3700</v>
      </c>
      <c r="S1620" s="2"/>
      <c r="U1620" s="2" t="s">
        <v>3701</v>
      </c>
      <c r="V1620">
        <f ca="1" t="shared" si="49"/>
        <v>6.4</v>
      </c>
      <c r="AC1620" s="2"/>
      <c r="AD1620" t="str">
        <f>IFERROR(__xludf.DUMMYFUNCTION("""COMPUTED_VALUE"""),"Rugrats in Paris: The Movie ")</f>
        <v>Rugrats in Paris: The Movie </v>
      </c>
      <c r="AE1620">
        <f t="shared" si="50"/>
        <v>76501360</v>
      </c>
    </row>
    <row r="1621" customHeight="1" spans="1:31">
      <c r="A1621" s="2" t="s">
        <v>600</v>
      </c>
      <c r="B1621" s="2">
        <v>90</v>
      </c>
      <c r="C1621" s="2">
        <v>217350219</v>
      </c>
      <c r="D1621" s="2" t="s">
        <v>54</v>
      </c>
      <c r="E1621" s="2" t="s">
        <v>13</v>
      </c>
      <c r="F1621" t="s">
        <v>40</v>
      </c>
      <c r="G1621" t="s">
        <v>23</v>
      </c>
      <c r="N1621" s="2" t="s">
        <v>18</v>
      </c>
      <c r="O1621" s="2" t="s">
        <v>19</v>
      </c>
      <c r="P1621" s="2">
        <v>28000000</v>
      </c>
      <c r="Q1621" s="2">
        <v>8</v>
      </c>
      <c r="R1621" s="2" t="s">
        <v>3702</v>
      </c>
      <c r="S1621" s="2"/>
      <c r="U1621" s="2" t="s">
        <v>3703</v>
      </c>
      <c r="V1621">
        <f ca="1" t="shared" si="49"/>
        <v>6.8</v>
      </c>
      <c r="AC1621" s="2"/>
      <c r="AD1621" t="str">
        <f>IFERROR(__xludf.DUMMYFUNCTION("""COMPUTED_VALUE"""),"The Prince of Tides ")</f>
        <v>The Prince of Tides </v>
      </c>
      <c r="AE1621">
        <f t="shared" si="50"/>
        <v>74787467</v>
      </c>
    </row>
    <row r="1622" customHeight="1" spans="1:31">
      <c r="A1622" s="2" t="s">
        <v>878</v>
      </c>
      <c r="B1622" s="2">
        <v>167</v>
      </c>
      <c r="C1622" s="2">
        <v>161029270</v>
      </c>
      <c r="D1622" s="2" t="s">
        <v>3704</v>
      </c>
      <c r="E1622" s="2" t="s">
        <v>59</v>
      </c>
      <c r="F1622" t="s">
        <v>23</v>
      </c>
      <c r="G1622" t="s">
        <v>15</v>
      </c>
      <c r="N1622" s="2" t="s">
        <v>18</v>
      </c>
      <c r="O1622" s="2" t="s">
        <v>19</v>
      </c>
      <c r="P1622" s="2">
        <v>28000000</v>
      </c>
      <c r="Q1622" s="2">
        <v>7.9</v>
      </c>
      <c r="R1622" s="2" t="s">
        <v>3705</v>
      </c>
      <c r="S1622" s="2"/>
      <c r="U1622" s="2" t="s">
        <v>3706</v>
      </c>
      <c r="V1622">
        <f ca="1" t="shared" si="49"/>
        <v>5.3</v>
      </c>
      <c r="AC1622" s="2"/>
      <c r="AD1622" t="str">
        <f>IFERROR(__xludf.DUMMYFUNCTION("""COMPUTED_VALUE"""),"Legends of the Fall ")</f>
        <v>Legends of the Fall </v>
      </c>
      <c r="AE1622">
        <f t="shared" si="50"/>
        <v>66528709</v>
      </c>
    </row>
    <row r="1623" customHeight="1" spans="1:31">
      <c r="A1623" s="2" t="s">
        <v>166</v>
      </c>
      <c r="B1623" s="2">
        <v>118</v>
      </c>
      <c r="C1623" s="2">
        <v>179870271</v>
      </c>
      <c r="D1623" s="2" t="s">
        <v>70</v>
      </c>
      <c r="E1623" s="2" t="s">
        <v>12</v>
      </c>
      <c r="F1623" t="s">
        <v>17</v>
      </c>
      <c r="G1623" t="s">
        <v>24</v>
      </c>
      <c r="N1623" s="2" t="s">
        <v>18</v>
      </c>
      <c r="O1623" s="2" t="s">
        <v>19</v>
      </c>
      <c r="P1623" s="2">
        <v>28000000</v>
      </c>
      <c r="Q1623" s="2">
        <v>7.6</v>
      </c>
      <c r="R1623" s="2" t="s">
        <v>3707</v>
      </c>
      <c r="S1623" s="2"/>
      <c r="U1623" s="2" t="s">
        <v>3708</v>
      </c>
      <c r="V1623">
        <f ca="1" t="shared" si="49"/>
        <v>8.1</v>
      </c>
      <c r="AC1623" s="2"/>
      <c r="AD1623" t="str">
        <f>IFERROR(__xludf.DUMMYFUNCTION("""COMPUTED_VALUE"""),"Up in the Air ")</f>
        <v>Up in the Air </v>
      </c>
      <c r="AE1623">
        <f t="shared" si="50"/>
        <v>83813352</v>
      </c>
    </row>
    <row r="1624" customHeight="1" spans="1:31">
      <c r="A1624" s="2" t="s">
        <v>1932</v>
      </c>
      <c r="B1624" s="2">
        <v>83</v>
      </c>
      <c r="C1624" s="2">
        <v>100491683</v>
      </c>
      <c r="D1624" s="2" t="s">
        <v>3709</v>
      </c>
      <c r="E1624" s="2" t="s">
        <v>13</v>
      </c>
      <c r="F1624" t="s">
        <v>30</v>
      </c>
      <c r="G1624" t="s">
        <v>14</v>
      </c>
      <c r="N1624" s="2" t="s">
        <v>18</v>
      </c>
      <c r="O1624" s="2" t="s">
        <v>19</v>
      </c>
      <c r="P1624" s="2">
        <v>24000000</v>
      </c>
      <c r="Q1624" s="2">
        <v>5.9</v>
      </c>
      <c r="R1624" s="2" t="s">
        <v>3710</v>
      </c>
      <c r="S1624" s="2"/>
      <c r="U1624" s="2" t="s">
        <v>3711</v>
      </c>
      <c r="V1624">
        <f ca="1" t="shared" si="49"/>
        <v>7.5</v>
      </c>
      <c r="AC1624" s="2"/>
      <c r="AD1624" t="str">
        <f>IFERROR(__xludf.DUMMYFUNCTION("""COMPUTED_VALUE"""),"About Schmidt ")</f>
        <v>About Schmidt </v>
      </c>
      <c r="AE1624">
        <f t="shared" si="50"/>
        <v>65009981</v>
      </c>
    </row>
    <row r="1625" customHeight="1" spans="1:31">
      <c r="A1625" s="2" t="s">
        <v>367</v>
      </c>
      <c r="B1625" s="2">
        <v>104</v>
      </c>
      <c r="C1625" s="2">
        <v>74058698</v>
      </c>
      <c r="D1625" s="2" t="s">
        <v>805</v>
      </c>
      <c r="E1625" s="2" t="s">
        <v>56</v>
      </c>
      <c r="F1625" t="s">
        <v>30</v>
      </c>
      <c r="G1625" t="s">
        <v>17</v>
      </c>
      <c r="N1625" s="2" t="s">
        <v>18</v>
      </c>
      <c r="O1625" s="2" t="s">
        <v>19</v>
      </c>
      <c r="P1625" s="2">
        <v>60000000</v>
      </c>
      <c r="Q1625" s="2">
        <v>6.3</v>
      </c>
      <c r="R1625" s="2" t="s">
        <v>3712</v>
      </c>
      <c r="S1625" s="2"/>
      <c r="U1625" s="2" t="s">
        <v>3713</v>
      </c>
      <c r="V1625">
        <f ca="1" t="shared" si="49"/>
        <v>7.8</v>
      </c>
      <c r="AC1625" s="2"/>
      <c r="AD1625" t="str">
        <f>IFERROR(__xludf.DUMMYFUNCTION("""COMPUTED_VALUE"""),"Warm Bodies ")</f>
        <v>Warm Bodies </v>
      </c>
      <c r="AE1625">
        <f t="shared" si="50"/>
        <v>66359861</v>
      </c>
    </row>
    <row r="1626" customHeight="1" spans="1:31">
      <c r="A1626" s="2" t="s">
        <v>1225</v>
      </c>
      <c r="B1626" s="2">
        <v>102</v>
      </c>
      <c r="C1626" s="2">
        <v>55845943</v>
      </c>
      <c r="D1626" s="2" t="s">
        <v>150</v>
      </c>
      <c r="E1626" s="2" t="s">
        <v>12</v>
      </c>
      <c r="F1626" t="s">
        <v>40</v>
      </c>
      <c r="G1626" t="s">
        <v>30</v>
      </c>
      <c r="N1626" s="2" t="s">
        <v>18</v>
      </c>
      <c r="O1626" s="2" t="s">
        <v>19</v>
      </c>
      <c r="P1626" s="2">
        <v>29000000</v>
      </c>
      <c r="Q1626" s="2">
        <v>6.4</v>
      </c>
      <c r="R1626" s="2" t="s">
        <v>3714</v>
      </c>
      <c r="S1626" s="2"/>
      <c r="U1626" s="2" t="s">
        <v>3715</v>
      </c>
      <c r="V1626">
        <f ca="1" t="shared" si="49"/>
        <v>7.2</v>
      </c>
      <c r="AC1626" s="2"/>
      <c r="AD1626" t="str">
        <f>IFERROR(__xludf.DUMMYFUNCTION("""COMPUTED_VALUE"""),"Looper ")</f>
        <v>Looper </v>
      </c>
      <c r="AE1626">
        <f t="shared" si="50"/>
        <v>66468196</v>
      </c>
    </row>
    <row r="1627" customHeight="1" spans="1:31">
      <c r="A1627" s="2" t="s">
        <v>485</v>
      </c>
      <c r="B1627" s="2">
        <v>131</v>
      </c>
      <c r="C1627" s="2">
        <v>81350242</v>
      </c>
      <c r="D1627" s="2" t="s">
        <v>34</v>
      </c>
      <c r="E1627" s="2" t="s">
        <v>12</v>
      </c>
      <c r="F1627" t="s">
        <v>40</v>
      </c>
      <c r="G1627" t="s">
        <v>17</v>
      </c>
      <c r="N1627" s="2" t="s">
        <v>18</v>
      </c>
      <c r="O1627" s="2" t="s">
        <v>19</v>
      </c>
      <c r="P1627" s="2">
        <v>28000000</v>
      </c>
      <c r="Q1627" s="2">
        <v>8.2</v>
      </c>
      <c r="R1627" s="2" t="s">
        <v>3716</v>
      </c>
      <c r="S1627" s="2"/>
      <c r="U1627" s="2" t="s">
        <v>3717</v>
      </c>
      <c r="V1627">
        <f ca="1" t="shared" si="49"/>
        <v>5.1</v>
      </c>
      <c r="AC1627" s="2"/>
      <c r="AD1627" t="str">
        <f>IFERROR(__xludf.DUMMYFUNCTION("""COMPUTED_VALUE"""),"Down to Earth ")</f>
        <v>Down to Earth </v>
      </c>
      <c r="AE1627">
        <f t="shared" si="50"/>
        <v>64172164</v>
      </c>
    </row>
    <row r="1628" customHeight="1" spans="1:31">
      <c r="A1628" s="2" t="s">
        <v>1934</v>
      </c>
      <c r="B1628" s="2">
        <v>101</v>
      </c>
      <c r="C1628" s="2">
        <v>67266300</v>
      </c>
      <c r="D1628" s="2" t="s">
        <v>40</v>
      </c>
      <c r="E1628" s="2" t="s">
        <v>40</v>
      </c>
      <c r="F1628" t="s">
        <v>30</v>
      </c>
      <c r="G1628" t="s">
        <v>15</v>
      </c>
      <c r="N1628" s="2" t="s">
        <v>18</v>
      </c>
      <c r="O1628" s="2" t="s">
        <v>293</v>
      </c>
      <c r="P1628" s="2">
        <v>28000000</v>
      </c>
      <c r="Q1628" s="2">
        <v>6.9</v>
      </c>
      <c r="R1628" s="2" t="s">
        <v>3718</v>
      </c>
      <c r="S1628" s="2"/>
      <c r="U1628" s="2" t="s">
        <v>3719</v>
      </c>
      <c r="V1628">
        <f ca="1" t="shared" si="49"/>
        <v>6.9</v>
      </c>
      <c r="AC1628" s="2"/>
      <c r="AD1628" t="str">
        <f>IFERROR(__xludf.DUMMYFUNCTION("""COMPUTED_VALUE"""),"Babe ")</f>
        <v>Babe </v>
      </c>
      <c r="AE1628">
        <f t="shared" si="50"/>
        <v>66599909</v>
      </c>
    </row>
    <row r="1629" customHeight="1" spans="1:31">
      <c r="A1629" s="2" t="s">
        <v>621</v>
      </c>
      <c r="B1629" s="2">
        <v>130</v>
      </c>
      <c r="C1629" s="2">
        <v>70235322</v>
      </c>
      <c r="D1629" s="2" t="s">
        <v>1206</v>
      </c>
      <c r="E1629" s="2" t="s">
        <v>59</v>
      </c>
      <c r="F1629" t="s">
        <v>17</v>
      </c>
      <c r="G1629" t="s">
        <v>55</v>
      </c>
      <c r="N1629" s="2" t="s">
        <v>18</v>
      </c>
      <c r="O1629" s="2" t="s">
        <v>19</v>
      </c>
      <c r="P1629" s="2">
        <v>28000000</v>
      </c>
      <c r="Q1629" s="2">
        <v>7.8</v>
      </c>
      <c r="R1629" s="2" t="s">
        <v>3720</v>
      </c>
      <c r="S1629" s="2"/>
      <c r="U1629" s="2" t="s">
        <v>3721</v>
      </c>
      <c r="V1629">
        <f ca="1" t="shared" si="49"/>
        <v>6.7</v>
      </c>
      <c r="AC1629" s="2"/>
      <c r="AD1629" t="str">
        <f>IFERROR(__xludf.DUMMYFUNCTION("""COMPUTED_VALUE"""),"Hope Springs ")</f>
        <v>Hope Springs </v>
      </c>
      <c r="AE1629">
        <f t="shared" si="50"/>
        <v>63535911</v>
      </c>
    </row>
    <row r="1630" customHeight="1" spans="1:31">
      <c r="A1630" s="2" t="s">
        <v>401</v>
      </c>
      <c r="B1630" s="2">
        <v>120</v>
      </c>
      <c r="C1630" s="2">
        <v>7443007</v>
      </c>
      <c r="D1630" s="2" t="s">
        <v>3722</v>
      </c>
      <c r="E1630" s="2" t="s">
        <v>40</v>
      </c>
      <c r="F1630" t="s">
        <v>72</v>
      </c>
      <c r="G1630" t="s">
        <v>17</v>
      </c>
      <c r="N1630" s="2" t="s">
        <v>18</v>
      </c>
      <c r="O1630" s="2" t="s">
        <v>19</v>
      </c>
      <c r="P1630" s="2">
        <v>30000000</v>
      </c>
      <c r="Q1630" s="2">
        <v>6.7</v>
      </c>
      <c r="R1630" s="2" t="s">
        <v>3723</v>
      </c>
      <c r="S1630" s="2"/>
      <c r="U1630" s="2" t="s">
        <v>3724</v>
      </c>
      <c r="V1630">
        <f ca="1" t="shared" si="49"/>
        <v>7.1</v>
      </c>
      <c r="AC1630" s="2"/>
      <c r="AD1630" t="str">
        <f>IFERROR(__xludf.DUMMYFUNCTION("""COMPUTED_VALUE"""),"Forgetting Sarah Marshall ")</f>
        <v>Forgetting Sarah Marshall </v>
      </c>
      <c r="AE1630">
        <f t="shared" si="50"/>
        <v>62877057</v>
      </c>
    </row>
    <row r="1631" customHeight="1" spans="1:31">
      <c r="A1631" s="2" t="s">
        <v>1887</v>
      </c>
      <c r="B1631" s="2">
        <v>135</v>
      </c>
      <c r="C1631" s="2">
        <v>64371181</v>
      </c>
      <c r="D1631" s="2" t="s">
        <v>1719</v>
      </c>
      <c r="E1631" s="2" t="s">
        <v>59</v>
      </c>
      <c r="F1631" t="s">
        <v>55</v>
      </c>
      <c r="G1631" t="s">
        <v>14</v>
      </c>
      <c r="N1631" s="2" t="s">
        <v>18</v>
      </c>
      <c r="O1631" s="2" t="s">
        <v>19</v>
      </c>
      <c r="P1631" s="2">
        <v>28000000</v>
      </c>
      <c r="Q1631" s="2">
        <v>7.5</v>
      </c>
      <c r="R1631" s="2" t="s">
        <v>3725</v>
      </c>
      <c r="S1631" s="2"/>
      <c r="U1631" s="2" t="s">
        <v>3726</v>
      </c>
      <c r="V1631">
        <f ca="1" t="shared" si="49"/>
        <v>7.1</v>
      </c>
      <c r="AC1631" s="2"/>
      <c r="AD1631" t="str">
        <f>IFERROR(__xludf.DUMMYFUNCTION("""COMPUTED_VALUE"""),"Four Brothers ")</f>
        <v>Four Brothers </v>
      </c>
      <c r="AE1631">
        <f t="shared" si="50"/>
        <v>74484059</v>
      </c>
    </row>
    <row r="1632" customHeight="1" spans="1:31">
      <c r="A1632" s="2" t="s">
        <v>64</v>
      </c>
      <c r="B1632" s="2">
        <v>110</v>
      </c>
      <c r="C1632" s="2">
        <v>58885635</v>
      </c>
      <c r="D1632" s="2" t="s">
        <v>2009</v>
      </c>
      <c r="E1632" s="2" t="s">
        <v>12</v>
      </c>
      <c r="F1632" t="s">
        <v>24</v>
      </c>
      <c r="G1632" t="s">
        <v>17</v>
      </c>
      <c r="N1632" s="2" t="s">
        <v>18</v>
      </c>
      <c r="O1632" s="2" t="s">
        <v>19</v>
      </c>
      <c r="P1632" s="2">
        <v>26000000</v>
      </c>
      <c r="Q1632" s="2">
        <v>7.4</v>
      </c>
      <c r="R1632" s="2" t="s">
        <v>3727</v>
      </c>
      <c r="S1632" s="2"/>
      <c r="U1632" s="2" t="s">
        <v>3728</v>
      </c>
      <c r="V1632">
        <f ca="1" t="shared" si="49"/>
        <v>7.1</v>
      </c>
      <c r="AC1632" s="2"/>
      <c r="AD1632" t="str">
        <f>IFERROR(__xludf.DUMMYFUNCTION("""COMPUTED_VALUE"""),"Baby Mama ")</f>
        <v>Baby Mama </v>
      </c>
      <c r="AE1632">
        <f t="shared" si="50"/>
        <v>60269241</v>
      </c>
    </row>
    <row r="1633" customHeight="1" spans="1:31">
      <c r="A1633" s="2" t="s">
        <v>796</v>
      </c>
      <c r="B1633" s="2">
        <v>103</v>
      </c>
      <c r="C1633" s="2">
        <v>60400856</v>
      </c>
      <c r="D1633" s="2" t="s">
        <v>607</v>
      </c>
      <c r="E1633" s="2" t="s">
        <v>40</v>
      </c>
      <c r="F1633" t="s">
        <v>24</v>
      </c>
      <c r="G1633" t="s">
        <v>24</v>
      </c>
      <c r="N1633" s="2" t="s">
        <v>18</v>
      </c>
      <c r="O1633" s="2" t="s">
        <v>293</v>
      </c>
      <c r="P1633" s="2">
        <v>35000000</v>
      </c>
      <c r="Q1633" s="2">
        <v>5.2</v>
      </c>
      <c r="R1633" s="2" t="s">
        <v>3729</v>
      </c>
      <c r="S1633" s="2"/>
      <c r="U1633" s="2" t="s">
        <v>3730</v>
      </c>
      <c r="V1633">
        <f ca="1" t="shared" si="49"/>
        <v>7.1</v>
      </c>
      <c r="AC1633" s="2"/>
      <c r="AD1633" t="str">
        <f>IFERROR(__xludf.DUMMYFUNCTION("""COMPUTED_VALUE"""),"Hope Floats ")</f>
        <v>Hope Floats </v>
      </c>
      <c r="AE1633">
        <f t="shared" si="50"/>
        <v>60033666</v>
      </c>
    </row>
    <row r="1634" customHeight="1" spans="1:31">
      <c r="A1634" s="2" t="s">
        <v>1337</v>
      </c>
      <c r="B1634" s="2">
        <v>110</v>
      </c>
      <c r="C1634" s="2">
        <v>52353636</v>
      </c>
      <c r="D1634" s="2" t="s">
        <v>975</v>
      </c>
      <c r="E1634" s="2" t="s">
        <v>40</v>
      </c>
      <c r="F1634" t="s">
        <v>40</v>
      </c>
      <c r="G1634" t="s">
        <v>17</v>
      </c>
      <c r="N1634" s="2" t="s">
        <v>18</v>
      </c>
      <c r="O1634" s="2" t="s">
        <v>19</v>
      </c>
      <c r="P1634" s="2">
        <v>21000000</v>
      </c>
      <c r="Q1634" s="2">
        <v>7.6</v>
      </c>
      <c r="R1634" s="2" t="s">
        <v>3731</v>
      </c>
      <c r="S1634" s="2"/>
      <c r="U1634" s="2" t="s">
        <v>3732</v>
      </c>
      <c r="V1634">
        <f ca="1" t="shared" si="49"/>
        <v>6.6</v>
      </c>
      <c r="AC1634" s="2"/>
      <c r="AD1634" t="str">
        <f>IFERROR(__xludf.DUMMYFUNCTION("""COMPUTED_VALUE"""),"Bride Wars ")</f>
        <v>Bride Wars </v>
      </c>
      <c r="AE1634">
        <f t="shared" si="50"/>
        <v>58715421</v>
      </c>
    </row>
    <row r="1635" customHeight="1" spans="1:31">
      <c r="A1635" s="2" t="s">
        <v>523</v>
      </c>
      <c r="B1635" s="2">
        <v>91</v>
      </c>
      <c r="C1635" s="2">
        <v>51475962</v>
      </c>
      <c r="D1635" s="2" t="s">
        <v>328</v>
      </c>
      <c r="E1635" s="2" t="s">
        <v>28</v>
      </c>
      <c r="F1635" t="s">
        <v>14</v>
      </c>
      <c r="G1635" t="s">
        <v>23</v>
      </c>
      <c r="N1635" s="2" t="s">
        <v>18</v>
      </c>
      <c r="O1635" s="2" t="s">
        <v>19</v>
      </c>
      <c r="P1635" s="2">
        <v>30000000</v>
      </c>
      <c r="Q1635" s="2">
        <v>7.3</v>
      </c>
      <c r="R1635" s="2" t="s">
        <v>3733</v>
      </c>
      <c r="S1635" s="2"/>
      <c r="U1635" s="2" t="s">
        <v>3734</v>
      </c>
      <c r="V1635">
        <f ca="1" t="shared" si="49"/>
        <v>5.7</v>
      </c>
      <c r="AC1635" s="2"/>
      <c r="AD1635" t="str">
        <f>IFERROR(__xludf.DUMMYFUNCTION("""COMPUTED_VALUE"""),"Without a Paddle ")</f>
        <v>Without a Paddle </v>
      </c>
      <c r="AE1635">
        <f t="shared" si="50"/>
        <v>58156340</v>
      </c>
    </row>
    <row r="1636" customHeight="1" spans="1:31">
      <c r="A1636" s="2" t="s">
        <v>273</v>
      </c>
      <c r="B1636" s="2">
        <v>105</v>
      </c>
      <c r="C1636" s="2">
        <v>63910583</v>
      </c>
      <c r="D1636" s="2" t="s">
        <v>607</v>
      </c>
      <c r="E1636" s="2" t="s">
        <v>40</v>
      </c>
      <c r="F1636" t="s">
        <v>56</v>
      </c>
      <c r="G1636" t="s">
        <v>30</v>
      </c>
      <c r="N1636" s="2" t="s">
        <v>18</v>
      </c>
      <c r="O1636" s="2" t="s">
        <v>19</v>
      </c>
      <c r="P1636" s="2">
        <v>28000000</v>
      </c>
      <c r="Q1636" s="2">
        <v>6.6</v>
      </c>
      <c r="R1636" s="2" t="s">
        <v>3735</v>
      </c>
      <c r="S1636" s="2"/>
      <c r="U1636" s="2" t="s">
        <v>3736</v>
      </c>
      <c r="V1636">
        <f ca="1" t="shared" si="49"/>
        <v>7.1</v>
      </c>
      <c r="AC1636" s="2"/>
      <c r="AD1636" t="str">
        <f>IFERROR(__xludf.DUMMYFUNCTION("""COMPUTED_VALUE"""),"13 Going on 30 ")</f>
        <v>13 Going on 30 </v>
      </c>
      <c r="AE1636">
        <f t="shared" si="50"/>
        <v>56044143</v>
      </c>
    </row>
    <row r="1637" customHeight="1" spans="1:31">
      <c r="A1637" s="2" t="s">
        <v>1472</v>
      </c>
      <c r="B1637" s="2">
        <v>127</v>
      </c>
      <c r="C1637" s="2">
        <v>62300000</v>
      </c>
      <c r="D1637" s="2" t="s">
        <v>27</v>
      </c>
      <c r="E1637" s="2" t="s">
        <v>12</v>
      </c>
      <c r="F1637" t="s">
        <v>30</v>
      </c>
      <c r="G1637" t="s">
        <v>14</v>
      </c>
      <c r="N1637" s="2" t="s">
        <v>18</v>
      </c>
      <c r="O1637" s="2" t="s">
        <v>31</v>
      </c>
      <c r="P1637" s="2">
        <v>28000000</v>
      </c>
      <c r="Q1637" s="2">
        <v>6.8</v>
      </c>
      <c r="R1637" s="2" t="s">
        <v>3737</v>
      </c>
      <c r="S1637" s="2"/>
      <c r="U1637" s="2" t="s">
        <v>3738</v>
      </c>
      <c r="V1637">
        <f ca="1" t="shared" si="49"/>
        <v>6.2</v>
      </c>
      <c r="AC1637" s="2"/>
      <c r="AD1637" t="str">
        <f>IFERROR(__xludf.DUMMYFUNCTION("""COMPUTED_VALUE"""),"Midnight in Paris ")</f>
        <v>Midnight in Paris </v>
      </c>
      <c r="AE1637">
        <f t="shared" si="50"/>
        <v>56816568</v>
      </c>
    </row>
    <row r="1638" customHeight="1" spans="1:31">
      <c r="A1638" s="2" t="s">
        <v>606</v>
      </c>
      <c r="B1638" s="2">
        <v>82</v>
      </c>
      <c r="C1638" s="2">
        <v>49968653</v>
      </c>
      <c r="D1638" s="2" t="s">
        <v>607</v>
      </c>
      <c r="E1638" s="2" t="s">
        <v>40</v>
      </c>
      <c r="F1638" t="s">
        <v>13</v>
      </c>
      <c r="G1638" t="s">
        <v>39</v>
      </c>
      <c r="N1638" s="2" t="s">
        <v>18</v>
      </c>
      <c r="O1638" s="2" t="s">
        <v>19</v>
      </c>
      <c r="P1638" s="2">
        <v>28000000</v>
      </c>
      <c r="Q1638" s="2">
        <v>6.9</v>
      </c>
      <c r="R1638" s="2" t="s">
        <v>3739</v>
      </c>
      <c r="S1638" s="2"/>
      <c r="U1638" s="2" t="s">
        <v>3740</v>
      </c>
      <c r="V1638">
        <f ca="1" t="shared" si="49"/>
        <v>6.1</v>
      </c>
      <c r="AC1638" s="2"/>
      <c r="AD1638" t="str">
        <f>IFERROR(__xludf.DUMMYFUNCTION("""COMPUTED_VALUE"""),"The Nut Job ")</f>
        <v>The Nut Job </v>
      </c>
      <c r="AE1638">
        <f t="shared" si="50"/>
        <v>64238685</v>
      </c>
    </row>
    <row r="1639" customHeight="1" spans="1:31">
      <c r="A1639" s="2" t="s">
        <v>648</v>
      </c>
      <c r="B1639" s="2">
        <v>99</v>
      </c>
      <c r="C1639" s="2">
        <v>44450000</v>
      </c>
      <c r="D1639" s="2" t="s">
        <v>516</v>
      </c>
      <c r="E1639" s="2" t="s">
        <v>12</v>
      </c>
      <c r="F1639" t="s">
        <v>56</v>
      </c>
      <c r="G1639" t="s">
        <v>28</v>
      </c>
      <c r="N1639" s="2" t="s">
        <v>18</v>
      </c>
      <c r="O1639" s="2" t="s">
        <v>121</v>
      </c>
      <c r="P1639" s="2">
        <v>27000000</v>
      </c>
      <c r="Q1639" s="2">
        <v>5.8</v>
      </c>
      <c r="R1639" s="2" t="s">
        <v>3741</v>
      </c>
      <c r="S1639" s="2"/>
      <c r="U1639" s="2" t="s">
        <v>3742</v>
      </c>
      <c r="V1639">
        <f ca="1" t="shared" si="49"/>
        <v>6.8</v>
      </c>
      <c r="AC1639" s="2"/>
      <c r="AD1639" t="str">
        <f>IFERROR(__xludf.DUMMYFUNCTION("""COMPUTED_VALUE"""),"Blow ")</f>
        <v>Blow </v>
      </c>
      <c r="AE1639">
        <f t="shared" si="50"/>
        <v>52937006</v>
      </c>
    </row>
    <row r="1640" customHeight="1" spans="1:31">
      <c r="A1640" s="2" t="s">
        <v>714</v>
      </c>
      <c r="B1640" s="2">
        <v>90</v>
      </c>
      <c r="C1640" s="2">
        <v>45162741</v>
      </c>
      <c r="D1640" s="2" t="s">
        <v>40</v>
      </c>
      <c r="E1640" s="2" t="s">
        <v>40</v>
      </c>
      <c r="F1640" t="s">
        <v>24</v>
      </c>
      <c r="G1640" t="s">
        <v>16</v>
      </c>
      <c r="N1640" s="2" t="s">
        <v>18</v>
      </c>
      <c r="O1640" s="2" t="s">
        <v>293</v>
      </c>
      <c r="P1640" s="2">
        <v>28000000</v>
      </c>
      <c r="Q1640" s="2">
        <v>6.6</v>
      </c>
      <c r="R1640" s="2" t="s">
        <v>3743</v>
      </c>
      <c r="S1640" s="2"/>
      <c r="U1640" s="2" t="s">
        <v>3744</v>
      </c>
      <c r="V1640">
        <f ca="1" t="shared" si="49"/>
        <v>7.7</v>
      </c>
      <c r="AC1640" s="2"/>
      <c r="AD1640" t="str">
        <f>IFERROR(__xludf.DUMMYFUNCTION("""COMPUTED_VALUE"""),"Message in a Bottle ")</f>
        <v>Message in a Bottle </v>
      </c>
      <c r="AE1640">
        <f t="shared" si="50"/>
        <v>52798873</v>
      </c>
    </row>
    <row r="1641" customHeight="1" spans="1:31">
      <c r="A1641" s="2" t="s">
        <v>1698</v>
      </c>
      <c r="B1641" s="2">
        <v>115</v>
      </c>
      <c r="C1641" s="2">
        <v>71346930</v>
      </c>
      <c r="D1641" s="2" t="s">
        <v>3745</v>
      </c>
      <c r="E1641" s="2" t="s">
        <v>30</v>
      </c>
      <c r="F1641" t="s">
        <v>13</v>
      </c>
      <c r="G1641" t="s">
        <v>30</v>
      </c>
      <c r="N1641" s="2" t="s">
        <v>18</v>
      </c>
      <c r="O1641" s="2" t="s">
        <v>19</v>
      </c>
      <c r="P1641" s="2">
        <v>28000000</v>
      </c>
      <c r="Q1641" s="2">
        <v>6.7</v>
      </c>
      <c r="R1641" s="2" t="s">
        <v>3746</v>
      </c>
      <c r="S1641" s="2"/>
      <c r="U1641" s="2" t="s">
        <v>3747</v>
      </c>
      <c r="V1641">
        <f ca="1" t="shared" si="49"/>
        <v>4.9</v>
      </c>
      <c r="AC1641" s="2"/>
      <c r="AD1641" t="str">
        <f>IFERROR(__xludf.DUMMYFUNCTION("""COMPUTED_VALUE"""),"Star Trek V: The Final Frontier ")</f>
        <v>Star Trek V: The Final Frontier </v>
      </c>
      <c r="AE1641">
        <f t="shared" si="50"/>
        <v>55209942</v>
      </c>
    </row>
    <row r="1642" customHeight="1" spans="1:31">
      <c r="A1642" s="2" t="s">
        <v>1066</v>
      </c>
      <c r="B1642" s="2">
        <v>96</v>
      </c>
      <c r="C1642" s="2">
        <v>39514713</v>
      </c>
      <c r="D1642" s="2" t="s">
        <v>214</v>
      </c>
      <c r="E1642" s="2" t="s">
        <v>40</v>
      </c>
      <c r="F1642" t="s">
        <v>17</v>
      </c>
      <c r="G1642" t="s">
        <v>17</v>
      </c>
      <c r="N1642" s="2" t="s">
        <v>18</v>
      </c>
      <c r="O1642" s="2" t="s">
        <v>19</v>
      </c>
      <c r="P1642" s="2">
        <v>28000000</v>
      </c>
      <c r="Q1642" s="2">
        <v>6.7</v>
      </c>
      <c r="R1642" s="2" t="s">
        <v>3748</v>
      </c>
      <c r="S1642" s="2"/>
      <c r="U1642" s="2" t="s">
        <v>3749</v>
      </c>
      <c r="V1642">
        <f ca="1" t="shared" si="49"/>
        <v>7.8</v>
      </c>
      <c r="AC1642" s="2"/>
      <c r="AD1642" t="str">
        <f>IFERROR(__xludf.DUMMYFUNCTION("""COMPUTED_VALUE"""),"Like Mike ")</f>
        <v>Like Mike </v>
      </c>
      <c r="AE1642">
        <f t="shared" si="50"/>
        <v>51432324</v>
      </c>
    </row>
    <row r="1643" customHeight="1" spans="1:31">
      <c r="A1643" s="2" t="s">
        <v>1643</v>
      </c>
      <c r="B1643" s="2">
        <v>104</v>
      </c>
      <c r="C1643" s="2">
        <v>43097652</v>
      </c>
      <c r="D1643" s="2" t="s">
        <v>521</v>
      </c>
      <c r="E1643" s="2" t="s">
        <v>40</v>
      </c>
      <c r="F1643" t="s">
        <v>28</v>
      </c>
      <c r="G1643" t="s">
        <v>17</v>
      </c>
      <c r="N1643" s="2" t="s">
        <v>18</v>
      </c>
      <c r="O1643" s="2" t="s">
        <v>19</v>
      </c>
      <c r="P1643" s="2">
        <v>28000000</v>
      </c>
      <c r="Q1643" s="2">
        <v>6.3</v>
      </c>
      <c r="R1643" s="2" t="s">
        <v>3750</v>
      </c>
      <c r="S1643" s="2"/>
      <c r="U1643" s="2" t="s">
        <v>3751</v>
      </c>
      <c r="V1643">
        <f ca="1" t="shared" si="49"/>
        <v>5.9</v>
      </c>
      <c r="AC1643" s="2"/>
      <c r="AD1643" t="str">
        <f>IFERROR(__xludf.DUMMYFUNCTION("""COMPUTED_VALUE"""),"Naked Gun 33 1/3: The Final Insult ")</f>
        <v>Naked Gun 33 1/3: The Final Insult </v>
      </c>
      <c r="AE1643">
        <f t="shared" si="50"/>
        <v>51109317</v>
      </c>
    </row>
    <row r="1644" customHeight="1" spans="1:31">
      <c r="A1644" s="2" t="s">
        <v>268</v>
      </c>
      <c r="B1644" s="2">
        <v>117</v>
      </c>
      <c r="C1644" s="2">
        <v>48043505</v>
      </c>
      <c r="D1644" s="2" t="s">
        <v>811</v>
      </c>
      <c r="E1644" s="2" t="s">
        <v>12</v>
      </c>
      <c r="F1644" t="s">
        <v>28</v>
      </c>
      <c r="G1644" t="s">
        <v>71</v>
      </c>
      <c r="N1644" s="2" t="s">
        <v>18</v>
      </c>
      <c r="O1644" s="2" t="s">
        <v>31</v>
      </c>
      <c r="P1644" s="2">
        <v>30000000</v>
      </c>
      <c r="Q1644" s="2">
        <v>7.7</v>
      </c>
      <c r="R1644" s="2" t="s">
        <v>3752</v>
      </c>
      <c r="S1644" s="2"/>
      <c r="U1644" s="2" t="s">
        <v>3753</v>
      </c>
      <c r="V1644">
        <f ca="1" t="shared" si="49"/>
        <v>5.9</v>
      </c>
      <c r="AC1644" s="2"/>
      <c r="AD1644" t="str">
        <f>IFERROR(__xludf.DUMMYFUNCTION("""COMPUTED_VALUE"""),"A View to a Kill ")</f>
        <v>A View to a Kill </v>
      </c>
      <c r="AE1644">
        <f t="shared" si="50"/>
        <v>50299869</v>
      </c>
    </row>
    <row r="1645" customHeight="1" spans="1:31">
      <c r="A1645" s="2" t="s">
        <v>1106</v>
      </c>
      <c r="B1645" s="2">
        <v>83</v>
      </c>
      <c r="C1645" s="2">
        <v>37053924</v>
      </c>
      <c r="D1645" s="2" t="s">
        <v>635</v>
      </c>
      <c r="E1645" s="2" t="s">
        <v>12</v>
      </c>
      <c r="F1645" t="s">
        <v>17</v>
      </c>
      <c r="G1645" t="s">
        <v>24</v>
      </c>
      <c r="N1645" s="2" t="s">
        <v>18</v>
      </c>
      <c r="O1645" s="2" t="s">
        <v>293</v>
      </c>
      <c r="P1645" s="2">
        <v>28000000</v>
      </c>
      <c r="Q1645" s="2">
        <v>6.1</v>
      </c>
      <c r="R1645" s="2" t="s">
        <v>3754</v>
      </c>
      <c r="S1645" s="2"/>
      <c r="U1645" s="2" t="s">
        <v>3755</v>
      </c>
      <c r="V1645">
        <f ca="1" t="shared" si="49"/>
        <v>6.85</v>
      </c>
      <c r="AC1645" s="2"/>
      <c r="AD1645" t="str">
        <f>IFERROR(__xludf.DUMMYFUNCTION("""COMPUTED_VALUE"""),"The Curse of the Were-Rabbit ")</f>
        <v>The Curse of the Were-Rabbit </v>
      </c>
      <c r="AE1645">
        <f t="shared" si="50"/>
        <v>56068462</v>
      </c>
    </row>
    <row r="1646" customHeight="1" spans="1:31">
      <c r="A1646" s="2" t="s">
        <v>1362</v>
      </c>
      <c r="B1646" s="2">
        <v>99</v>
      </c>
      <c r="C1646" s="2">
        <v>33000377</v>
      </c>
      <c r="D1646" s="2" t="s">
        <v>3756</v>
      </c>
      <c r="E1646" s="2" t="s">
        <v>12</v>
      </c>
      <c r="F1646" t="s">
        <v>14</v>
      </c>
      <c r="G1646" t="s">
        <v>17</v>
      </c>
      <c r="N1646" s="2" t="s">
        <v>18</v>
      </c>
      <c r="O1646" s="2" t="s">
        <v>19</v>
      </c>
      <c r="P1646" s="2">
        <v>28000000</v>
      </c>
      <c r="Q1646" s="2">
        <v>4.9</v>
      </c>
      <c r="R1646" s="2" t="s">
        <v>3757</v>
      </c>
      <c r="S1646" s="2"/>
      <c r="U1646" s="2" t="s">
        <v>3758</v>
      </c>
      <c r="V1646">
        <f ca="1" t="shared" si="49"/>
        <v>7.6</v>
      </c>
      <c r="AC1646" s="2"/>
      <c r="AD1646" t="str">
        <f>IFERROR(__xludf.DUMMYFUNCTION("""COMPUTED_VALUE"""),"P.S. I Love You ")</f>
        <v>P.S. I Love You </v>
      </c>
      <c r="AE1646">
        <f t="shared" si="50"/>
        <v>53680722</v>
      </c>
    </row>
    <row r="1647" customHeight="1" spans="1:31">
      <c r="A1647" s="2" t="s">
        <v>1936</v>
      </c>
      <c r="B1647" s="2">
        <v>81</v>
      </c>
      <c r="C1647" s="2">
        <v>66950483</v>
      </c>
      <c r="D1647" s="2" t="s">
        <v>1201</v>
      </c>
      <c r="E1647" s="2" t="s">
        <v>40</v>
      </c>
      <c r="F1647" t="s">
        <v>30</v>
      </c>
      <c r="G1647" t="s">
        <v>17</v>
      </c>
      <c r="N1647" s="2" t="s">
        <v>18</v>
      </c>
      <c r="O1647" s="2" t="s">
        <v>19</v>
      </c>
      <c r="P1647" s="2">
        <v>28000000</v>
      </c>
      <c r="Q1647" s="2">
        <v>6.2</v>
      </c>
      <c r="R1647" s="2" t="s">
        <v>3759</v>
      </c>
      <c r="S1647" s="2"/>
      <c r="U1647" s="2" t="s">
        <v>3760</v>
      </c>
      <c r="V1647">
        <f ca="1" t="shared" si="49"/>
        <v>7.2</v>
      </c>
      <c r="AC1647" s="2"/>
      <c r="AD1647" t="str">
        <f>IFERROR(__xludf.DUMMYFUNCTION("""COMPUTED_VALUE"""),"Atonement ")</f>
        <v>Atonement </v>
      </c>
      <c r="AE1647">
        <f t="shared" si="50"/>
        <v>50921615</v>
      </c>
    </row>
    <row r="1648" customHeight="1" spans="1:31">
      <c r="A1648" s="2" t="s">
        <v>361</v>
      </c>
      <c r="B1648" s="2">
        <v>135</v>
      </c>
      <c r="C1648" s="2">
        <v>38372662</v>
      </c>
      <c r="D1648" s="2" t="s">
        <v>103</v>
      </c>
      <c r="E1648" s="2" t="s">
        <v>30</v>
      </c>
      <c r="F1648" t="s">
        <v>56</v>
      </c>
      <c r="G1648" t="s">
        <v>14</v>
      </c>
      <c r="N1648" s="2" t="s">
        <v>18</v>
      </c>
      <c r="O1648" s="2" t="s">
        <v>707</v>
      </c>
      <c r="P1648" s="2">
        <v>28000000</v>
      </c>
      <c r="Q1648" s="2">
        <v>7.8</v>
      </c>
      <c r="R1648" s="2" t="s">
        <v>3761</v>
      </c>
      <c r="S1648" s="2"/>
      <c r="U1648" s="2" t="s">
        <v>3762</v>
      </c>
      <c r="V1648">
        <f ca="1" t="shared" si="49"/>
        <v>7.5</v>
      </c>
      <c r="AC1648" s="2"/>
      <c r="AD1648" t="str">
        <f>IFERROR(__xludf.DUMMYFUNCTION("""COMPUTED_VALUE"""),"Letters to Juliet ")</f>
        <v>Letters to Juliet </v>
      </c>
      <c r="AE1648">
        <f t="shared" si="50"/>
        <v>53021455</v>
      </c>
    </row>
    <row r="1649" customHeight="1" spans="1:31">
      <c r="A1649" s="2" t="s">
        <v>94</v>
      </c>
      <c r="B1649" s="2">
        <v>117</v>
      </c>
      <c r="C1649" s="2">
        <v>27000000</v>
      </c>
      <c r="D1649" s="2" t="s">
        <v>1154</v>
      </c>
      <c r="E1649" s="2" t="s">
        <v>15</v>
      </c>
      <c r="F1649" t="s">
        <v>23</v>
      </c>
      <c r="G1649" t="s">
        <v>17</v>
      </c>
      <c r="N1649" s="2" t="s">
        <v>18</v>
      </c>
      <c r="O1649" s="2" t="s">
        <v>19</v>
      </c>
      <c r="P1649" s="2">
        <v>28000000</v>
      </c>
      <c r="Q1649" s="2">
        <v>8.2</v>
      </c>
      <c r="R1649" s="2" t="s">
        <v>3763</v>
      </c>
      <c r="S1649" s="2"/>
      <c r="U1649" s="2" t="s">
        <v>3764</v>
      </c>
      <c r="V1649">
        <f ca="1" t="shared" si="49"/>
        <v>6.9</v>
      </c>
      <c r="AC1649" s="2"/>
      <c r="AD1649" t="str">
        <f>IFERROR(__xludf.DUMMYFUNCTION("""COMPUTED_VALUE"""),"Black Rain ")</f>
        <v>Black Rain </v>
      </c>
      <c r="AE1649">
        <f t="shared" si="50"/>
        <v>45645079</v>
      </c>
    </row>
    <row r="1650" customHeight="1" spans="1:31">
      <c r="A1650" s="2" t="s">
        <v>961</v>
      </c>
      <c r="B1650" s="2">
        <v>139</v>
      </c>
      <c r="C1650" s="2">
        <v>31600000</v>
      </c>
      <c r="D1650" s="2" t="s">
        <v>3765</v>
      </c>
      <c r="E1650" s="2" t="s">
        <v>13</v>
      </c>
      <c r="F1650" t="s">
        <v>28</v>
      </c>
      <c r="G1650" t="s">
        <v>30</v>
      </c>
      <c r="N1650" s="2" t="s">
        <v>18</v>
      </c>
      <c r="O1650" s="2" t="s">
        <v>19</v>
      </c>
      <c r="P1650" s="2">
        <v>28000000</v>
      </c>
      <c r="Q1650" s="2">
        <v>6.9</v>
      </c>
      <c r="R1650" s="2" t="s">
        <v>3766</v>
      </c>
      <c r="S1650" s="2"/>
      <c r="U1650" s="2" t="s">
        <v>3767</v>
      </c>
      <c r="V1650">
        <f ca="1" t="shared" si="49"/>
        <v>7.6</v>
      </c>
      <c r="AC1650" s="2"/>
      <c r="AD1650" t="str">
        <f>IFERROR(__xludf.DUMMYFUNCTION("""COMPUTED_VALUE"""),"Corpse Bride ")</f>
        <v>Corpse Bride </v>
      </c>
      <c r="AE1650">
        <f t="shared" si="50"/>
        <v>53337531</v>
      </c>
    </row>
    <row r="1651" customHeight="1" spans="1:31">
      <c r="A1651" s="2" t="s">
        <v>147</v>
      </c>
      <c r="B1651" s="2">
        <v>123</v>
      </c>
      <c r="C1651" s="2">
        <v>30688364</v>
      </c>
      <c r="D1651" s="2" t="s">
        <v>355</v>
      </c>
      <c r="E1651" s="2" t="s">
        <v>12</v>
      </c>
      <c r="F1651" t="s">
        <v>28</v>
      </c>
      <c r="G1651" t="s">
        <v>30</v>
      </c>
      <c r="N1651" s="2" t="s">
        <v>18</v>
      </c>
      <c r="O1651" s="2" t="s">
        <v>19</v>
      </c>
      <c r="P1651" s="2">
        <v>28000000</v>
      </c>
      <c r="Q1651" s="2">
        <v>6.2</v>
      </c>
      <c r="R1651" s="2" t="s">
        <v>3768</v>
      </c>
      <c r="S1651" s="2"/>
      <c r="U1651" s="2" t="s">
        <v>3769</v>
      </c>
      <c r="V1651">
        <f ca="1" t="shared" si="49"/>
        <v>7.6</v>
      </c>
      <c r="AC1651" s="2"/>
      <c r="AD1651" t="str">
        <f>IFERROR(__xludf.DUMMYFUNCTION("""COMPUTED_VALUE"""),"Sicario ")</f>
        <v>Sicario </v>
      </c>
      <c r="AE1651">
        <f t="shared" si="50"/>
        <v>46875347</v>
      </c>
    </row>
    <row r="1652" customHeight="1" spans="1:31">
      <c r="A1652" s="2" t="s">
        <v>1938</v>
      </c>
      <c r="B1652" s="2">
        <v>117</v>
      </c>
      <c r="C1652" s="2">
        <v>28563179</v>
      </c>
      <c r="D1652" s="2" t="s">
        <v>805</v>
      </c>
      <c r="E1652" s="2" t="s">
        <v>56</v>
      </c>
      <c r="F1652" t="s">
        <v>30</v>
      </c>
      <c r="G1652" t="s">
        <v>24</v>
      </c>
      <c r="N1652" s="2" t="s">
        <v>18</v>
      </c>
      <c r="O1652" s="2" t="s">
        <v>19</v>
      </c>
      <c r="P1652" s="2">
        <v>21000000</v>
      </c>
      <c r="Q1652" s="2">
        <v>6.9</v>
      </c>
      <c r="R1652" s="2" t="s">
        <v>3770</v>
      </c>
      <c r="S1652" s="2"/>
      <c r="U1652" s="2" t="s">
        <v>3771</v>
      </c>
      <c r="V1652">
        <f ca="1" t="shared" si="49"/>
        <v>7.2</v>
      </c>
      <c r="AC1652" s="2"/>
      <c r="AD1652" t="str">
        <f>IFERROR(__xludf.DUMMYFUNCTION("""COMPUTED_VALUE"""),"Southpaw ")</f>
        <v>Southpaw </v>
      </c>
      <c r="AE1652">
        <f t="shared" si="50"/>
        <v>52418778</v>
      </c>
    </row>
    <row r="1653" customHeight="1" spans="1:31">
      <c r="A1653" s="2" t="s">
        <v>1940</v>
      </c>
      <c r="B1653" s="2">
        <v>97</v>
      </c>
      <c r="C1653" s="2">
        <v>16779636</v>
      </c>
      <c r="D1653" s="2" t="s">
        <v>1788</v>
      </c>
      <c r="E1653" s="2" t="s">
        <v>30</v>
      </c>
      <c r="F1653" t="s">
        <v>30</v>
      </c>
      <c r="G1653" t="s">
        <v>15</v>
      </c>
      <c r="N1653" s="2" t="s">
        <v>18</v>
      </c>
      <c r="O1653" s="2" t="s">
        <v>19</v>
      </c>
      <c r="P1653" s="2">
        <v>28000000</v>
      </c>
      <c r="Q1653" s="2">
        <v>4.8</v>
      </c>
      <c r="R1653" s="2" t="s">
        <v>3772</v>
      </c>
      <c r="S1653" s="2"/>
      <c r="U1653" s="2" t="s">
        <v>3773</v>
      </c>
      <c r="V1653">
        <f ca="1" t="shared" si="49"/>
        <v>6.03333333333333</v>
      </c>
      <c r="AC1653" s="2"/>
      <c r="AD1653" t="str">
        <f>IFERROR(__xludf.DUMMYFUNCTION("""COMPUTED_VALUE"""),"Drag Me to Hell ")</f>
        <v>Drag Me to Hell </v>
      </c>
      <c r="AE1653">
        <f t="shared" si="50"/>
        <v>42057241</v>
      </c>
    </row>
    <row r="1654" customHeight="1" spans="1:31">
      <c r="A1654" s="2" t="s">
        <v>854</v>
      </c>
      <c r="B1654" s="2">
        <v>81</v>
      </c>
      <c r="C1654" s="2">
        <v>10762178</v>
      </c>
      <c r="D1654" s="2" t="s">
        <v>65</v>
      </c>
      <c r="E1654" s="2" t="s">
        <v>65</v>
      </c>
      <c r="F1654" t="s">
        <v>24</v>
      </c>
      <c r="G1654" t="s">
        <v>17</v>
      </c>
      <c r="N1654" s="2" t="s">
        <v>18</v>
      </c>
      <c r="O1654" s="2" t="s">
        <v>707</v>
      </c>
      <c r="P1654" s="2">
        <v>160000000</v>
      </c>
      <c r="Q1654" s="2">
        <v>8</v>
      </c>
      <c r="R1654" s="2" t="s">
        <v>3774</v>
      </c>
      <c r="S1654" s="2"/>
      <c r="U1654" s="2" t="s">
        <v>3775</v>
      </c>
      <c r="V1654">
        <f ca="1" t="shared" si="49"/>
        <v>7.2</v>
      </c>
      <c r="AC1654" s="2"/>
      <c r="AD1654" t="str">
        <f>IFERROR(__xludf.DUMMYFUNCTION("""COMPUTED_VALUE"""),"The Age of Adaline ")</f>
        <v>The Age of Adaline </v>
      </c>
      <c r="AE1654">
        <f t="shared" si="50"/>
        <v>42478063</v>
      </c>
    </row>
    <row r="1655" customHeight="1" spans="1:31">
      <c r="A1655" s="2" t="s">
        <v>1111</v>
      </c>
      <c r="B1655" s="2">
        <v>103</v>
      </c>
      <c r="C1655" s="2">
        <v>17324744</v>
      </c>
      <c r="D1655" s="2" t="s">
        <v>1456</v>
      </c>
      <c r="E1655" s="2" t="s">
        <v>40</v>
      </c>
      <c r="F1655" t="s">
        <v>17</v>
      </c>
      <c r="G1655" t="s">
        <v>17</v>
      </c>
      <c r="N1655" s="2" t="s">
        <v>18</v>
      </c>
      <c r="O1655" s="2" t="s">
        <v>19</v>
      </c>
      <c r="P1655" s="2">
        <v>28000000</v>
      </c>
      <c r="Q1655" s="2">
        <v>5.3</v>
      </c>
      <c r="R1655" s="2" t="s">
        <v>3776</v>
      </c>
      <c r="S1655" s="2"/>
      <c r="U1655" s="2" t="s">
        <v>3777</v>
      </c>
      <c r="V1655">
        <f ca="1" t="shared" ref="V1655:V1718" si="51">AVERAGEIF(A1539:A5324,U1655,Q1540:Q5324)</f>
        <v>8</v>
      </c>
      <c r="AC1655" s="2"/>
      <c r="AD1655" t="str">
        <f>IFERROR(__xludf.DUMMYFUNCTION("""COMPUTED_VALUE"""),"Secondhand Lions ")</f>
        <v>Secondhand Lions </v>
      </c>
      <c r="AE1655">
        <f t="shared" ref="AE1655:AE1718" si="52">C1539-B1539</f>
        <v>41407359</v>
      </c>
    </row>
    <row r="1656" customHeight="1" spans="1:31">
      <c r="A1656" s="2" t="s">
        <v>682</v>
      </c>
      <c r="B1656" s="2">
        <v>119</v>
      </c>
      <c r="C1656" s="2">
        <v>8888143</v>
      </c>
      <c r="D1656" s="2" t="s">
        <v>2602</v>
      </c>
      <c r="E1656" s="2" t="s">
        <v>40</v>
      </c>
      <c r="F1656" t="s">
        <v>30</v>
      </c>
      <c r="G1656" t="s">
        <v>28</v>
      </c>
      <c r="N1656" s="2" t="s">
        <v>18</v>
      </c>
      <c r="O1656" s="2" t="s">
        <v>121</v>
      </c>
      <c r="P1656" s="2">
        <v>28000000</v>
      </c>
      <c r="Q1656" s="2">
        <v>6.7</v>
      </c>
      <c r="R1656" s="2" t="s">
        <v>3778</v>
      </c>
      <c r="S1656" s="2"/>
      <c r="U1656" s="2" t="s">
        <v>3779</v>
      </c>
      <c r="V1656">
        <f ca="1" t="shared" si="51"/>
        <v>7.4</v>
      </c>
      <c r="AC1656" s="2"/>
      <c r="AD1656" t="str">
        <f>IFERROR(__xludf.DUMMYFUNCTION("""COMPUTED_VALUE"""),"Step Up 3D ")</f>
        <v>Step Up 3D </v>
      </c>
      <c r="AE1656">
        <f t="shared" si="52"/>
        <v>42385413</v>
      </c>
    </row>
    <row r="1657" customHeight="1" spans="1:31">
      <c r="A1657" s="2" t="s">
        <v>1073</v>
      </c>
      <c r="B1657" s="2">
        <v>94</v>
      </c>
      <c r="C1657" s="2">
        <v>24268828</v>
      </c>
      <c r="D1657" s="2" t="s">
        <v>3780</v>
      </c>
      <c r="E1657" s="2" t="s">
        <v>12</v>
      </c>
      <c r="F1657" t="s">
        <v>30</v>
      </c>
      <c r="G1657" t="s">
        <v>55</v>
      </c>
      <c r="N1657" s="2" t="s">
        <v>18</v>
      </c>
      <c r="O1657" s="2" t="s">
        <v>19</v>
      </c>
      <c r="P1657" s="2">
        <v>28000000</v>
      </c>
      <c r="Q1657" s="2">
        <v>5.4</v>
      </c>
      <c r="R1657" s="2" t="s">
        <v>3781</v>
      </c>
      <c r="S1657" s="2"/>
      <c r="U1657" s="2" t="s">
        <v>3782</v>
      </c>
      <c r="V1657">
        <f ca="1" t="shared" si="51"/>
        <v>6.1</v>
      </c>
      <c r="AC1657" s="2"/>
      <c r="AD1657" t="str">
        <f>IFERROR(__xludf.DUMMYFUNCTION("""COMPUTED_VALUE"""),"Blue Crush ")</f>
        <v>Blue Crush </v>
      </c>
      <c r="AE1657">
        <f t="shared" si="52"/>
        <v>40118316</v>
      </c>
    </row>
    <row r="1658" customHeight="1" spans="1:31">
      <c r="A1658" s="2" t="s">
        <v>1942</v>
      </c>
      <c r="B1658" s="2">
        <v>89</v>
      </c>
      <c r="C1658" s="2">
        <v>8119205</v>
      </c>
      <c r="D1658" s="2" t="s">
        <v>214</v>
      </c>
      <c r="E1658" s="2" t="s">
        <v>40</v>
      </c>
      <c r="F1658" t="s">
        <v>30</v>
      </c>
      <c r="G1658" t="s">
        <v>15</v>
      </c>
      <c r="N1658" s="2" t="s">
        <v>18</v>
      </c>
      <c r="O1658" s="2" t="s">
        <v>19</v>
      </c>
      <c r="P1658" s="2">
        <v>28000000</v>
      </c>
      <c r="Q1658" s="2">
        <v>5.4</v>
      </c>
      <c r="R1658" s="2" t="s">
        <v>3783</v>
      </c>
      <c r="S1658" s="2"/>
      <c r="U1658" s="2" t="s">
        <v>3784</v>
      </c>
      <c r="V1658">
        <f ca="1" t="shared" si="51"/>
        <v>7</v>
      </c>
      <c r="AC1658" s="2"/>
      <c r="AD1658" t="str">
        <f>IFERROR(__xludf.DUMMYFUNCTION("""COMPUTED_VALUE"""),"Stranger Than Fiction ")</f>
        <v>Stranger Than Fiction </v>
      </c>
      <c r="AE1658">
        <f t="shared" si="52"/>
        <v>40137663</v>
      </c>
    </row>
    <row r="1659" customHeight="1" spans="1:31">
      <c r="A1659" s="2" t="s">
        <v>1335</v>
      </c>
      <c r="B1659" s="2">
        <v>98</v>
      </c>
      <c r="C1659" s="2">
        <v>8434601</v>
      </c>
      <c r="D1659" s="2" t="s">
        <v>1699</v>
      </c>
      <c r="E1659" s="2" t="s">
        <v>12</v>
      </c>
      <c r="F1659" t="s">
        <v>40</v>
      </c>
      <c r="G1659" t="s">
        <v>16</v>
      </c>
      <c r="N1659" s="2" t="s">
        <v>18</v>
      </c>
      <c r="O1659" s="2" t="s">
        <v>19</v>
      </c>
      <c r="P1659" s="2">
        <v>28000000</v>
      </c>
      <c r="Q1659" s="2">
        <v>4.9</v>
      </c>
      <c r="R1659" s="2" t="s">
        <v>3785</v>
      </c>
      <c r="S1659" s="2"/>
      <c r="U1659" s="2" t="s">
        <v>3786</v>
      </c>
      <c r="V1659">
        <f ca="1" t="shared" si="51"/>
        <v>6.5</v>
      </c>
      <c r="AC1659" s="2"/>
      <c r="AD1659" t="str">
        <f>IFERROR(__xludf.DUMMYFUNCTION("""COMPUTED_VALUE"""),"30 Days of Night ")</f>
        <v>30 Days of Night </v>
      </c>
      <c r="AE1659">
        <f t="shared" si="52"/>
        <v>39568883</v>
      </c>
    </row>
    <row r="1660" customHeight="1" spans="1:31">
      <c r="A1660" s="2" t="s">
        <v>1344</v>
      </c>
      <c r="B1660" s="2">
        <v>107</v>
      </c>
      <c r="C1660" s="2">
        <v>6998324</v>
      </c>
      <c r="D1660" s="2" t="s">
        <v>975</v>
      </c>
      <c r="E1660" s="2" t="s">
        <v>40</v>
      </c>
      <c r="F1660" t="s">
        <v>72</v>
      </c>
      <c r="G1660" t="s">
        <v>40</v>
      </c>
      <c r="N1660" s="2" t="s">
        <v>18</v>
      </c>
      <c r="O1660" s="2" t="s">
        <v>19</v>
      </c>
      <c r="P1660" s="2">
        <v>28000000</v>
      </c>
      <c r="Q1660" s="2">
        <v>6.1</v>
      </c>
      <c r="R1660" s="2" t="s">
        <v>3787</v>
      </c>
      <c r="S1660" s="2"/>
      <c r="U1660" s="2" t="s">
        <v>3788</v>
      </c>
      <c r="V1660">
        <f ca="1" t="shared" si="51"/>
        <v>3.3</v>
      </c>
      <c r="AC1660" s="2"/>
      <c r="AD1660" t="str">
        <f>IFERROR(__xludf.DUMMYFUNCTION("""COMPUTED_VALUE"""),"The Cabin in the Woods ")</f>
        <v>The Cabin in the Woods </v>
      </c>
      <c r="AE1660">
        <f t="shared" si="52"/>
        <v>42043538</v>
      </c>
    </row>
    <row r="1661" customHeight="1" spans="1:31">
      <c r="A1661" s="2" t="s">
        <v>1458</v>
      </c>
      <c r="B1661" s="2">
        <v>108</v>
      </c>
      <c r="C1661" s="2">
        <v>10907291</v>
      </c>
      <c r="D1661" s="2" t="s">
        <v>3789</v>
      </c>
      <c r="E1661" s="2" t="s">
        <v>12</v>
      </c>
      <c r="F1661" t="s">
        <v>13</v>
      </c>
      <c r="G1661" t="s">
        <v>29</v>
      </c>
      <c r="N1661" s="2" t="s">
        <v>18</v>
      </c>
      <c r="O1661" s="2" t="s">
        <v>19</v>
      </c>
      <c r="P1661" s="2">
        <v>28000000</v>
      </c>
      <c r="Q1661" s="2">
        <v>5.8</v>
      </c>
      <c r="R1661" s="2" t="s">
        <v>3790</v>
      </c>
      <c r="S1661" s="2"/>
      <c r="U1661" s="2" t="s">
        <v>3791</v>
      </c>
      <c r="V1661">
        <f ca="1" t="shared" si="51"/>
        <v>8.3</v>
      </c>
      <c r="AC1661" s="2"/>
      <c r="AD1661" t="str">
        <f>IFERROR(__xludf.DUMMYFUNCTION("""COMPUTED_VALUE"""),"Meet the Spartans ")</f>
        <v>Meet the Spartans </v>
      </c>
      <c r="AE1661">
        <f t="shared" si="52"/>
        <v>38232538</v>
      </c>
    </row>
    <row r="1662" customHeight="1" spans="1:31">
      <c r="A1662" s="2" t="s">
        <v>196</v>
      </c>
      <c r="B1662" s="2">
        <v>134</v>
      </c>
      <c r="C1662" s="2">
        <v>5532301</v>
      </c>
      <c r="D1662" s="2" t="s">
        <v>1284</v>
      </c>
      <c r="E1662" s="2" t="s">
        <v>59</v>
      </c>
      <c r="F1662" t="s">
        <v>13</v>
      </c>
      <c r="G1662" t="s">
        <v>30</v>
      </c>
      <c r="N1662" s="2" t="s">
        <v>18</v>
      </c>
      <c r="O1662" s="2" t="s">
        <v>19</v>
      </c>
      <c r="P1662" s="2">
        <v>28000000</v>
      </c>
      <c r="Q1662" s="2">
        <v>7</v>
      </c>
      <c r="R1662" s="2" t="s">
        <v>3792</v>
      </c>
      <c r="S1662" s="2"/>
      <c r="U1662" s="2" t="s">
        <v>3793</v>
      </c>
      <c r="V1662">
        <f ca="1" t="shared" si="51"/>
        <v>8.1</v>
      </c>
      <c r="AC1662" s="2"/>
      <c r="AD1662" t="str">
        <f>IFERROR(__xludf.DUMMYFUNCTION("""COMPUTED_VALUE"""),"Midnight Run ")</f>
        <v>Midnight Run </v>
      </c>
      <c r="AE1662">
        <f t="shared" si="52"/>
        <v>38413480</v>
      </c>
    </row>
    <row r="1663" customHeight="1" spans="1:31">
      <c r="A1663" s="2" t="s">
        <v>1944</v>
      </c>
      <c r="B1663" s="2">
        <v>110</v>
      </c>
      <c r="C1663" s="2">
        <v>2775593</v>
      </c>
      <c r="D1663" s="2" t="s">
        <v>521</v>
      </c>
      <c r="E1663" s="2" t="s">
        <v>40</v>
      </c>
      <c r="F1663" t="s">
        <v>13</v>
      </c>
      <c r="G1663" t="s">
        <v>83</v>
      </c>
      <c r="N1663" s="2" t="s">
        <v>18</v>
      </c>
      <c r="O1663" s="2" t="s">
        <v>31</v>
      </c>
      <c r="P1663" s="2">
        <v>27000000</v>
      </c>
      <c r="Q1663" s="2">
        <v>6.5</v>
      </c>
      <c r="R1663" s="2" t="s">
        <v>3794</v>
      </c>
      <c r="S1663" s="2"/>
      <c r="U1663" s="2" t="s">
        <v>3795</v>
      </c>
      <c r="V1663">
        <f ca="1" t="shared" si="51"/>
        <v>6.8</v>
      </c>
      <c r="AC1663" s="2"/>
      <c r="AD1663" t="str">
        <f>IFERROR(__xludf.DUMMYFUNCTION("""COMPUTED_VALUE"""),"The Running Man ")</f>
        <v>The Running Man </v>
      </c>
      <c r="AE1663">
        <f t="shared" si="52"/>
        <v>38122004</v>
      </c>
    </row>
    <row r="1664" customHeight="1" spans="1:31">
      <c r="A1664" s="2" t="s">
        <v>1946</v>
      </c>
      <c r="B1664" s="2">
        <v>103</v>
      </c>
      <c r="C1664" s="2">
        <v>28751715</v>
      </c>
      <c r="D1664" s="2" t="s">
        <v>635</v>
      </c>
      <c r="E1664" s="2" t="s">
        <v>12</v>
      </c>
      <c r="F1664" t="s">
        <v>30</v>
      </c>
      <c r="G1664" t="s">
        <v>24</v>
      </c>
      <c r="N1664" s="2" t="s">
        <v>18</v>
      </c>
      <c r="O1664" s="2" t="s">
        <v>19</v>
      </c>
      <c r="P1664" s="2">
        <v>28000000</v>
      </c>
      <c r="Q1664" s="2">
        <v>6.6</v>
      </c>
      <c r="R1664" s="2" t="s">
        <v>3796</v>
      </c>
      <c r="S1664" s="2"/>
      <c r="U1664" s="2" t="s">
        <v>3797</v>
      </c>
      <c r="V1664">
        <f ca="1" t="shared" si="51"/>
        <v>7</v>
      </c>
      <c r="AC1664" s="2"/>
      <c r="AD1664" t="str">
        <f>IFERROR(__xludf.DUMMYFUNCTION("""COMPUTED_VALUE"""),"Little Shop of Horrors ")</f>
        <v>Little Shop of Horrors </v>
      </c>
      <c r="AE1664">
        <f t="shared" si="52"/>
        <v>38747283</v>
      </c>
    </row>
    <row r="1665" customHeight="1" spans="1:31">
      <c r="A1665" s="2" t="s">
        <v>1949</v>
      </c>
      <c r="B1665" s="2">
        <v>100</v>
      </c>
      <c r="C1665" s="2">
        <v>20285518</v>
      </c>
      <c r="D1665" s="2" t="s">
        <v>186</v>
      </c>
      <c r="E1665" s="2" t="s">
        <v>12</v>
      </c>
      <c r="F1665" t="s">
        <v>30</v>
      </c>
      <c r="G1665" t="s">
        <v>24</v>
      </c>
      <c r="N1665" s="2" t="s">
        <v>18</v>
      </c>
      <c r="O1665" s="2" t="s">
        <v>707</v>
      </c>
      <c r="P1665" s="2">
        <v>28000000</v>
      </c>
      <c r="Q1665" s="2">
        <v>5.7</v>
      </c>
      <c r="R1665" s="2" t="s">
        <v>3798</v>
      </c>
      <c r="S1665" s="2"/>
      <c r="U1665" s="2" t="s">
        <v>3799</v>
      </c>
      <c r="V1665">
        <f ca="1" t="shared" si="51"/>
        <v>6.7</v>
      </c>
      <c r="AC1665" s="2"/>
      <c r="AD1665" t="str">
        <f>IFERROR(__xludf.DUMMYFUNCTION("""COMPUTED_VALUE"""),"Hanna ")</f>
        <v>Hanna </v>
      </c>
      <c r="AE1665">
        <f t="shared" si="52"/>
        <v>40247401</v>
      </c>
    </row>
    <row r="1666" customHeight="1" spans="1:31">
      <c r="A1666" s="2" t="s">
        <v>1472</v>
      </c>
      <c r="B1666" s="2">
        <v>131</v>
      </c>
      <c r="C1666" s="2">
        <v>67900000</v>
      </c>
      <c r="D1666" s="2" t="s">
        <v>27</v>
      </c>
      <c r="E1666" s="2" t="s">
        <v>12</v>
      </c>
      <c r="F1666" t="s">
        <v>40</v>
      </c>
      <c r="G1666" t="s">
        <v>15</v>
      </c>
      <c r="N1666" s="2" t="s">
        <v>18</v>
      </c>
      <c r="O1666" s="2" t="s">
        <v>31</v>
      </c>
      <c r="P1666" s="2">
        <v>27500000</v>
      </c>
      <c r="Q1666" s="2">
        <v>6.6</v>
      </c>
      <c r="R1666" s="2" t="s">
        <v>3800</v>
      </c>
      <c r="S1666" s="2"/>
      <c r="U1666" s="2" t="s">
        <v>3801</v>
      </c>
      <c r="V1666">
        <f ca="1" t="shared" si="51"/>
        <v>5.8</v>
      </c>
      <c r="AC1666" s="2"/>
      <c r="AD1666" t="str">
        <f>IFERROR(__xludf.DUMMYFUNCTION("""COMPUTED_VALUE"""),"Mortal Kombat: Annihilation ")</f>
        <v>Mortal Kombat: Annihilation </v>
      </c>
      <c r="AE1666">
        <f t="shared" si="52"/>
        <v>35927311</v>
      </c>
    </row>
    <row r="1667" customHeight="1" spans="1:31">
      <c r="A1667" s="2" t="s">
        <v>910</v>
      </c>
      <c r="B1667" s="2">
        <v>133</v>
      </c>
      <c r="C1667" s="2">
        <v>148734225</v>
      </c>
      <c r="D1667" s="2" t="s">
        <v>607</v>
      </c>
      <c r="E1667" s="2" t="s">
        <v>40</v>
      </c>
      <c r="F1667" t="s">
        <v>30</v>
      </c>
      <c r="G1667" t="s">
        <v>16</v>
      </c>
      <c r="N1667" s="2" t="s">
        <v>18</v>
      </c>
      <c r="O1667" s="2" t="s">
        <v>19</v>
      </c>
      <c r="P1667" s="2">
        <v>30000000</v>
      </c>
      <c r="Q1667" s="2">
        <v>7</v>
      </c>
      <c r="R1667" s="2" t="s">
        <v>3802</v>
      </c>
      <c r="S1667" s="2"/>
      <c r="U1667" s="2" t="s">
        <v>3803</v>
      </c>
      <c r="V1667">
        <f ca="1" t="shared" si="51"/>
        <v>4.5</v>
      </c>
      <c r="AC1667" s="2"/>
      <c r="AD1667" t="str">
        <f>IFERROR(__xludf.DUMMYFUNCTION("""COMPUTED_VALUE"""),"Larry Crowne ")</f>
        <v>Larry Crowne </v>
      </c>
      <c r="AE1667">
        <f t="shared" si="52"/>
        <v>35565877</v>
      </c>
    </row>
    <row r="1668" customHeight="1" spans="1:31">
      <c r="A1668" s="2" t="s">
        <v>1509</v>
      </c>
      <c r="B1668" s="2">
        <v>109</v>
      </c>
      <c r="C1668" s="2">
        <v>49185998</v>
      </c>
      <c r="D1668" s="2" t="s">
        <v>30</v>
      </c>
      <c r="E1668" s="2" t="s">
        <v>30</v>
      </c>
      <c r="F1668" t="s">
        <v>17</v>
      </c>
      <c r="G1668" t="s">
        <v>24</v>
      </c>
      <c r="N1668" s="2" t="s">
        <v>18</v>
      </c>
      <c r="O1668" s="2" t="s">
        <v>19</v>
      </c>
      <c r="P1668" s="2">
        <v>30000000</v>
      </c>
      <c r="Q1668" s="2">
        <v>7.4</v>
      </c>
      <c r="R1668" s="2" t="s">
        <v>3804</v>
      </c>
      <c r="S1668" s="2"/>
      <c r="U1668" s="2" t="s">
        <v>3805</v>
      </c>
      <c r="V1668">
        <f ca="1" t="shared" si="51"/>
        <v>6.6</v>
      </c>
      <c r="AC1668" s="2"/>
      <c r="AD1668" t="str">
        <f>IFERROR(__xludf.DUMMYFUNCTION("""COMPUTED_VALUE"""),"Carrie ")</f>
        <v>Carrie </v>
      </c>
      <c r="AE1668">
        <f t="shared" si="52"/>
        <v>35266519</v>
      </c>
    </row>
    <row r="1669" customHeight="1" spans="1:31">
      <c r="A1669" s="2" t="s">
        <v>1952</v>
      </c>
      <c r="B1669" s="2">
        <v>114</v>
      </c>
      <c r="C1669" s="2">
        <v>42168445</v>
      </c>
      <c r="D1669" s="2" t="s">
        <v>521</v>
      </c>
      <c r="E1669" s="2" t="s">
        <v>40</v>
      </c>
      <c r="F1669" t="s">
        <v>23</v>
      </c>
      <c r="G1669" t="s">
        <v>30</v>
      </c>
      <c r="N1669" s="2" t="s">
        <v>18</v>
      </c>
      <c r="O1669" s="2" t="s">
        <v>19</v>
      </c>
      <c r="P1669" s="2">
        <v>35000000</v>
      </c>
      <c r="Q1669" s="2">
        <v>5.3</v>
      </c>
      <c r="R1669" s="2" t="s">
        <v>3806</v>
      </c>
      <c r="S1669" s="2"/>
      <c r="U1669" s="2" t="s">
        <v>3807</v>
      </c>
      <c r="V1669">
        <f ca="1" t="shared" si="51"/>
        <v>6.6</v>
      </c>
      <c r="AC1669" s="2"/>
      <c r="AD1669" t="str">
        <f>IFERROR(__xludf.DUMMYFUNCTION("""COMPUTED_VALUE"""),"Take the Lead ")</f>
        <v>Take the Lead </v>
      </c>
      <c r="AE1669">
        <f t="shared" si="52"/>
        <v>34703110</v>
      </c>
    </row>
    <row r="1670" customHeight="1" spans="1:31">
      <c r="A1670" s="2" t="s">
        <v>1954</v>
      </c>
      <c r="B1670" s="2">
        <v>164</v>
      </c>
      <c r="C1670" s="2">
        <v>26400000</v>
      </c>
      <c r="D1670" s="2" t="s">
        <v>1468</v>
      </c>
      <c r="E1670" s="2" t="s">
        <v>13</v>
      </c>
      <c r="F1670" t="s">
        <v>17</v>
      </c>
      <c r="G1670" t="s">
        <v>23</v>
      </c>
      <c r="N1670" s="2" t="s">
        <v>18</v>
      </c>
      <c r="O1670" s="2" t="s">
        <v>31</v>
      </c>
      <c r="P1670" s="2">
        <v>16000000</v>
      </c>
      <c r="Q1670" s="2">
        <v>7.4</v>
      </c>
      <c r="R1670" s="2" t="s">
        <v>3808</v>
      </c>
      <c r="S1670" s="2"/>
      <c r="U1670" s="2" t="s">
        <v>3809</v>
      </c>
      <c r="V1670">
        <f ca="1" t="shared" si="51"/>
        <v>7.8</v>
      </c>
      <c r="AC1670" s="2"/>
      <c r="AD1670" t="str">
        <f>IFERROR(__xludf.DUMMYFUNCTION("""COMPUTED_VALUE"""),"Gridiron Gang ")</f>
        <v>Gridiron Gang </v>
      </c>
      <c r="AE1670">
        <f t="shared" si="52"/>
        <v>38432698</v>
      </c>
    </row>
    <row r="1671" customHeight="1" spans="1:31">
      <c r="A1671" s="2" t="s">
        <v>1956</v>
      </c>
      <c r="B1671" s="2">
        <v>92</v>
      </c>
      <c r="C1671" s="2">
        <v>17508670</v>
      </c>
      <c r="D1671" s="2" t="s">
        <v>2171</v>
      </c>
      <c r="E1671" s="2" t="s">
        <v>56</v>
      </c>
      <c r="F1671" t="s">
        <v>59</v>
      </c>
      <c r="G1671" t="s">
        <v>30</v>
      </c>
      <c r="N1671" s="2" t="s">
        <v>18</v>
      </c>
      <c r="O1671" s="2" t="s">
        <v>31</v>
      </c>
      <c r="P1671" s="2">
        <v>15000000</v>
      </c>
      <c r="Q1671" s="2">
        <v>7.4</v>
      </c>
      <c r="R1671" s="2" t="s">
        <v>3810</v>
      </c>
      <c r="S1671" s="2"/>
      <c r="U1671" s="2" t="s">
        <v>3811</v>
      </c>
      <c r="V1671">
        <f ca="1" t="shared" si="51"/>
        <v>7.7</v>
      </c>
      <c r="AC1671" s="2"/>
      <c r="AD1671" t="str">
        <f>IFERROR(__xludf.DUMMYFUNCTION("""COMPUTED_VALUE"""),"What's the Worst That Could Happen? ")</f>
        <v>What's the Worst That Could Happen? </v>
      </c>
      <c r="AE1671">
        <f t="shared" si="52"/>
        <v>32095224</v>
      </c>
    </row>
    <row r="1672" customHeight="1" spans="1:31">
      <c r="A1672" s="2" t="s">
        <v>317</v>
      </c>
      <c r="B1672" s="2">
        <v>122</v>
      </c>
      <c r="C1672" s="2">
        <v>9664316</v>
      </c>
      <c r="D1672" s="2" t="s">
        <v>1655</v>
      </c>
      <c r="E1672" s="2" t="s">
        <v>30</v>
      </c>
      <c r="F1672" t="s">
        <v>56</v>
      </c>
      <c r="G1672" t="s">
        <v>17</v>
      </c>
      <c r="N1672" s="2" t="s">
        <v>18</v>
      </c>
      <c r="O1672" s="2" t="s">
        <v>19</v>
      </c>
      <c r="P1672" s="2">
        <v>27500000</v>
      </c>
      <c r="Q1672" s="2">
        <v>6.8</v>
      </c>
      <c r="R1672" s="2" t="s">
        <v>3812</v>
      </c>
      <c r="S1672" s="2"/>
      <c r="U1672" s="2" t="s">
        <v>3813</v>
      </c>
      <c r="V1672">
        <f ca="1" t="shared" si="51"/>
        <v>5.7</v>
      </c>
      <c r="AC1672" s="2"/>
      <c r="AD1672" t="str">
        <f>IFERROR(__xludf.DUMMYFUNCTION("""COMPUTED_VALUE"""),"9 ")</f>
        <v>9 </v>
      </c>
      <c r="AE1672">
        <f t="shared" si="52"/>
        <v>31743253</v>
      </c>
    </row>
    <row r="1673" customHeight="1" spans="1:31">
      <c r="A1673" s="2" t="s">
        <v>1958</v>
      </c>
      <c r="B1673" s="2">
        <v>110</v>
      </c>
      <c r="C1673" s="2">
        <v>74888996</v>
      </c>
      <c r="D1673" s="2" t="s">
        <v>108</v>
      </c>
      <c r="E1673" s="2" t="s">
        <v>12</v>
      </c>
      <c r="F1673" t="s">
        <v>17</v>
      </c>
      <c r="G1673" t="s">
        <v>17</v>
      </c>
      <c r="N1673" s="2" t="s">
        <v>18</v>
      </c>
      <c r="O1673" s="2" t="s">
        <v>19</v>
      </c>
      <c r="P1673" s="2">
        <v>30000000</v>
      </c>
      <c r="Q1673" s="2">
        <v>7.2</v>
      </c>
      <c r="R1673" s="2" t="s">
        <v>3814</v>
      </c>
      <c r="S1673" s="2"/>
      <c r="U1673" s="2" t="s">
        <v>3815</v>
      </c>
      <c r="V1673">
        <f ca="1" t="shared" si="51"/>
        <v>7.1</v>
      </c>
      <c r="AC1673" s="2"/>
      <c r="AD1673" t="str">
        <f>IFERROR(__xludf.DUMMYFUNCTION("""COMPUTED_VALUE"""),"Side Effects ")</f>
        <v>Side Effects </v>
      </c>
      <c r="AE1673">
        <f t="shared" si="52"/>
        <v>32154304</v>
      </c>
    </row>
    <row r="1674" customHeight="1" spans="1:31">
      <c r="A1674" s="2" t="s">
        <v>1960</v>
      </c>
      <c r="B1674" s="2">
        <v>116</v>
      </c>
      <c r="C1674" s="2">
        <v>69586544</v>
      </c>
      <c r="D1674" s="2" t="s">
        <v>30</v>
      </c>
      <c r="E1674" s="2" t="s">
        <v>30</v>
      </c>
      <c r="F1674" t="s">
        <v>30</v>
      </c>
      <c r="G1674" t="s">
        <v>39</v>
      </c>
      <c r="N1674" s="2" t="s">
        <v>18</v>
      </c>
      <c r="O1674" s="2" t="s">
        <v>19</v>
      </c>
      <c r="P1674" s="2">
        <v>27000000</v>
      </c>
      <c r="Q1674" s="2">
        <v>6</v>
      </c>
      <c r="R1674" s="2" t="s">
        <v>3816</v>
      </c>
      <c r="S1674" s="2"/>
      <c r="U1674" s="2" t="s">
        <v>3817</v>
      </c>
      <c r="V1674">
        <f ca="1" t="shared" si="51"/>
        <v>6.4</v>
      </c>
      <c r="AC1674" s="2"/>
      <c r="AD1674" t="str">
        <f>IFERROR(__xludf.DUMMYFUNCTION("""COMPUTED_VALUE"""),"Winnie the Pooh ")</f>
        <v>Winnie the Pooh </v>
      </c>
      <c r="AE1674">
        <f t="shared" si="52"/>
        <v>26687109</v>
      </c>
    </row>
    <row r="1675" customHeight="1" spans="1:31">
      <c r="A1675" s="2" t="s">
        <v>1286</v>
      </c>
      <c r="B1675" s="2">
        <v>115</v>
      </c>
      <c r="C1675" s="2">
        <v>60491560</v>
      </c>
      <c r="D1675" s="2" t="s">
        <v>814</v>
      </c>
      <c r="E1675" s="2" t="s">
        <v>56</v>
      </c>
      <c r="F1675" t="s">
        <v>30</v>
      </c>
      <c r="G1675" t="s">
        <v>17</v>
      </c>
      <c r="N1675" s="2" t="s">
        <v>18</v>
      </c>
      <c r="O1675" s="2" t="s">
        <v>19</v>
      </c>
      <c r="P1675" s="2">
        <v>27000000</v>
      </c>
      <c r="Q1675" s="2">
        <v>6.6</v>
      </c>
      <c r="R1675" s="2" t="s">
        <v>3818</v>
      </c>
      <c r="S1675" s="2"/>
      <c r="U1675" s="2" t="s">
        <v>3819</v>
      </c>
      <c r="V1675">
        <f ca="1" t="shared" si="51"/>
        <v>5.8</v>
      </c>
      <c r="AC1675" s="2"/>
      <c r="AD1675" t="str">
        <f>IFERROR(__xludf.DUMMYFUNCTION("""COMPUTED_VALUE"""),"Dumb and Dumberer: When Harry Met Lloyd ")</f>
        <v>Dumb and Dumberer: When Harry Met Lloyd </v>
      </c>
      <c r="AE1675">
        <f t="shared" si="52"/>
        <v>26096499</v>
      </c>
    </row>
    <row r="1676" customHeight="1" spans="1:31">
      <c r="A1676" s="2" t="s">
        <v>1311</v>
      </c>
      <c r="B1676" s="2">
        <v>148</v>
      </c>
      <c r="C1676" s="2">
        <v>54200000</v>
      </c>
      <c r="D1676" s="2" t="s">
        <v>3820</v>
      </c>
      <c r="E1676" s="2" t="s">
        <v>12</v>
      </c>
      <c r="F1676" t="s">
        <v>30</v>
      </c>
      <c r="G1676" t="s">
        <v>17</v>
      </c>
      <c r="N1676" s="2" t="s">
        <v>18</v>
      </c>
      <c r="O1676" s="2" t="s">
        <v>19</v>
      </c>
      <c r="P1676" s="2">
        <v>27000000</v>
      </c>
      <c r="Q1676" s="2">
        <v>7.9</v>
      </c>
      <c r="R1676" s="2" t="s">
        <v>3821</v>
      </c>
      <c r="S1676" s="2"/>
      <c r="U1676" s="2" t="s">
        <v>3822</v>
      </c>
      <c r="V1676">
        <f ca="1" t="shared" si="51"/>
        <v>7.8</v>
      </c>
      <c r="AC1676" s="2"/>
      <c r="AD1676" t="str">
        <f>IFERROR(__xludf.DUMMYFUNCTION("""COMPUTED_VALUE"""),"Bulworth ")</f>
        <v>Bulworth </v>
      </c>
      <c r="AE1676">
        <f t="shared" si="52"/>
        <v>26525726</v>
      </c>
    </row>
    <row r="1677" customHeight="1" spans="1:31">
      <c r="A1677" s="2" t="s">
        <v>1963</v>
      </c>
      <c r="B1677" s="2">
        <v>118</v>
      </c>
      <c r="C1677" s="2">
        <v>30920167</v>
      </c>
      <c r="D1677" s="2" t="s">
        <v>3198</v>
      </c>
      <c r="E1677" s="2" t="s">
        <v>40</v>
      </c>
      <c r="F1677" t="s">
        <v>13</v>
      </c>
      <c r="G1677" t="s">
        <v>24</v>
      </c>
      <c r="N1677" s="2" t="s">
        <v>18</v>
      </c>
      <c r="O1677" s="2" t="s">
        <v>19</v>
      </c>
      <c r="P1677" s="2">
        <v>25000000</v>
      </c>
      <c r="Q1677" s="2">
        <v>5.7</v>
      </c>
      <c r="R1677" s="2" t="s">
        <v>3823</v>
      </c>
      <c r="S1677" s="2"/>
      <c r="U1677" s="2" t="s">
        <v>3824</v>
      </c>
      <c r="V1677">
        <f ca="1" t="shared" si="51"/>
        <v>5.6</v>
      </c>
      <c r="AC1677" s="2"/>
      <c r="AD1677" t="str">
        <f>IFERROR(__xludf.DUMMYFUNCTION("""COMPUTED_VALUE"""),"Get on Up ")</f>
        <v>Get on Up </v>
      </c>
      <c r="AE1677">
        <f t="shared" si="52"/>
        <v>30513801</v>
      </c>
    </row>
    <row r="1678" customHeight="1" spans="1:31">
      <c r="A1678" s="2" t="s">
        <v>98</v>
      </c>
      <c r="B1678" s="2">
        <v>101</v>
      </c>
      <c r="C1678" s="2">
        <v>40566655</v>
      </c>
      <c r="D1678" s="2" t="s">
        <v>521</v>
      </c>
      <c r="E1678" s="2" t="s">
        <v>40</v>
      </c>
      <c r="F1678" t="s">
        <v>72</v>
      </c>
      <c r="G1678" t="s">
        <v>24</v>
      </c>
      <c r="N1678" s="2" t="s">
        <v>18</v>
      </c>
      <c r="O1678" s="2" t="s">
        <v>31</v>
      </c>
      <c r="P1678" s="2">
        <v>30000000</v>
      </c>
      <c r="Q1678" s="2">
        <v>7.1</v>
      </c>
      <c r="R1678" s="2" t="s">
        <v>3825</v>
      </c>
      <c r="S1678" s="2"/>
      <c r="U1678" s="2" t="s">
        <v>3826</v>
      </c>
      <c r="V1678">
        <f ca="1" t="shared" si="51"/>
        <v>6.8</v>
      </c>
      <c r="AC1678" s="2"/>
      <c r="AD1678" t="str">
        <f>IFERROR(__xludf.DUMMYFUNCTION("""COMPUTED_VALUE"""),"One True Thing ")</f>
        <v>One True Thing </v>
      </c>
      <c r="AE1678">
        <f t="shared" si="52"/>
        <v>23209313</v>
      </c>
    </row>
    <row r="1679" customHeight="1" spans="1:31">
      <c r="A1679" s="2" t="s">
        <v>1618</v>
      </c>
      <c r="B1679" s="2">
        <v>82</v>
      </c>
      <c r="C1679" s="2">
        <v>31768374</v>
      </c>
      <c r="D1679" s="2" t="s">
        <v>3602</v>
      </c>
      <c r="E1679" s="2" t="s">
        <v>12</v>
      </c>
      <c r="F1679" t="s">
        <v>56</v>
      </c>
      <c r="G1679" t="s">
        <v>23</v>
      </c>
      <c r="N1679" s="2" t="s">
        <v>18</v>
      </c>
      <c r="O1679" s="2" t="s">
        <v>19</v>
      </c>
      <c r="P1679" s="2">
        <v>27000000</v>
      </c>
      <c r="Q1679" s="2">
        <v>5.6</v>
      </c>
      <c r="R1679" s="2" t="s">
        <v>3827</v>
      </c>
      <c r="S1679" s="2"/>
      <c r="U1679" s="2" t="s">
        <v>3828</v>
      </c>
      <c r="V1679">
        <f ca="1" t="shared" si="51"/>
        <v>7.3</v>
      </c>
      <c r="AC1679" s="2"/>
      <c r="AD1679" t="str">
        <f>IFERROR(__xludf.DUMMYFUNCTION("""COMPUTED_VALUE"""),"Virtuosity ")</f>
        <v>Virtuosity </v>
      </c>
      <c r="AE1679">
        <f t="shared" si="52"/>
        <v>24047894</v>
      </c>
    </row>
    <row r="1680" customHeight="1" spans="1:31">
      <c r="A1680" s="2" t="s">
        <v>1451</v>
      </c>
      <c r="B1680" s="2">
        <v>110</v>
      </c>
      <c r="C1680" s="2">
        <v>22494487</v>
      </c>
      <c r="D1680" s="2" t="s">
        <v>814</v>
      </c>
      <c r="E1680" s="2" t="s">
        <v>56</v>
      </c>
      <c r="F1680" t="s">
        <v>13</v>
      </c>
      <c r="G1680" t="s">
        <v>24</v>
      </c>
      <c r="N1680" s="2" t="s">
        <v>18</v>
      </c>
      <c r="O1680" s="2" t="s">
        <v>293</v>
      </c>
      <c r="P1680" s="2">
        <v>27000000</v>
      </c>
      <c r="Q1680" s="2">
        <v>7.8</v>
      </c>
      <c r="R1680" s="2" t="s">
        <v>3829</v>
      </c>
      <c r="S1680" s="2"/>
      <c r="U1680" s="2" t="s">
        <v>3830</v>
      </c>
      <c r="V1680">
        <f ca="1" t="shared" si="51"/>
        <v>7.3</v>
      </c>
      <c r="AC1680" s="2"/>
      <c r="AD1680" t="str">
        <f>IFERROR(__xludf.DUMMYFUNCTION("""COMPUTED_VALUE"""),"My Super Ex-Girlfriend ")</f>
        <v>My Super Ex-Girlfriend </v>
      </c>
      <c r="AE1680">
        <f t="shared" si="52"/>
        <v>22526049</v>
      </c>
    </row>
    <row r="1681" customHeight="1" spans="1:31">
      <c r="A1681" s="2" t="s">
        <v>1966</v>
      </c>
      <c r="B1681" s="2">
        <v>193</v>
      </c>
      <c r="C1681" s="2">
        <v>21500000</v>
      </c>
      <c r="D1681" s="2" t="s">
        <v>1468</v>
      </c>
      <c r="E1681" s="2" t="s">
        <v>13</v>
      </c>
      <c r="F1681" t="s">
        <v>23</v>
      </c>
      <c r="G1681" t="s">
        <v>23</v>
      </c>
      <c r="N1681" s="2" t="s">
        <v>18</v>
      </c>
      <c r="O1681" s="2" t="s">
        <v>19</v>
      </c>
      <c r="P1681" s="2">
        <v>27000000</v>
      </c>
      <c r="Q1681" s="2">
        <v>7.9</v>
      </c>
      <c r="R1681" s="2" t="s">
        <v>3831</v>
      </c>
      <c r="S1681" s="2"/>
      <c r="U1681" s="2" t="s">
        <v>3832</v>
      </c>
      <c r="V1681">
        <f ca="1" t="shared" si="51"/>
        <v>6.6</v>
      </c>
      <c r="AC1681" s="2"/>
      <c r="AD1681" t="str">
        <f>IFERROR(__xludf.DUMMYFUNCTION("""COMPUTED_VALUE"""),"Deliver Us from Evil ")</f>
        <v>Deliver Us from Evil </v>
      </c>
      <c r="AE1681">
        <f t="shared" si="52"/>
        <v>30523450</v>
      </c>
    </row>
    <row r="1682" customHeight="1" spans="1:31">
      <c r="A1682" s="2" t="s">
        <v>176</v>
      </c>
      <c r="B1682" s="2">
        <v>130</v>
      </c>
      <c r="C1682" s="2">
        <v>4463292</v>
      </c>
      <c r="D1682" s="2" t="s">
        <v>1097</v>
      </c>
      <c r="E1682" s="2" t="s">
        <v>30</v>
      </c>
      <c r="F1682" t="s">
        <v>30</v>
      </c>
      <c r="G1682" t="s">
        <v>30</v>
      </c>
      <c r="N1682" s="2" t="s">
        <v>18</v>
      </c>
      <c r="O1682" s="2" t="s">
        <v>31</v>
      </c>
      <c r="P1682" s="2">
        <v>30000000</v>
      </c>
      <c r="Q1682" s="2">
        <v>6.9</v>
      </c>
      <c r="R1682" s="2" t="s">
        <v>3833</v>
      </c>
      <c r="S1682" s="2"/>
      <c r="U1682" s="2" t="s">
        <v>3834</v>
      </c>
      <c r="V1682">
        <f ca="1" t="shared" si="51"/>
        <v>7.8</v>
      </c>
      <c r="AC1682" s="2"/>
      <c r="AD1682" t="str">
        <f>IFERROR(__xludf.DUMMYFUNCTION("""COMPUTED_VALUE"""),"Sanctum ")</f>
        <v>Sanctum </v>
      </c>
      <c r="AE1682">
        <f t="shared" si="52"/>
        <v>23069937</v>
      </c>
    </row>
    <row r="1683" customHeight="1" spans="1:31">
      <c r="A1683" s="2" t="s">
        <v>394</v>
      </c>
      <c r="B1683" s="2">
        <v>111</v>
      </c>
      <c r="C1683" s="2">
        <v>14337579</v>
      </c>
      <c r="D1683" s="2" t="s">
        <v>3835</v>
      </c>
      <c r="E1683" s="2" t="s">
        <v>12</v>
      </c>
      <c r="F1683" t="s">
        <v>13</v>
      </c>
      <c r="G1683" t="s">
        <v>30</v>
      </c>
      <c r="N1683" s="2" t="s">
        <v>18</v>
      </c>
      <c r="O1683" s="2" t="s">
        <v>159</v>
      </c>
      <c r="P1683" s="2">
        <v>27000000</v>
      </c>
      <c r="Q1683" s="2">
        <v>7.7</v>
      </c>
      <c r="R1683" s="2" t="s">
        <v>3836</v>
      </c>
      <c r="S1683" s="2"/>
      <c r="U1683" s="2" t="s">
        <v>3837</v>
      </c>
      <c r="V1683">
        <f ca="1" t="shared" si="51"/>
        <v>7.5</v>
      </c>
      <c r="AC1683" s="2"/>
      <c r="AD1683" t="str">
        <f>IFERROR(__xludf.DUMMYFUNCTION("""COMPUTED_VALUE"""),"Little Black Book ")</f>
        <v>Little Black Book </v>
      </c>
      <c r="AE1683">
        <f t="shared" si="52"/>
        <v>20422102</v>
      </c>
    </row>
    <row r="1684" customHeight="1" spans="1:31">
      <c r="A1684" s="2" t="s">
        <v>1968</v>
      </c>
      <c r="B1684" s="2">
        <v>110</v>
      </c>
      <c r="C1684" s="2">
        <v>13823741</v>
      </c>
      <c r="D1684" s="2" t="s">
        <v>2530</v>
      </c>
      <c r="E1684" s="2" t="s">
        <v>59</v>
      </c>
      <c r="F1684" t="s">
        <v>30</v>
      </c>
      <c r="G1684" t="s">
        <v>17</v>
      </c>
      <c r="N1684" s="2" t="s">
        <v>18</v>
      </c>
      <c r="O1684" s="2" t="s">
        <v>31</v>
      </c>
      <c r="P1684" s="2">
        <v>13500000</v>
      </c>
      <c r="Q1684" s="2">
        <v>6.9</v>
      </c>
      <c r="R1684" s="2" t="s">
        <v>3838</v>
      </c>
      <c r="S1684" s="2"/>
      <c r="U1684" s="2" t="s">
        <v>3839</v>
      </c>
      <c r="V1684">
        <f ca="1" t="shared" si="51"/>
        <v>6.3</v>
      </c>
      <c r="AC1684" s="2"/>
      <c r="AD1684" t="str">
        <f>IFERROR(__xludf.DUMMYFUNCTION("""COMPUTED_VALUE"""),"The Five-Year Engagement ")</f>
        <v>The Five-Year Engagement </v>
      </c>
      <c r="AE1684">
        <f t="shared" si="52"/>
        <v>28644639</v>
      </c>
    </row>
    <row r="1685" customHeight="1" spans="1:31">
      <c r="A1685" s="2" t="s">
        <v>1971</v>
      </c>
      <c r="B1685" s="2">
        <v>123</v>
      </c>
      <c r="C1685" s="2">
        <v>10297897</v>
      </c>
      <c r="D1685" s="2" t="s">
        <v>3840</v>
      </c>
      <c r="E1685" s="2" t="s">
        <v>12</v>
      </c>
      <c r="F1685" t="s">
        <v>56</v>
      </c>
      <c r="G1685" t="s">
        <v>24</v>
      </c>
      <c r="N1685" s="2" t="s">
        <v>18</v>
      </c>
      <c r="O1685" s="2" t="s">
        <v>19</v>
      </c>
      <c r="P1685" s="2">
        <v>27000000</v>
      </c>
      <c r="Q1685" s="2">
        <v>6</v>
      </c>
      <c r="R1685" s="2" t="s">
        <v>3841</v>
      </c>
      <c r="S1685" s="2"/>
      <c r="U1685" s="2" t="s">
        <v>3842</v>
      </c>
      <c r="V1685">
        <f ca="1" t="shared" si="51"/>
        <v>6.8</v>
      </c>
      <c r="AC1685" s="2"/>
      <c r="AD1685" t="str">
        <f>IFERROR(__xludf.DUMMYFUNCTION("""COMPUTED_VALUE"""),"Mr 3000 ")</f>
        <v>Mr 3000 </v>
      </c>
      <c r="AE1685">
        <f t="shared" si="52"/>
        <v>21800198</v>
      </c>
    </row>
    <row r="1686" customHeight="1" spans="1:31">
      <c r="A1686" s="2" t="s">
        <v>1580</v>
      </c>
      <c r="B1686" s="2">
        <v>109</v>
      </c>
      <c r="C1686" s="2">
        <v>13248477</v>
      </c>
      <c r="D1686" s="2" t="s">
        <v>1189</v>
      </c>
      <c r="E1686" s="2" t="s">
        <v>72</v>
      </c>
      <c r="F1686" t="s">
        <v>40</v>
      </c>
      <c r="G1686" t="s">
        <v>30</v>
      </c>
      <c r="N1686" s="2" t="s">
        <v>18</v>
      </c>
      <c r="O1686" s="2" t="s">
        <v>19</v>
      </c>
      <c r="P1686" s="2">
        <v>27000000</v>
      </c>
      <c r="Q1686" s="2">
        <v>6.2</v>
      </c>
      <c r="R1686" s="2" t="s">
        <v>3843</v>
      </c>
      <c r="S1686" s="2"/>
      <c r="U1686" s="2" t="s">
        <v>3844</v>
      </c>
      <c r="V1686">
        <f ca="1" t="shared" si="51"/>
        <v>7.8</v>
      </c>
      <c r="AC1686" s="2"/>
      <c r="AD1686" t="str">
        <f>IFERROR(__xludf.DUMMYFUNCTION("""COMPUTED_VALUE"""),"The Next Three Days ")</f>
        <v>The Next Three Days </v>
      </c>
      <c r="AE1686">
        <f t="shared" si="52"/>
        <v>21129215</v>
      </c>
    </row>
    <row r="1687" customHeight="1" spans="1:31">
      <c r="A1687" s="2" t="s">
        <v>1974</v>
      </c>
      <c r="B1687" s="2">
        <v>99</v>
      </c>
      <c r="C1687" s="2">
        <v>8712564</v>
      </c>
      <c r="D1687" s="2" t="s">
        <v>814</v>
      </c>
      <c r="E1687" s="2" t="s">
        <v>56</v>
      </c>
      <c r="F1687" t="s">
        <v>35</v>
      </c>
      <c r="G1687" t="s">
        <v>17</v>
      </c>
      <c r="N1687" s="2" t="s">
        <v>18</v>
      </c>
      <c r="O1687" s="2" t="s">
        <v>19</v>
      </c>
      <c r="P1687" s="2">
        <v>27000000</v>
      </c>
      <c r="Q1687" s="2">
        <v>5.9</v>
      </c>
      <c r="R1687" s="2" t="s">
        <v>3845</v>
      </c>
      <c r="S1687" s="2"/>
      <c r="U1687" s="2" t="s">
        <v>3846</v>
      </c>
      <c r="V1687">
        <f ca="1" t="shared" si="51"/>
        <v>6.9</v>
      </c>
      <c r="AC1687" s="2"/>
      <c r="AD1687" t="str">
        <f>IFERROR(__xludf.DUMMYFUNCTION("""COMPUTED_VALUE"""),"Ultraviolet ")</f>
        <v>Ultraviolet </v>
      </c>
      <c r="AE1687">
        <f t="shared" si="52"/>
        <v>18500872</v>
      </c>
    </row>
    <row r="1688" customHeight="1" spans="1:31">
      <c r="A1688" s="2" t="s">
        <v>1976</v>
      </c>
      <c r="B1688" s="2">
        <v>106</v>
      </c>
      <c r="C1688" s="2">
        <v>7486906</v>
      </c>
      <c r="D1688" s="2" t="s">
        <v>1590</v>
      </c>
      <c r="E1688" s="2" t="s">
        <v>40</v>
      </c>
      <c r="F1688" t="s">
        <v>35</v>
      </c>
      <c r="G1688" t="s">
        <v>15</v>
      </c>
      <c r="N1688" s="2" t="s">
        <v>18</v>
      </c>
      <c r="O1688" s="2" t="s">
        <v>19</v>
      </c>
      <c r="P1688" s="2">
        <v>27000000</v>
      </c>
      <c r="Q1688" s="2">
        <v>6.8</v>
      </c>
      <c r="R1688" s="2" t="s">
        <v>3847</v>
      </c>
      <c r="S1688" s="2"/>
      <c r="U1688" s="2" t="s">
        <v>3848</v>
      </c>
      <c r="V1688">
        <f ca="1" t="shared" si="51"/>
        <v>4.3</v>
      </c>
      <c r="AC1688" s="2"/>
      <c r="AD1688" t="str">
        <f>IFERROR(__xludf.DUMMYFUNCTION("""COMPUTED_VALUE"""),"Assault on Precinct 13 ")</f>
        <v>Assault on Precinct 13 </v>
      </c>
      <c r="AE1688">
        <f t="shared" si="52"/>
        <v>19975964</v>
      </c>
    </row>
    <row r="1689" customHeight="1" spans="1:31">
      <c r="A1689" s="2" t="s">
        <v>1225</v>
      </c>
      <c r="B1689" s="2">
        <v>89</v>
      </c>
      <c r="C1689" s="2">
        <v>38536376</v>
      </c>
      <c r="D1689" s="2" t="s">
        <v>1192</v>
      </c>
      <c r="E1689" s="2" t="s">
        <v>12</v>
      </c>
      <c r="F1689" t="s">
        <v>40</v>
      </c>
      <c r="G1689" t="s">
        <v>23</v>
      </c>
      <c r="N1689" s="2" t="s">
        <v>18</v>
      </c>
      <c r="O1689" s="2" t="s">
        <v>19</v>
      </c>
      <c r="P1689" s="2">
        <v>27000000</v>
      </c>
      <c r="Q1689" s="2">
        <v>3.6</v>
      </c>
      <c r="R1689" s="2" t="s">
        <v>3849</v>
      </c>
      <c r="S1689" s="2"/>
      <c r="U1689" s="2" t="s">
        <v>3850</v>
      </c>
      <c r="V1689">
        <f ca="1" t="shared" si="51"/>
        <v>7.2</v>
      </c>
      <c r="AC1689" s="2"/>
      <c r="AD1689" t="str">
        <f>IFERROR(__xludf.DUMMYFUNCTION("""COMPUTED_VALUE"""),"The Replacement Killers ")</f>
        <v>The Replacement Killers </v>
      </c>
      <c r="AE1689">
        <f t="shared" si="52"/>
        <v>18967475</v>
      </c>
    </row>
    <row r="1690" customHeight="1" spans="1:31">
      <c r="A1690" s="2" t="s">
        <v>1978</v>
      </c>
      <c r="B1690" s="2">
        <v>98</v>
      </c>
      <c r="C1690" s="2">
        <v>41008532</v>
      </c>
      <c r="D1690" s="2" t="s">
        <v>805</v>
      </c>
      <c r="E1690" s="2" t="s">
        <v>56</v>
      </c>
      <c r="F1690" t="s">
        <v>30</v>
      </c>
      <c r="G1690" t="s">
        <v>17</v>
      </c>
      <c r="N1690" s="2" t="s">
        <v>18</v>
      </c>
      <c r="O1690" s="2" t="s">
        <v>19</v>
      </c>
      <c r="P1690" s="2">
        <v>27000000</v>
      </c>
      <c r="Q1690" s="2">
        <v>6.7</v>
      </c>
      <c r="R1690" s="2" t="s">
        <v>3851</v>
      </c>
      <c r="S1690" s="2"/>
      <c r="U1690" s="2" t="s">
        <v>3852</v>
      </c>
      <c r="V1690">
        <f ca="1" t="shared" si="51"/>
        <v>7.3</v>
      </c>
      <c r="AC1690" s="2"/>
      <c r="AD1690" t="str">
        <f>IFERROR(__xludf.DUMMYFUNCTION("""COMPUTED_VALUE"""),"Fled ")</f>
        <v>Fled </v>
      </c>
      <c r="AE1690">
        <f t="shared" si="52"/>
        <v>17099895</v>
      </c>
    </row>
    <row r="1691" customHeight="1" spans="1:31">
      <c r="A1691" s="2" t="s">
        <v>1707</v>
      </c>
      <c r="B1691" s="2">
        <v>93</v>
      </c>
      <c r="C1691" s="2">
        <v>5204007</v>
      </c>
      <c r="D1691" s="2" t="s">
        <v>174</v>
      </c>
      <c r="E1691" s="2" t="s">
        <v>12</v>
      </c>
      <c r="F1691" t="s">
        <v>56</v>
      </c>
      <c r="G1691" t="s">
        <v>17</v>
      </c>
      <c r="N1691" s="2" t="s">
        <v>18</v>
      </c>
      <c r="O1691" s="2" t="s">
        <v>31</v>
      </c>
      <c r="P1691" s="2">
        <v>28000000</v>
      </c>
      <c r="Q1691" s="2">
        <v>6.3</v>
      </c>
      <c r="R1691" s="2" t="s">
        <v>3853</v>
      </c>
      <c r="S1691" s="2"/>
      <c r="U1691" s="2" t="s">
        <v>3854</v>
      </c>
      <c r="V1691">
        <f ca="1" t="shared" si="51"/>
        <v>7.2</v>
      </c>
      <c r="AC1691" s="2"/>
      <c r="AD1691" t="str">
        <f>IFERROR(__xludf.DUMMYFUNCTION("""COMPUTED_VALUE"""),"Eight Legged Freaks ")</f>
        <v>Eight Legged Freaks </v>
      </c>
      <c r="AE1691">
        <f t="shared" si="52"/>
        <v>17266406</v>
      </c>
    </row>
    <row r="1692" customHeight="1" spans="1:31">
      <c r="A1692" s="2" t="s">
        <v>490</v>
      </c>
      <c r="B1692" s="2">
        <v>112</v>
      </c>
      <c r="C1692" s="2">
        <v>4485485</v>
      </c>
      <c r="D1692" s="2" t="s">
        <v>3855</v>
      </c>
      <c r="E1692" s="2" t="s">
        <v>40</v>
      </c>
      <c r="F1692" t="s">
        <v>17</v>
      </c>
      <c r="G1692" t="s">
        <v>17</v>
      </c>
      <c r="N1692" s="2" t="s">
        <v>18</v>
      </c>
      <c r="O1692" s="2" t="s">
        <v>19</v>
      </c>
      <c r="P1692" s="2">
        <v>15000000</v>
      </c>
      <c r="Q1692" s="2">
        <v>6.4</v>
      </c>
      <c r="R1692" s="2" t="s">
        <v>3856</v>
      </c>
      <c r="S1692" s="2"/>
      <c r="U1692" s="2" t="s">
        <v>3857</v>
      </c>
      <c r="V1692">
        <f ca="1" t="shared" si="51"/>
        <v>5.4</v>
      </c>
      <c r="AC1692" s="2"/>
      <c r="AD1692" t="str">
        <f>IFERROR(__xludf.DUMMYFUNCTION("""COMPUTED_VALUE"""),"Love &amp; Other Drugs ")</f>
        <v>Love &amp; Other Drugs </v>
      </c>
      <c r="AE1692">
        <f t="shared" si="52"/>
        <v>32357420</v>
      </c>
    </row>
    <row r="1693" customHeight="1" spans="1:31">
      <c r="A1693" s="2" t="s">
        <v>709</v>
      </c>
      <c r="B1693" s="2">
        <v>101</v>
      </c>
      <c r="C1693" s="2">
        <v>4476235</v>
      </c>
      <c r="D1693" s="2" t="s">
        <v>3286</v>
      </c>
      <c r="E1693" s="2" t="s">
        <v>56</v>
      </c>
      <c r="F1693" t="s">
        <v>30</v>
      </c>
      <c r="G1693" t="s">
        <v>17</v>
      </c>
      <c r="N1693" s="2" t="s">
        <v>18</v>
      </c>
      <c r="O1693" s="2" t="s">
        <v>19</v>
      </c>
      <c r="P1693" s="2">
        <v>27000000</v>
      </c>
      <c r="Q1693" s="2">
        <v>6.4</v>
      </c>
      <c r="R1693" s="2" t="s">
        <v>3858</v>
      </c>
      <c r="S1693" s="2"/>
      <c r="U1693" s="2" t="s">
        <v>3859</v>
      </c>
      <c r="V1693">
        <f ca="1" t="shared" si="51"/>
        <v>7.1</v>
      </c>
      <c r="AC1693" s="2"/>
      <c r="AD1693" t="str">
        <f>IFERROR(__xludf.DUMMYFUNCTION("""COMPUTED_VALUE"""),"88 Minutes ")</f>
        <v>88 Minutes </v>
      </c>
      <c r="AE1693">
        <f t="shared" si="52"/>
        <v>16930776</v>
      </c>
    </row>
    <row r="1694" customHeight="1" spans="1:31">
      <c r="A1694" s="2" t="s">
        <v>889</v>
      </c>
      <c r="B1694" s="2">
        <v>104</v>
      </c>
      <c r="C1694" s="2">
        <v>1089365</v>
      </c>
      <c r="D1694" s="2" t="s">
        <v>975</v>
      </c>
      <c r="E1694" s="2" t="s">
        <v>40</v>
      </c>
      <c r="F1694" t="s">
        <v>17</v>
      </c>
      <c r="G1694" t="s">
        <v>17</v>
      </c>
      <c r="N1694" s="2" t="s">
        <v>18</v>
      </c>
      <c r="O1694" s="2" t="s">
        <v>19</v>
      </c>
      <c r="P1694" s="2">
        <v>25000000</v>
      </c>
      <c r="Q1694" s="2">
        <v>5.7</v>
      </c>
      <c r="R1694" s="2" t="s">
        <v>3860</v>
      </c>
      <c r="S1694" s="2"/>
      <c r="U1694" s="2" t="s">
        <v>3861</v>
      </c>
      <c r="V1694">
        <f ca="1" t="shared" si="51"/>
        <v>6.8</v>
      </c>
      <c r="AC1694" s="2"/>
      <c r="AD1694" t="str">
        <f>IFERROR(__xludf.DUMMYFUNCTION("""COMPUTED_VALUE"""),"North Country ")</f>
        <v>North Country </v>
      </c>
      <c r="AE1694">
        <f t="shared" si="52"/>
        <v>18324116</v>
      </c>
    </row>
    <row r="1695" customHeight="1" spans="1:31">
      <c r="A1695" s="2" t="s">
        <v>1607</v>
      </c>
      <c r="B1695" s="2">
        <v>120</v>
      </c>
      <c r="C1695" s="2">
        <v>763044</v>
      </c>
      <c r="D1695" s="2" t="s">
        <v>1655</v>
      </c>
      <c r="E1695" s="2" t="s">
        <v>30</v>
      </c>
      <c r="F1695" t="s">
        <v>30</v>
      </c>
      <c r="G1695" t="s">
        <v>72</v>
      </c>
      <c r="N1695" s="2" t="s">
        <v>18</v>
      </c>
      <c r="O1695" s="2" t="s">
        <v>121</v>
      </c>
      <c r="P1695" s="2">
        <v>23000000</v>
      </c>
      <c r="Q1695" s="2">
        <v>6.2</v>
      </c>
      <c r="R1695" s="2" t="s">
        <v>3862</v>
      </c>
      <c r="S1695" s="2"/>
      <c r="U1695" s="2" t="s">
        <v>3863</v>
      </c>
      <c r="V1695">
        <f ca="1" t="shared" si="51"/>
        <v>7</v>
      </c>
      <c r="AC1695" s="2"/>
      <c r="AD1695" t="str">
        <f>IFERROR(__xludf.DUMMYFUNCTION("""COMPUTED_VALUE"""),"The Whole Ten Yards ")</f>
        <v>The Whole Ten Yards </v>
      </c>
      <c r="AE1695">
        <f t="shared" si="52"/>
        <v>16323871</v>
      </c>
    </row>
    <row r="1696" customHeight="1" spans="1:31">
      <c r="A1696" s="2" t="s">
        <v>912</v>
      </c>
      <c r="B1696" s="2">
        <v>91</v>
      </c>
      <c r="C1696" s="2">
        <v>20819129</v>
      </c>
      <c r="D1696" s="2" t="s">
        <v>635</v>
      </c>
      <c r="E1696" s="2" t="s">
        <v>12</v>
      </c>
      <c r="F1696" t="s">
        <v>17</v>
      </c>
      <c r="G1696" t="s">
        <v>30</v>
      </c>
      <c r="N1696" s="2" t="s">
        <v>18</v>
      </c>
      <c r="O1696" s="2" t="s">
        <v>19</v>
      </c>
      <c r="P1696" s="2">
        <v>26000000</v>
      </c>
      <c r="Q1696" s="2">
        <v>5.2</v>
      </c>
      <c r="R1696" s="2" t="s">
        <v>3864</v>
      </c>
      <c r="S1696" s="2"/>
      <c r="U1696" s="2" t="s">
        <v>3865</v>
      </c>
      <c r="V1696">
        <f ca="1" t="shared" si="51"/>
        <v>7.4</v>
      </c>
      <c r="AC1696" s="2"/>
      <c r="AD1696" t="str">
        <f>IFERROR(__xludf.DUMMYFUNCTION("""COMPUTED_VALUE"""),"Splice ")</f>
        <v>Splice </v>
      </c>
      <c r="AE1696">
        <f t="shared" si="52"/>
        <v>16998942</v>
      </c>
    </row>
    <row r="1697" customHeight="1" spans="1:31">
      <c r="A1697" s="2" t="s">
        <v>699</v>
      </c>
      <c r="B1697" s="2">
        <v>97</v>
      </c>
      <c r="C1697" s="2">
        <v>110222438</v>
      </c>
      <c r="D1697" s="2" t="s">
        <v>3866</v>
      </c>
      <c r="E1697" s="2" t="s">
        <v>40</v>
      </c>
      <c r="F1697" t="s">
        <v>56</v>
      </c>
      <c r="G1697" t="s">
        <v>29</v>
      </c>
      <c r="N1697" s="2" t="s">
        <v>18</v>
      </c>
      <c r="O1697" s="2" t="s">
        <v>19</v>
      </c>
      <c r="P1697" s="2">
        <v>26000000</v>
      </c>
      <c r="Q1697" s="2">
        <v>6.1</v>
      </c>
      <c r="R1697" s="2" t="s">
        <v>3867</v>
      </c>
      <c r="S1697" s="2"/>
      <c r="U1697" s="2" t="s">
        <v>3868</v>
      </c>
      <c r="V1697">
        <f ca="1" t="shared" si="51"/>
        <v>6.7</v>
      </c>
      <c r="AC1697" s="2"/>
      <c r="AD1697" t="str">
        <f>IFERROR(__xludf.DUMMYFUNCTION("""COMPUTED_VALUE"""),"Howard the Duck ")</f>
        <v>Howard the Duck </v>
      </c>
      <c r="AE1697">
        <f t="shared" si="52"/>
        <v>16295664</v>
      </c>
    </row>
    <row r="1698" customHeight="1" spans="1:31">
      <c r="A1698" s="2" t="s">
        <v>910</v>
      </c>
      <c r="B1698" s="2">
        <v>133</v>
      </c>
      <c r="C1698" s="2">
        <v>109243478</v>
      </c>
      <c r="D1698" s="2" t="s">
        <v>607</v>
      </c>
      <c r="E1698" s="2" t="s">
        <v>40</v>
      </c>
      <c r="F1698" t="s">
        <v>17</v>
      </c>
      <c r="G1698" t="s">
        <v>56</v>
      </c>
      <c r="N1698" s="2" t="s">
        <v>18</v>
      </c>
      <c r="O1698" s="2" t="s">
        <v>19</v>
      </c>
      <c r="P1698" s="2">
        <v>26000000</v>
      </c>
      <c r="Q1698" s="2">
        <v>7.1</v>
      </c>
      <c r="R1698" s="2" t="s">
        <v>3869</v>
      </c>
      <c r="S1698" s="2"/>
      <c r="U1698" s="2" t="s">
        <v>3870</v>
      </c>
      <c r="V1698">
        <f ca="1" t="shared" si="51"/>
        <v>5.8</v>
      </c>
      <c r="AC1698" s="2"/>
      <c r="AD1698" t="str">
        <f>IFERROR(__xludf.DUMMYFUNCTION("""COMPUTED_VALUE"""),"Pride and Glory ")</f>
        <v>Pride and Glory </v>
      </c>
      <c r="AE1698">
        <f t="shared" si="52"/>
        <v>15709255</v>
      </c>
    </row>
    <row r="1699" customHeight="1" spans="1:31">
      <c r="A1699" s="2" t="s">
        <v>1166</v>
      </c>
      <c r="B1699" s="2">
        <v>123</v>
      </c>
      <c r="C1699" s="2">
        <v>100241322</v>
      </c>
      <c r="D1699" s="2" t="s">
        <v>521</v>
      </c>
      <c r="E1699" s="2" t="s">
        <v>40</v>
      </c>
      <c r="F1699" t="s">
        <v>17</v>
      </c>
      <c r="G1699" t="s">
        <v>17</v>
      </c>
      <c r="N1699" s="2" t="s">
        <v>18</v>
      </c>
      <c r="O1699" s="2" t="s">
        <v>19</v>
      </c>
      <c r="P1699" s="2">
        <v>25000000</v>
      </c>
      <c r="Q1699" s="2">
        <v>7.2</v>
      </c>
      <c r="R1699" s="2" t="s">
        <v>3871</v>
      </c>
      <c r="S1699" s="2"/>
      <c r="U1699" s="2" t="s">
        <v>3872</v>
      </c>
      <c r="V1699">
        <f ca="1" t="shared" si="51"/>
        <v>6.5</v>
      </c>
      <c r="AC1699" s="2"/>
      <c r="AD1699" t="str">
        <f>IFERROR(__xludf.DUMMYFUNCTION("""COMPUTED_VALUE"""),"The Cave ")</f>
        <v>The Cave </v>
      </c>
      <c r="AE1699">
        <f t="shared" si="52"/>
        <v>14887935</v>
      </c>
    </row>
    <row r="1700" customHeight="1" spans="1:31">
      <c r="A1700" s="2" t="s">
        <v>1980</v>
      </c>
      <c r="B1700" s="2">
        <v>114</v>
      </c>
      <c r="C1700" s="2">
        <v>25977365</v>
      </c>
      <c r="D1700" s="2" t="s">
        <v>814</v>
      </c>
      <c r="E1700" s="2" t="s">
        <v>56</v>
      </c>
      <c r="F1700" t="s">
        <v>23</v>
      </c>
      <c r="G1700" t="s">
        <v>24</v>
      </c>
      <c r="N1700" s="2" t="s">
        <v>18</v>
      </c>
      <c r="O1700" s="2" t="s">
        <v>19</v>
      </c>
      <c r="P1700" s="2">
        <v>28000000</v>
      </c>
      <c r="Q1700" s="2">
        <v>6.5</v>
      </c>
      <c r="R1700" s="2" t="s">
        <v>3873</v>
      </c>
      <c r="S1700" s="2"/>
      <c r="U1700" s="2" t="s">
        <v>3874</v>
      </c>
      <c r="V1700">
        <f ca="1" t="shared" si="51"/>
        <v>6.5</v>
      </c>
      <c r="AC1700" s="2"/>
      <c r="AD1700" t="str">
        <f>IFERROR(__xludf.DUMMYFUNCTION("""COMPUTED_VALUE"""),"Alex &amp; Emma ")</f>
        <v>Alex &amp; Emma </v>
      </c>
      <c r="AE1700">
        <f t="shared" si="52"/>
        <v>14208288</v>
      </c>
    </row>
    <row r="1701" customHeight="1" spans="1:31">
      <c r="A1701" s="2" t="s">
        <v>816</v>
      </c>
      <c r="B1701" s="2">
        <v>111</v>
      </c>
      <c r="C1701" s="2">
        <v>91457688</v>
      </c>
      <c r="D1701" s="2" t="s">
        <v>635</v>
      </c>
      <c r="E1701" s="2" t="s">
        <v>12</v>
      </c>
      <c r="F1701" t="s">
        <v>13</v>
      </c>
      <c r="G1701" t="s">
        <v>30</v>
      </c>
      <c r="N1701" s="2" t="s">
        <v>18</v>
      </c>
      <c r="O1701" s="2" t="s">
        <v>19</v>
      </c>
      <c r="P1701" s="2">
        <v>26000000</v>
      </c>
      <c r="Q1701" s="2">
        <v>6</v>
      </c>
      <c r="R1701" s="2" t="s">
        <v>3875</v>
      </c>
      <c r="S1701" s="2"/>
      <c r="U1701" s="2" t="s">
        <v>3876</v>
      </c>
      <c r="V1701">
        <f ca="1" t="shared" si="51"/>
        <v>8.6</v>
      </c>
      <c r="AC1701" s="2"/>
      <c r="AD1701" t="str">
        <f>IFERROR(__xludf.DUMMYFUNCTION("""COMPUTED_VALUE"""),"Wicker Park ")</f>
        <v>Wicker Park </v>
      </c>
      <c r="AE1701">
        <f t="shared" si="52"/>
        <v>12831007</v>
      </c>
    </row>
    <row r="1702" customHeight="1" spans="1:31">
      <c r="A1702" s="2" t="s">
        <v>1344</v>
      </c>
      <c r="B1702" s="2">
        <v>117</v>
      </c>
      <c r="C1702" s="2">
        <v>87341380</v>
      </c>
      <c r="D1702" s="2" t="s">
        <v>635</v>
      </c>
      <c r="E1702" s="2" t="s">
        <v>12</v>
      </c>
      <c r="F1702" t="s">
        <v>30</v>
      </c>
      <c r="G1702" t="s">
        <v>28</v>
      </c>
      <c r="N1702" s="2" t="s">
        <v>18</v>
      </c>
      <c r="O1702" s="2" t="s">
        <v>19</v>
      </c>
      <c r="P1702" s="2">
        <v>27000000</v>
      </c>
      <c r="Q1702" s="2">
        <v>7</v>
      </c>
      <c r="R1702" s="2" t="s">
        <v>3877</v>
      </c>
      <c r="S1702" s="2"/>
      <c r="U1702" s="2" t="s">
        <v>3878</v>
      </c>
      <c r="V1702">
        <f ca="1" t="shared" si="51"/>
        <v>6.5</v>
      </c>
      <c r="AC1702" s="2"/>
      <c r="AD1702" t="str">
        <f>IFERROR(__xludf.DUMMYFUNCTION("""COMPUTED_VALUE"""),"Fright Night ")</f>
        <v>Fright Night </v>
      </c>
      <c r="AE1702">
        <f t="shared" si="52"/>
        <v>18298543</v>
      </c>
    </row>
    <row r="1703" customHeight="1" spans="1:31">
      <c r="A1703" s="2" t="s">
        <v>894</v>
      </c>
      <c r="B1703" s="2">
        <v>121</v>
      </c>
      <c r="C1703" s="2">
        <v>65703412</v>
      </c>
      <c r="D1703" s="2" t="s">
        <v>521</v>
      </c>
      <c r="E1703" s="2" t="s">
        <v>40</v>
      </c>
      <c r="F1703" t="s">
        <v>83</v>
      </c>
      <c r="G1703" t="s">
        <v>17</v>
      </c>
      <c r="N1703" s="2" t="s">
        <v>18</v>
      </c>
      <c r="O1703" s="2" t="s">
        <v>19</v>
      </c>
      <c r="P1703" s="2">
        <v>26000000</v>
      </c>
      <c r="Q1703" s="2">
        <v>7</v>
      </c>
      <c r="R1703" s="2" t="s">
        <v>3879</v>
      </c>
      <c r="S1703" s="2"/>
      <c r="U1703" s="2" t="s">
        <v>3880</v>
      </c>
      <c r="V1703">
        <f ca="1" t="shared" si="51"/>
        <v>6.3</v>
      </c>
      <c r="AC1703" s="2"/>
      <c r="AD1703" t="str">
        <f>IFERROR(__xludf.DUMMYFUNCTION("""COMPUTED_VALUE"""),"The New World ")</f>
        <v>The New World </v>
      </c>
      <c r="AE1703">
        <f t="shared" si="52"/>
        <v>12711943</v>
      </c>
    </row>
    <row r="1704" customHeight="1" spans="1:31">
      <c r="A1704" s="2" t="s">
        <v>849</v>
      </c>
      <c r="B1704" s="2">
        <v>139</v>
      </c>
      <c r="C1704" s="2">
        <v>58328680</v>
      </c>
      <c r="D1704" s="2" t="s">
        <v>1639</v>
      </c>
      <c r="E1704" s="2" t="s">
        <v>30</v>
      </c>
      <c r="F1704" t="s">
        <v>30</v>
      </c>
      <c r="G1704" t="s">
        <v>72</v>
      </c>
      <c r="N1704" s="2" t="s">
        <v>18</v>
      </c>
      <c r="O1704" s="2" t="s">
        <v>19</v>
      </c>
      <c r="P1704" s="2">
        <v>22000000</v>
      </c>
      <c r="Q1704" s="2">
        <v>7.5</v>
      </c>
      <c r="R1704" s="2" t="s">
        <v>3881</v>
      </c>
      <c r="S1704" s="2"/>
      <c r="U1704" s="2" t="s">
        <v>3882</v>
      </c>
      <c r="V1704">
        <f ca="1" t="shared" si="51"/>
        <v>4.3</v>
      </c>
      <c r="AC1704" s="2"/>
      <c r="AD1704" t="str">
        <f>IFERROR(__xludf.DUMMYFUNCTION("""COMPUTED_VALUE"""),"Wing Commander ")</f>
        <v>Wing Commander </v>
      </c>
      <c r="AE1704">
        <f t="shared" si="52"/>
        <v>11575987</v>
      </c>
    </row>
    <row r="1705" customHeight="1" spans="1:31">
      <c r="A1705" s="2" t="s">
        <v>490</v>
      </c>
      <c r="B1705" s="2">
        <v>115</v>
      </c>
      <c r="C1705" s="2">
        <v>61490000</v>
      </c>
      <c r="D1705" s="2" t="s">
        <v>1461</v>
      </c>
      <c r="E1705" s="2" t="s">
        <v>30</v>
      </c>
      <c r="F1705" t="s">
        <v>14</v>
      </c>
      <c r="G1705" t="s">
        <v>28</v>
      </c>
      <c r="N1705" s="2" t="s">
        <v>18</v>
      </c>
      <c r="O1705" s="2" t="s">
        <v>19</v>
      </c>
      <c r="P1705" s="2">
        <v>26000000</v>
      </c>
      <c r="Q1705" s="2">
        <v>6.6</v>
      </c>
      <c r="R1705" s="2" t="s">
        <v>3883</v>
      </c>
      <c r="S1705" s="2"/>
      <c r="U1705" s="2" t="s">
        <v>3884</v>
      </c>
      <c r="V1705">
        <f ca="1" t="shared" si="51"/>
        <v>5.8</v>
      </c>
      <c r="AC1705" s="2"/>
      <c r="AD1705" t="str">
        <f>IFERROR(__xludf.DUMMYFUNCTION("""COMPUTED_VALUE"""),"In Dreams ")</f>
        <v>In Dreams </v>
      </c>
      <c r="AE1705">
        <f t="shared" si="52"/>
        <v>11899900</v>
      </c>
    </row>
    <row r="1706" customHeight="1" spans="1:31">
      <c r="A1706" s="2" t="s">
        <v>1925</v>
      </c>
      <c r="B1706" s="2">
        <v>175</v>
      </c>
      <c r="C1706" s="2">
        <v>50800000</v>
      </c>
      <c r="D1706" s="2" t="s">
        <v>731</v>
      </c>
      <c r="E1706" s="2" t="s">
        <v>30</v>
      </c>
      <c r="F1706" t="s">
        <v>30</v>
      </c>
      <c r="G1706" t="s">
        <v>17</v>
      </c>
      <c r="N1706" s="2" t="s">
        <v>18</v>
      </c>
      <c r="O1706" s="2" t="s">
        <v>19</v>
      </c>
      <c r="P1706" s="2">
        <v>26000000</v>
      </c>
      <c r="Q1706" s="2">
        <v>7.4</v>
      </c>
      <c r="R1706" s="2" t="s">
        <v>3885</v>
      </c>
      <c r="S1706" s="2"/>
      <c r="U1706" s="2" t="s">
        <v>3886</v>
      </c>
      <c r="V1706">
        <f ca="1" t="shared" si="51"/>
        <v>6.7</v>
      </c>
      <c r="AC1706" s="2"/>
      <c r="AD1706" t="str">
        <f>IFERROR(__xludf.DUMMYFUNCTION("""COMPUTED_VALUE"""),"Dragonball: Evolution ")</f>
        <v>Dragonball: Evolution </v>
      </c>
      <c r="AE1706">
        <f t="shared" si="52"/>
        <v>9353473</v>
      </c>
    </row>
    <row r="1707" customHeight="1" spans="1:31">
      <c r="A1707" s="2" t="s">
        <v>1502</v>
      </c>
      <c r="B1707" s="2">
        <v>85</v>
      </c>
      <c r="C1707" s="2">
        <v>57859105</v>
      </c>
      <c r="D1707" s="2" t="s">
        <v>328</v>
      </c>
      <c r="E1707" s="2" t="s">
        <v>28</v>
      </c>
      <c r="F1707" t="s">
        <v>23</v>
      </c>
      <c r="G1707" t="s">
        <v>15</v>
      </c>
      <c r="N1707" s="2" t="s">
        <v>18</v>
      </c>
      <c r="O1707" s="2" t="s">
        <v>19</v>
      </c>
      <c r="P1707" s="2">
        <v>26000000</v>
      </c>
      <c r="Q1707" s="2">
        <v>6.5</v>
      </c>
      <c r="R1707" s="2" t="s">
        <v>3887</v>
      </c>
      <c r="S1707" s="2"/>
      <c r="U1707" s="2" t="s">
        <v>3888</v>
      </c>
      <c r="V1707">
        <f ca="1" t="shared" si="51"/>
        <v>5.1</v>
      </c>
      <c r="AC1707" s="2"/>
      <c r="AD1707" t="str">
        <f>IFERROR(__xludf.DUMMYFUNCTION("""COMPUTED_VALUE"""),"The Last Stand ")</f>
        <v>The Last Stand </v>
      </c>
      <c r="AE1707">
        <f t="shared" si="52"/>
        <v>12026563</v>
      </c>
    </row>
    <row r="1708" customHeight="1" spans="1:31">
      <c r="A1708" s="2" t="s">
        <v>1407</v>
      </c>
      <c r="B1708" s="2">
        <v>90</v>
      </c>
      <c r="C1708" s="2">
        <v>46455802</v>
      </c>
      <c r="D1708" s="2" t="s">
        <v>2781</v>
      </c>
      <c r="E1708" s="2" t="s">
        <v>72</v>
      </c>
      <c r="F1708" t="s">
        <v>40</v>
      </c>
      <c r="G1708" t="s">
        <v>24</v>
      </c>
      <c r="N1708" s="2" t="s">
        <v>18</v>
      </c>
      <c r="O1708" s="2" t="s">
        <v>19</v>
      </c>
      <c r="P1708" s="2">
        <v>26000000</v>
      </c>
      <c r="Q1708" s="2">
        <v>6.2</v>
      </c>
      <c r="R1708" s="2" t="s">
        <v>3889</v>
      </c>
      <c r="S1708" s="2"/>
      <c r="U1708" s="2" t="s">
        <v>3890</v>
      </c>
      <c r="V1708">
        <f ca="1" t="shared" si="51"/>
        <v>6.7</v>
      </c>
      <c r="AC1708" s="2"/>
      <c r="AD1708" t="str">
        <f>IFERROR(__xludf.DUMMYFUNCTION("""COMPUTED_VALUE"""),"Godsend ")</f>
        <v>Godsend </v>
      </c>
      <c r="AE1708">
        <f t="shared" si="52"/>
        <v>14334543</v>
      </c>
    </row>
    <row r="1709" customHeight="1" spans="1:31">
      <c r="A1709" s="2" t="s">
        <v>1117</v>
      </c>
      <c r="B1709" s="2">
        <v>107</v>
      </c>
      <c r="C1709" s="2">
        <v>45506619</v>
      </c>
      <c r="D1709" s="2" t="s">
        <v>3891</v>
      </c>
      <c r="E1709" s="2" t="s">
        <v>13</v>
      </c>
      <c r="F1709" t="s">
        <v>30</v>
      </c>
      <c r="G1709" t="s">
        <v>83</v>
      </c>
      <c r="N1709" s="2" t="s">
        <v>18</v>
      </c>
      <c r="O1709" s="2" t="s">
        <v>31</v>
      </c>
      <c r="P1709" s="2">
        <v>26000000</v>
      </c>
      <c r="Q1709" s="2">
        <v>7.8</v>
      </c>
      <c r="R1709" s="2" t="s">
        <v>3892</v>
      </c>
      <c r="S1709" s="2"/>
      <c r="U1709" s="2" t="s">
        <v>3893</v>
      </c>
      <c r="V1709">
        <f ca="1" t="shared" si="51"/>
        <v>6.6</v>
      </c>
      <c r="AC1709" s="2"/>
      <c r="AD1709" t="str">
        <f>IFERROR(__xludf.DUMMYFUNCTION("""COMPUTED_VALUE"""),"Chasing Liberty ")</f>
        <v>Chasing Liberty </v>
      </c>
      <c r="AE1709">
        <f t="shared" si="52"/>
        <v>12189413</v>
      </c>
    </row>
    <row r="1710" customHeight="1" spans="1:31">
      <c r="A1710" s="2" t="s">
        <v>1121</v>
      </c>
      <c r="B1710" s="2">
        <v>100</v>
      </c>
      <c r="C1710" s="2">
        <v>40168080</v>
      </c>
      <c r="D1710" s="2" t="s">
        <v>1383</v>
      </c>
      <c r="E1710" s="2" t="s">
        <v>12</v>
      </c>
      <c r="F1710" t="s">
        <v>40</v>
      </c>
      <c r="G1710" t="s">
        <v>14</v>
      </c>
      <c r="N1710" s="2" t="s">
        <v>18</v>
      </c>
      <c r="O1710" s="2" t="s">
        <v>19</v>
      </c>
      <c r="P1710" s="2">
        <v>26000000</v>
      </c>
      <c r="Q1710" s="2">
        <v>5.2</v>
      </c>
      <c r="R1710" s="2" t="s">
        <v>3894</v>
      </c>
      <c r="S1710" s="2"/>
      <c r="U1710" s="2" t="s">
        <v>3895</v>
      </c>
      <c r="V1710">
        <f ca="1" t="shared" si="51"/>
        <v>8.2</v>
      </c>
      <c r="AC1710" s="2"/>
      <c r="AD1710" t="str">
        <f>IFERROR(__xludf.DUMMYFUNCTION("""COMPUTED_VALUE"""),"Hoodwinked Too! Hood vs. Evil ")</f>
        <v>Hoodwinked Too! Hood vs. Evil </v>
      </c>
      <c r="AE1710">
        <f t="shared" si="52"/>
        <v>10134668</v>
      </c>
    </row>
    <row r="1711" customHeight="1" spans="1:31">
      <c r="A1711" s="2" t="s">
        <v>126</v>
      </c>
      <c r="B1711" s="2">
        <v>129</v>
      </c>
      <c r="C1711" s="2">
        <v>49874933</v>
      </c>
      <c r="D1711" s="2" t="s">
        <v>3855</v>
      </c>
      <c r="E1711" s="2" t="s">
        <v>40</v>
      </c>
      <c r="F1711" t="s">
        <v>39</v>
      </c>
      <c r="G1711" t="s">
        <v>15</v>
      </c>
      <c r="N1711" s="2" t="s">
        <v>18</v>
      </c>
      <c r="O1711" s="2" t="s">
        <v>19</v>
      </c>
      <c r="P1711" s="2">
        <v>26000000</v>
      </c>
      <c r="Q1711" s="2">
        <v>6.5</v>
      </c>
      <c r="R1711" s="2" t="s">
        <v>3896</v>
      </c>
      <c r="S1711" s="2"/>
      <c r="U1711" s="2" t="s">
        <v>3897</v>
      </c>
      <c r="V1711">
        <f ca="1" t="shared" si="51"/>
        <v>7.25</v>
      </c>
      <c r="AC1711" s="2"/>
      <c r="AD1711" t="str">
        <f>IFERROR(__xludf.DUMMYFUNCTION("""COMPUTED_VALUE"""),"An Unfinished Life ")</f>
        <v>An Unfinished Life </v>
      </c>
      <c r="AE1711">
        <f t="shared" si="52"/>
        <v>8535467</v>
      </c>
    </row>
    <row r="1712" customHeight="1" spans="1:31">
      <c r="A1712" s="2" t="s">
        <v>619</v>
      </c>
      <c r="B1712" s="2">
        <v>109</v>
      </c>
      <c r="C1712" s="2">
        <v>45489752</v>
      </c>
      <c r="D1712" s="2" t="s">
        <v>521</v>
      </c>
      <c r="E1712" s="2" t="s">
        <v>40</v>
      </c>
      <c r="F1712" t="s">
        <v>30</v>
      </c>
      <c r="G1712" t="s">
        <v>17</v>
      </c>
      <c r="N1712" s="2" t="s">
        <v>18</v>
      </c>
      <c r="O1712" s="2" t="s">
        <v>19</v>
      </c>
      <c r="P1712" s="2">
        <v>26000000</v>
      </c>
      <c r="Q1712" s="2">
        <v>6.5</v>
      </c>
      <c r="R1712" s="2" t="s">
        <v>3898</v>
      </c>
      <c r="S1712" s="2"/>
      <c r="U1712" s="2" t="s">
        <v>3899</v>
      </c>
      <c r="V1712">
        <f ca="1" t="shared" si="51"/>
        <v>6.5</v>
      </c>
      <c r="AC1712" s="2"/>
      <c r="AD1712" t="str">
        <f>IFERROR(__xludf.DUMMYFUNCTION("""COMPUTED_VALUE"""),"The Imaginarium of Doctor Parnassus ")</f>
        <v>The Imaginarium of Doctor Parnassus </v>
      </c>
      <c r="AE1712">
        <f t="shared" si="52"/>
        <v>7689335</v>
      </c>
    </row>
    <row r="1713" customHeight="1" spans="1:31">
      <c r="A1713" s="2" t="s">
        <v>934</v>
      </c>
      <c r="B1713" s="2">
        <v>94</v>
      </c>
      <c r="C1713" s="2">
        <v>36985501</v>
      </c>
      <c r="D1713" s="2" t="s">
        <v>3900</v>
      </c>
      <c r="E1713" s="2" t="s">
        <v>12</v>
      </c>
      <c r="F1713" t="s">
        <v>30</v>
      </c>
      <c r="G1713" t="s">
        <v>28</v>
      </c>
      <c r="N1713" s="2" t="s">
        <v>18</v>
      </c>
      <c r="O1713" s="2" t="s">
        <v>19</v>
      </c>
      <c r="P1713" s="2">
        <v>26000000</v>
      </c>
      <c r="Q1713" s="2">
        <v>5.2</v>
      </c>
      <c r="R1713" s="2" t="s">
        <v>3901</v>
      </c>
      <c r="S1713" s="2"/>
      <c r="U1713" s="2" t="s">
        <v>3902</v>
      </c>
      <c r="V1713">
        <f ca="1" t="shared" si="51"/>
        <v>5.7</v>
      </c>
      <c r="AC1713" s="2"/>
      <c r="AD1713" t="str">
        <f>IFERROR(__xludf.DUMMYFUNCTION("""COMPUTED_VALUE"""),"Runner Runner ")</f>
        <v>Runner Runner </v>
      </c>
      <c r="AE1713">
        <f t="shared" si="52"/>
        <v>19316558</v>
      </c>
    </row>
    <row r="1714" customHeight="1" spans="1:31">
      <c r="A1714" s="2" t="s">
        <v>987</v>
      </c>
      <c r="B1714" s="2">
        <v>133</v>
      </c>
      <c r="C1714" s="2">
        <v>33200000</v>
      </c>
      <c r="D1714" s="2" t="s">
        <v>3903</v>
      </c>
      <c r="E1714" s="2" t="s">
        <v>12</v>
      </c>
      <c r="F1714" t="s">
        <v>40</v>
      </c>
      <c r="G1714" t="s">
        <v>29</v>
      </c>
      <c r="N1714" s="2" t="s">
        <v>18</v>
      </c>
      <c r="O1714" s="2" t="s">
        <v>19</v>
      </c>
      <c r="P1714" s="2">
        <v>26000000</v>
      </c>
      <c r="Q1714" s="2">
        <v>7.2</v>
      </c>
      <c r="R1714" s="2" t="s">
        <v>3904</v>
      </c>
      <c r="S1714" s="2"/>
      <c r="U1714" s="2" t="s">
        <v>3905</v>
      </c>
      <c r="V1714">
        <f ca="1" t="shared" si="51"/>
        <v>6.2</v>
      </c>
      <c r="AC1714" s="2"/>
      <c r="AD1714" t="str">
        <f>IFERROR(__xludf.DUMMYFUNCTION("""COMPUTED_VALUE"""),"Antitrust ")</f>
        <v>Antitrust </v>
      </c>
      <c r="AE1714">
        <f t="shared" si="52"/>
        <v>10965100</v>
      </c>
    </row>
    <row r="1715" customHeight="1" spans="1:31">
      <c r="A1715" s="2" t="s">
        <v>1346</v>
      </c>
      <c r="B1715" s="2">
        <v>105</v>
      </c>
      <c r="C1715" s="2">
        <v>28501651</v>
      </c>
      <c r="D1715" s="2" t="s">
        <v>1655</v>
      </c>
      <c r="E1715" s="2" t="s">
        <v>30</v>
      </c>
      <c r="F1715" t="s">
        <v>39</v>
      </c>
      <c r="G1715" t="s">
        <v>17</v>
      </c>
      <c r="N1715" s="2" t="s">
        <v>18</v>
      </c>
      <c r="O1715" s="2" t="s">
        <v>19</v>
      </c>
      <c r="P1715" s="2">
        <v>26000000</v>
      </c>
      <c r="Q1715" s="2">
        <v>7.1</v>
      </c>
      <c r="R1715" s="2" t="s">
        <v>3906</v>
      </c>
      <c r="S1715" s="2"/>
      <c r="U1715" s="2" t="s">
        <v>3907</v>
      </c>
      <c r="V1715">
        <f ca="1" t="shared" si="51"/>
        <v>3.3</v>
      </c>
      <c r="AC1715" s="2"/>
      <c r="AD1715" t="str">
        <f>IFERROR(__xludf.DUMMYFUNCTION("""COMPUTED_VALUE"""),"Glory ")</f>
        <v>Glory </v>
      </c>
      <c r="AE1715">
        <f t="shared" si="52"/>
        <v>26829878</v>
      </c>
    </row>
    <row r="1716" customHeight="1" spans="1:31">
      <c r="A1716" s="2" t="s">
        <v>1982</v>
      </c>
      <c r="B1716" s="2">
        <v>100</v>
      </c>
      <c r="C1716" s="2">
        <v>23222861</v>
      </c>
      <c r="D1716" s="2" t="s">
        <v>3908</v>
      </c>
      <c r="E1716" s="2" t="s">
        <v>12</v>
      </c>
      <c r="F1716" t="s">
        <v>30</v>
      </c>
      <c r="G1716" t="s">
        <v>17</v>
      </c>
      <c r="N1716" s="2" t="s">
        <v>18</v>
      </c>
      <c r="O1716" s="2" t="s">
        <v>19</v>
      </c>
      <c r="P1716" s="2">
        <v>26000000</v>
      </c>
      <c r="Q1716" s="2">
        <v>4.5</v>
      </c>
      <c r="R1716" s="2" t="s">
        <v>3909</v>
      </c>
      <c r="S1716" s="2"/>
      <c r="U1716" s="2" t="s">
        <v>3910</v>
      </c>
      <c r="V1716">
        <f ca="1" t="shared" si="51"/>
        <v>6.1</v>
      </c>
      <c r="AC1716" s="2"/>
      <c r="AD1716" t="str">
        <f>IFERROR(__xludf.DUMMYFUNCTION("""COMPUTED_VALUE"""),"Once Upon a Time in America ")</f>
        <v>Once Upon a Time in America </v>
      </c>
      <c r="AE1716">
        <f t="shared" si="52"/>
        <v>5299749</v>
      </c>
    </row>
    <row r="1717" customHeight="1" spans="1:31">
      <c r="A1717" s="2" t="s">
        <v>923</v>
      </c>
      <c r="B1717" s="2">
        <v>113</v>
      </c>
      <c r="C1717" s="2">
        <v>54540525</v>
      </c>
      <c r="D1717" s="2" t="s">
        <v>607</v>
      </c>
      <c r="E1717" s="2" t="s">
        <v>40</v>
      </c>
      <c r="F1717" t="s">
        <v>17</v>
      </c>
      <c r="G1717" t="s">
        <v>24</v>
      </c>
      <c r="N1717" s="2" t="s">
        <v>18</v>
      </c>
      <c r="O1717" s="2" t="s">
        <v>19</v>
      </c>
      <c r="P1717" s="2">
        <v>56000000</v>
      </c>
      <c r="Q1717" s="2">
        <v>5.7</v>
      </c>
      <c r="R1717" s="2" t="s">
        <v>3911</v>
      </c>
      <c r="S1717" s="2"/>
      <c r="U1717" s="2" t="s">
        <v>3912</v>
      </c>
      <c r="V1717">
        <f ca="1" t="shared" si="51"/>
        <v>7.2</v>
      </c>
      <c r="AC1717" s="2"/>
      <c r="AD1717" t="str">
        <f>IFERROR(__xludf.DUMMYFUNCTION("""COMPUTED_VALUE"""),"Dead Man Down ")</f>
        <v>Dead Man Down </v>
      </c>
      <c r="AE1717">
        <f t="shared" si="52"/>
        <v>10880808</v>
      </c>
    </row>
    <row r="1718" customHeight="1" spans="1:31">
      <c r="A1718" s="2" t="s">
        <v>1984</v>
      </c>
      <c r="B1718" s="2">
        <v>118</v>
      </c>
      <c r="C1718" s="2">
        <v>16252765</v>
      </c>
      <c r="D1718" s="2" t="s">
        <v>1300</v>
      </c>
      <c r="E1718" s="2" t="s">
        <v>30</v>
      </c>
      <c r="F1718" t="s">
        <v>56</v>
      </c>
      <c r="G1718" t="s">
        <v>56</v>
      </c>
      <c r="N1718" s="2" t="s">
        <v>18</v>
      </c>
      <c r="O1718" s="2" t="s">
        <v>707</v>
      </c>
      <c r="P1718" s="2">
        <v>42000000</v>
      </c>
      <c r="Q1718" s="2">
        <v>6</v>
      </c>
      <c r="R1718" s="2" t="s">
        <v>3913</v>
      </c>
      <c r="S1718" s="2"/>
      <c r="U1718" s="2" t="s">
        <v>3914</v>
      </c>
      <c r="V1718">
        <f ca="1" t="shared" si="51"/>
        <v>7.4</v>
      </c>
      <c r="AC1718" s="2"/>
      <c r="AD1718" t="str">
        <f>IFERROR(__xludf.DUMMYFUNCTION("""COMPUTED_VALUE"""),"The Merchant of Venice ")</f>
        <v>The Merchant of Venice </v>
      </c>
      <c r="AE1718">
        <f t="shared" si="52"/>
        <v>3752594</v>
      </c>
    </row>
    <row r="1719" customHeight="1" spans="1:31">
      <c r="A1719" s="2" t="s">
        <v>1278</v>
      </c>
      <c r="B1719" s="2">
        <v>110</v>
      </c>
      <c r="C1719" s="2">
        <v>16005978</v>
      </c>
      <c r="D1719" s="2" t="s">
        <v>846</v>
      </c>
      <c r="E1719" s="2" t="s">
        <v>56</v>
      </c>
      <c r="F1719" t="s">
        <v>72</v>
      </c>
      <c r="G1719" t="s">
        <v>15</v>
      </c>
      <c r="N1719" s="2" t="s">
        <v>18</v>
      </c>
      <c r="O1719" s="2" t="s">
        <v>19</v>
      </c>
      <c r="P1719" s="2">
        <v>26000000</v>
      </c>
      <c r="Q1719" s="2">
        <v>6.4</v>
      </c>
      <c r="R1719" s="2" t="s">
        <v>3915</v>
      </c>
      <c r="S1719" s="2"/>
      <c r="U1719" s="2" t="s">
        <v>3916</v>
      </c>
      <c r="V1719">
        <f ca="1" t="shared" ref="V1719:V1782" si="53">AVERAGEIF(A1603:A5388,U1719,Q1604:Q5388)</f>
        <v>6.75</v>
      </c>
      <c r="AC1719" s="2"/>
      <c r="AD1719" t="str">
        <f>IFERROR(__xludf.DUMMYFUNCTION("""COMPUTED_VALUE"""),"The Good Thief ")</f>
        <v>The Good Thief </v>
      </c>
      <c r="AE1719">
        <f t="shared" ref="AE1719:AE1782" si="54">C1603-B1603</f>
        <v>3517688</v>
      </c>
    </row>
    <row r="1720" customHeight="1" spans="1:31">
      <c r="A1720" s="2" t="s">
        <v>1111</v>
      </c>
      <c r="B1720" s="2">
        <v>110</v>
      </c>
      <c r="C1720" s="2">
        <v>14469428</v>
      </c>
      <c r="D1720" s="2" t="s">
        <v>607</v>
      </c>
      <c r="E1720" s="2" t="s">
        <v>40</v>
      </c>
      <c r="F1720" t="s">
        <v>56</v>
      </c>
      <c r="G1720" t="s">
        <v>56</v>
      </c>
      <c r="N1720" s="2" t="s">
        <v>18</v>
      </c>
      <c r="O1720" s="2" t="s">
        <v>19</v>
      </c>
      <c r="P1720" s="2">
        <v>26000000</v>
      </c>
      <c r="Q1720" s="2">
        <v>5.2</v>
      </c>
      <c r="R1720" s="2" t="s">
        <v>3917</v>
      </c>
      <c r="S1720" s="2"/>
      <c r="U1720" s="2" t="s">
        <v>3918</v>
      </c>
      <c r="V1720">
        <f ca="1" t="shared" si="53"/>
        <v>8.4</v>
      </c>
      <c r="AC1720" s="2"/>
      <c r="AD1720" t="str">
        <f>IFERROR(__xludf.DUMMYFUNCTION("""COMPUTED_VALUE"""),"Miss Potter ")</f>
        <v>Miss Potter </v>
      </c>
      <c r="AE1720">
        <f t="shared" si="54"/>
        <v>2975561</v>
      </c>
    </row>
    <row r="1721" customHeight="1" spans="1:31">
      <c r="A1721" s="2" t="s">
        <v>1986</v>
      </c>
      <c r="B1721" s="2">
        <v>99</v>
      </c>
      <c r="C1721" s="2">
        <v>13829734</v>
      </c>
      <c r="D1721" s="2" t="s">
        <v>3919</v>
      </c>
      <c r="E1721" s="2" t="s">
        <v>12</v>
      </c>
      <c r="F1721" t="s">
        <v>30</v>
      </c>
      <c r="G1721" t="s">
        <v>23</v>
      </c>
      <c r="N1721" s="2" t="s">
        <v>18</v>
      </c>
      <c r="O1721" s="2" t="s">
        <v>121</v>
      </c>
      <c r="P1721" s="2">
        <v>26000000</v>
      </c>
      <c r="Q1721" s="2">
        <v>4.3</v>
      </c>
      <c r="R1721" s="2" t="s">
        <v>3920</v>
      </c>
      <c r="S1721" s="2"/>
      <c r="U1721" s="2" t="s">
        <v>3921</v>
      </c>
      <c r="V1721">
        <f ca="1" t="shared" si="53"/>
        <v>6</v>
      </c>
      <c r="AC1721" s="2"/>
      <c r="AD1721" t="str">
        <f>IFERROR(__xludf.DUMMYFUNCTION("""COMPUTED_VALUE"""),"The Promise ")</f>
        <v>The Promise </v>
      </c>
      <c r="AE1721">
        <f t="shared" si="54"/>
        <v>668068</v>
      </c>
    </row>
    <row r="1722" customHeight="1" spans="1:31">
      <c r="A1722" s="2" t="s">
        <v>1989</v>
      </c>
      <c r="B1722" s="2">
        <v>101</v>
      </c>
      <c r="C1722" s="2">
        <v>1075288</v>
      </c>
      <c r="D1722" s="2" t="s">
        <v>805</v>
      </c>
      <c r="E1722" s="2" t="s">
        <v>56</v>
      </c>
      <c r="F1722" t="s">
        <v>56</v>
      </c>
      <c r="G1722" t="s">
        <v>17</v>
      </c>
      <c r="N1722" s="2" t="s">
        <v>18</v>
      </c>
      <c r="O1722" s="2" t="s">
        <v>19</v>
      </c>
      <c r="P1722" s="2">
        <v>22000000</v>
      </c>
      <c r="Q1722" s="2">
        <v>6.1</v>
      </c>
      <c r="R1722" s="2" t="s">
        <v>3922</v>
      </c>
      <c r="S1722" s="2"/>
      <c r="U1722" s="2" t="s">
        <v>3923</v>
      </c>
      <c r="V1722">
        <f ca="1" t="shared" si="53"/>
        <v>6.1</v>
      </c>
      <c r="AC1722" s="2"/>
      <c r="AD1722" t="str">
        <f>IFERROR(__xludf.DUMMYFUNCTION("""COMPUTED_VALUE"""),"DOA: Dead or Alive ")</f>
        <v>DOA: Dead or Alive </v>
      </c>
      <c r="AE1722">
        <f t="shared" si="54"/>
        <v>480227</v>
      </c>
    </row>
    <row r="1723" customHeight="1" spans="1:31">
      <c r="A1723" s="2" t="s">
        <v>1814</v>
      </c>
      <c r="B1723" s="2">
        <v>103</v>
      </c>
      <c r="C1723" s="2">
        <v>7496522</v>
      </c>
      <c r="D1723" s="2" t="s">
        <v>3924</v>
      </c>
      <c r="E1723" s="2" t="s">
        <v>40</v>
      </c>
      <c r="F1723" t="s">
        <v>40</v>
      </c>
      <c r="G1723" t="s">
        <v>17</v>
      </c>
      <c r="N1723" s="2" t="s">
        <v>18</v>
      </c>
      <c r="O1723" s="2" t="s">
        <v>19</v>
      </c>
      <c r="P1723" s="2">
        <v>26000000</v>
      </c>
      <c r="Q1723" s="2">
        <v>6.8</v>
      </c>
      <c r="R1723" s="2" t="s">
        <v>3925</v>
      </c>
      <c r="S1723" s="2"/>
      <c r="U1723" s="2" t="s">
        <v>3926</v>
      </c>
      <c r="V1723">
        <f ca="1" t="shared" si="53"/>
        <v>7.4</v>
      </c>
      <c r="AC1723" s="2"/>
      <c r="AD1723" t="str">
        <f>IFERROR(__xludf.DUMMYFUNCTION("""COMPUTED_VALUE"""),"The Assassination of Jesse James by the Coward Robert Ford ")</f>
        <v>The Assassination of Jesse James by the Coward Robert Ford </v>
      </c>
      <c r="AE1723">
        <f t="shared" si="54"/>
        <v>3904822</v>
      </c>
    </row>
    <row r="1724" customHeight="1" spans="1:31">
      <c r="A1724" s="2" t="s">
        <v>1991</v>
      </c>
      <c r="B1724" s="2">
        <v>95</v>
      </c>
      <c r="C1724" s="2">
        <v>20047715</v>
      </c>
      <c r="D1724" s="2" t="s">
        <v>3927</v>
      </c>
      <c r="E1724" s="2" t="s">
        <v>13</v>
      </c>
      <c r="F1724" t="s">
        <v>23</v>
      </c>
      <c r="G1724" t="s">
        <v>17</v>
      </c>
      <c r="N1724" s="2" t="s">
        <v>18</v>
      </c>
      <c r="O1724" s="2" t="s">
        <v>19</v>
      </c>
      <c r="P1724" s="2">
        <v>25530000</v>
      </c>
      <c r="Q1724" s="2">
        <v>5.2</v>
      </c>
      <c r="R1724" s="2" t="s">
        <v>3928</v>
      </c>
      <c r="S1724" s="2"/>
      <c r="U1724" s="2" t="s">
        <v>3929</v>
      </c>
      <c r="V1724">
        <f ca="1" t="shared" si="53"/>
        <v>6.2</v>
      </c>
      <c r="AC1724" s="2"/>
      <c r="AD1724" t="str">
        <f>IFERROR(__xludf.DUMMYFUNCTION("""COMPUTED_VALUE"""),"1911 ")</f>
        <v>1911 </v>
      </c>
      <c r="AE1724">
        <f t="shared" si="54"/>
        <v>127316</v>
      </c>
    </row>
    <row r="1725" customHeight="1" spans="1:31">
      <c r="A1725" s="2" t="s">
        <v>774</v>
      </c>
      <c r="B1725" s="2">
        <v>117</v>
      </c>
      <c r="C1725" s="2">
        <v>12276810</v>
      </c>
      <c r="D1725" s="2" t="s">
        <v>596</v>
      </c>
      <c r="E1725" s="2" t="s">
        <v>12</v>
      </c>
      <c r="F1725" t="s">
        <v>14</v>
      </c>
      <c r="G1725" t="s">
        <v>55</v>
      </c>
      <c r="N1725" s="2" t="s">
        <v>18</v>
      </c>
      <c r="O1725" s="2" t="s">
        <v>19</v>
      </c>
      <c r="P1725" s="2">
        <v>26000000</v>
      </c>
      <c r="Q1725" s="2">
        <v>6.5</v>
      </c>
      <c r="R1725" s="2" t="s">
        <v>3930</v>
      </c>
      <c r="S1725" s="2"/>
      <c r="U1725" s="2" t="s">
        <v>3931</v>
      </c>
      <c r="V1725">
        <f ca="1" t="shared" si="53"/>
        <v>7.2</v>
      </c>
      <c r="AC1725" s="2"/>
      <c r="AD1725" t="str">
        <f>IFERROR(__xludf.DUMMYFUNCTION("""COMPUTED_VALUE"""),"Machine Gun Preacher ")</f>
        <v>Machine Gun Preacher </v>
      </c>
      <c r="AE1725">
        <f t="shared" si="54"/>
        <v>537451</v>
      </c>
    </row>
    <row r="1726" customHeight="1" spans="1:31">
      <c r="A1726" s="2" t="s">
        <v>1993</v>
      </c>
      <c r="B1726" s="2">
        <v>129</v>
      </c>
      <c r="C1726" s="2">
        <v>33565375</v>
      </c>
      <c r="D1726" s="2" t="s">
        <v>1300</v>
      </c>
      <c r="E1726" s="2" t="s">
        <v>30</v>
      </c>
      <c r="F1726" t="s">
        <v>30</v>
      </c>
      <c r="G1726" t="s">
        <v>24</v>
      </c>
      <c r="N1726" s="2" t="s">
        <v>18</v>
      </c>
      <c r="O1726" s="2" t="s">
        <v>31</v>
      </c>
      <c r="P1726" s="2">
        <v>15000000</v>
      </c>
      <c r="Q1726" s="2">
        <v>7.5</v>
      </c>
      <c r="R1726" s="2" t="s">
        <v>3932</v>
      </c>
      <c r="S1726" s="2"/>
      <c r="U1726" s="2" t="s">
        <v>3933</v>
      </c>
      <c r="V1726">
        <f ca="1" t="shared" si="53"/>
        <v>6.2</v>
      </c>
      <c r="AC1726" s="2"/>
      <c r="AD1726" t="str">
        <f>IFERROR(__xludf.DUMMYFUNCTION("""COMPUTED_VALUE"""),"Pitch Perfect 2 ")</f>
        <v>Pitch Perfect 2 </v>
      </c>
      <c r="AE1726">
        <f t="shared" si="54"/>
        <v>183436265</v>
      </c>
    </row>
    <row r="1727" customHeight="1" spans="1:31">
      <c r="A1727" s="2" t="s">
        <v>914</v>
      </c>
      <c r="B1727" s="2">
        <v>120</v>
      </c>
      <c r="C1727" s="2">
        <v>499263</v>
      </c>
      <c r="D1727" s="2" t="s">
        <v>30</v>
      </c>
      <c r="E1727" s="2" t="s">
        <v>30</v>
      </c>
      <c r="F1727" t="s">
        <v>28</v>
      </c>
      <c r="G1727" t="s">
        <v>17</v>
      </c>
      <c r="N1727" s="2" t="s">
        <v>3934</v>
      </c>
      <c r="O1727" s="2" t="s">
        <v>19</v>
      </c>
      <c r="P1727" s="2">
        <v>30000000</v>
      </c>
      <c r="Q1727" s="2">
        <v>7.1</v>
      </c>
      <c r="R1727" s="2" t="s">
        <v>3935</v>
      </c>
      <c r="S1727" s="2"/>
      <c r="U1727" s="2" t="s">
        <v>3936</v>
      </c>
      <c r="V1727">
        <f ca="1" t="shared" si="53"/>
        <v>7.7</v>
      </c>
      <c r="AC1727" s="2"/>
      <c r="AD1727" t="str">
        <f>IFERROR(__xludf.DUMMYFUNCTION("""COMPUTED_VALUE"""),"Walk the Line ")</f>
        <v>Walk the Line </v>
      </c>
      <c r="AE1727">
        <f t="shared" si="54"/>
        <v>119518199</v>
      </c>
    </row>
    <row r="1728" customHeight="1" spans="1:31">
      <c r="A1728" s="2" t="s">
        <v>466</v>
      </c>
      <c r="B1728" s="2">
        <v>125</v>
      </c>
      <c r="C1728" s="2">
        <v>219200000</v>
      </c>
      <c r="D1728" s="2" t="s">
        <v>3937</v>
      </c>
      <c r="E1728" s="2" t="s">
        <v>40</v>
      </c>
      <c r="F1728" t="s">
        <v>30</v>
      </c>
      <c r="G1728" t="s">
        <v>72</v>
      </c>
      <c r="N1728" s="2" t="s">
        <v>18</v>
      </c>
      <c r="O1728" s="2" t="s">
        <v>19</v>
      </c>
      <c r="P1728" s="2">
        <v>25000000</v>
      </c>
      <c r="Q1728" s="2">
        <v>6.9</v>
      </c>
      <c r="R1728" s="2" t="s">
        <v>3938</v>
      </c>
      <c r="S1728" s="2"/>
      <c r="U1728" s="2" t="s">
        <v>3939</v>
      </c>
      <c r="V1728">
        <f ca="1" t="shared" si="53"/>
        <v>7</v>
      </c>
      <c r="AC1728" s="2"/>
      <c r="AD1728" t="str">
        <f>IFERROR(__xludf.DUMMYFUNCTION("""COMPUTED_VALUE"""),"Keeping the Faith ")</f>
        <v>Keeping the Faith </v>
      </c>
      <c r="AE1728">
        <f t="shared" si="54"/>
        <v>37036276</v>
      </c>
    </row>
    <row r="1729" customHeight="1" spans="1:31">
      <c r="A1729" s="2" t="s">
        <v>889</v>
      </c>
      <c r="B1729" s="2">
        <v>133</v>
      </c>
      <c r="C1729" s="2">
        <v>172825435</v>
      </c>
      <c r="D1729" s="2" t="s">
        <v>30</v>
      </c>
      <c r="E1729" s="2" t="s">
        <v>30</v>
      </c>
      <c r="F1729" t="s">
        <v>56</v>
      </c>
      <c r="G1729" t="s">
        <v>23</v>
      </c>
      <c r="N1729" s="2" t="s">
        <v>18</v>
      </c>
      <c r="O1729" s="2" t="s">
        <v>19</v>
      </c>
      <c r="P1729" s="2">
        <v>25000000</v>
      </c>
      <c r="Q1729" s="2">
        <v>8</v>
      </c>
      <c r="R1729" s="2" t="s">
        <v>3940</v>
      </c>
      <c r="S1729" s="2"/>
      <c r="U1729" s="2" t="s">
        <v>3941</v>
      </c>
      <c r="V1729">
        <f ca="1" t="shared" si="53"/>
        <v>6.1</v>
      </c>
      <c r="AC1729" s="2"/>
      <c r="AD1729" t="str">
        <f>IFERROR(__xludf.DUMMYFUNCTION("""COMPUTED_VALUE"""),"The Borrowers ")</f>
        <v>The Borrowers </v>
      </c>
      <c r="AE1729">
        <f t="shared" si="54"/>
        <v>22359204</v>
      </c>
    </row>
    <row r="1730" customHeight="1" spans="1:31">
      <c r="A1730" s="2" t="s">
        <v>1000</v>
      </c>
      <c r="B1730" s="2">
        <v>116</v>
      </c>
      <c r="C1730" s="2">
        <v>148085755</v>
      </c>
      <c r="D1730" s="2" t="s">
        <v>30</v>
      </c>
      <c r="E1730" s="2" t="s">
        <v>30</v>
      </c>
      <c r="F1730" t="s">
        <v>56</v>
      </c>
      <c r="G1730" t="s">
        <v>23</v>
      </c>
      <c r="N1730" s="2" t="s">
        <v>18</v>
      </c>
      <c r="O1730" s="2" t="s">
        <v>19</v>
      </c>
      <c r="P1730" s="2">
        <v>33000000</v>
      </c>
      <c r="Q1730" s="2">
        <v>8.2</v>
      </c>
      <c r="R1730" s="2" t="s">
        <v>3942</v>
      </c>
      <c r="S1730" s="2"/>
      <c r="U1730" s="2" t="s">
        <v>3943</v>
      </c>
      <c r="V1730">
        <f ca="1" t="shared" si="53"/>
        <v>7.6</v>
      </c>
      <c r="AC1730" s="2"/>
      <c r="AD1730" t="str">
        <f>IFERROR(__xludf.DUMMYFUNCTION("""COMPUTED_VALUE"""),"Frost/Nixon ")</f>
        <v>Frost/Nixon </v>
      </c>
      <c r="AE1730">
        <f t="shared" si="54"/>
        <v>18593034</v>
      </c>
    </row>
    <row r="1731" customHeight="1" spans="1:31">
      <c r="A1731" s="2" t="s">
        <v>291</v>
      </c>
      <c r="B1731" s="2">
        <v>129</v>
      </c>
      <c r="C1731" s="2">
        <v>25517500</v>
      </c>
      <c r="D1731" s="2" t="s">
        <v>2457</v>
      </c>
      <c r="E1731" s="2" t="s">
        <v>59</v>
      </c>
      <c r="F1731" t="s">
        <v>56</v>
      </c>
      <c r="G1731" t="s">
        <v>24</v>
      </c>
      <c r="N1731" s="2" t="s">
        <v>18</v>
      </c>
      <c r="O1731" s="2" t="s">
        <v>19</v>
      </c>
      <c r="P1731" s="2">
        <v>25100000</v>
      </c>
      <c r="Q1731" s="2">
        <v>6.4</v>
      </c>
      <c r="R1731" s="2" t="s">
        <v>3944</v>
      </c>
      <c r="S1731" s="2"/>
      <c r="U1731" s="2" t="s">
        <v>3945</v>
      </c>
      <c r="V1731">
        <f ca="1" t="shared" si="53"/>
        <v>8.1</v>
      </c>
      <c r="AC1731" s="2"/>
      <c r="AD1731" t="str">
        <f>IFERROR(__xludf.DUMMYFUNCTION("""COMPUTED_VALUE"""),"Serving Sara ")</f>
        <v>Serving Sara </v>
      </c>
      <c r="AE1731">
        <f t="shared" si="54"/>
        <v>16930086</v>
      </c>
    </row>
    <row r="1732" customHeight="1" spans="1:31">
      <c r="A1732" s="2" t="s">
        <v>1244</v>
      </c>
      <c r="B1732" s="2">
        <v>93</v>
      </c>
      <c r="C1732" s="2">
        <v>145000989</v>
      </c>
      <c r="D1732" s="2" t="s">
        <v>34</v>
      </c>
      <c r="E1732" s="2" t="s">
        <v>12</v>
      </c>
      <c r="F1732" t="s">
        <v>24</v>
      </c>
      <c r="G1732" t="s">
        <v>72</v>
      </c>
      <c r="N1732" s="2" t="s">
        <v>18</v>
      </c>
      <c r="O1732" s="2" t="s">
        <v>707</v>
      </c>
      <c r="P1732" s="2">
        <v>25000000</v>
      </c>
      <c r="Q1732" s="2">
        <v>7.9</v>
      </c>
      <c r="R1732" s="2" t="s">
        <v>3946</v>
      </c>
      <c r="S1732" s="2"/>
      <c r="U1732" s="2" t="s">
        <v>3947</v>
      </c>
      <c r="V1732">
        <f ca="1" t="shared" si="53"/>
        <v>6.6</v>
      </c>
      <c r="AC1732" s="2"/>
      <c r="AD1732" t="str">
        <f>IFERROR(__xludf.DUMMYFUNCTION("""COMPUTED_VALUE"""),"The Boss ")</f>
        <v>The Boss </v>
      </c>
      <c r="AE1732">
        <f t="shared" si="54"/>
        <v>63034656</v>
      </c>
    </row>
    <row r="1733" customHeight="1" spans="1:31">
      <c r="A1733" s="2" t="s">
        <v>1995</v>
      </c>
      <c r="B1733" s="2">
        <v>118</v>
      </c>
      <c r="C1733" s="2">
        <v>26761283</v>
      </c>
      <c r="D1733" s="2" t="s">
        <v>103</v>
      </c>
      <c r="E1733" s="2" t="s">
        <v>30</v>
      </c>
      <c r="F1733" t="s">
        <v>39</v>
      </c>
      <c r="G1733" t="s">
        <v>15</v>
      </c>
      <c r="N1733" s="2" t="s">
        <v>18</v>
      </c>
      <c r="O1733" s="2" t="s">
        <v>19</v>
      </c>
      <c r="P1733" s="2">
        <v>26000000</v>
      </c>
      <c r="Q1733" s="2">
        <v>6.7</v>
      </c>
      <c r="R1733" s="2" t="s">
        <v>3948</v>
      </c>
      <c r="S1733" s="2"/>
      <c r="U1733" s="2" t="s">
        <v>3949</v>
      </c>
      <c r="V1733">
        <f ca="1" t="shared" si="53"/>
        <v>7</v>
      </c>
      <c r="AC1733" s="2"/>
      <c r="AD1733" t="str">
        <f>IFERROR(__xludf.DUMMYFUNCTION("""COMPUTED_VALUE"""),"Cry Freedom ")</f>
        <v>Cry Freedom </v>
      </c>
      <c r="AE1733">
        <f t="shared" si="54"/>
        <v>5899650</v>
      </c>
    </row>
    <row r="1734" customHeight="1" spans="1:31">
      <c r="A1734" s="2" t="s">
        <v>735</v>
      </c>
      <c r="B1734" s="2">
        <v>129</v>
      </c>
      <c r="C1734" s="2">
        <v>121945720</v>
      </c>
      <c r="D1734" s="2" t="s">
        <v>3950</v>
      </c>
      <c r="E1734" s="2" t="s">
        <v>12</v>
      </c>
      <c r="F1734" t="s">
        <v>30</v>
      </c>
      <c r="G1734" t="s">
        <v>24</v>
      </c>
      <c r="N1734" s="2" t="s">
        <v>18</v>
      </c>
      <c r="O1734" s="2" t="s">
        <v>19</v>
      </c>
      <c r="P1734" s="2">
        <v>25000000</v>
      </c>
      <c r="Q1734" s="2">
        <v>6.1</v>
      </c>
      <c r="R1734" s="2" t="s">
        <v>3951</v>
      </c>
      <c r="S1734" s="2"/>
      <c r="U1734" s="2" t="s">
        <v>3952</v>
      </c>
      <c r="V1734">
        <f ca="1" t="shared" si="53"/>
        <v>3.4</v>
      </c>
      <c r="AC1734" s="2"/>
      <c r="AD1734" t="str">
        <f>IFERROR(__xludf.DUMMYFUNCTION("""COMPUTED_VALUE"""),"Mumford ")</f>
        <v>Mumford </v>
      </c>
      <c r="AE1734">
        <f t="shared" si="54"/>
        <v>4554457</v>
      </c>
    </row>
    <row r="1735" customHeight="1" spans="1:31">
      <c r="A1735" s="2" t="s">
        <v>166</v>
      </c>
      <c r="B1735" s="2">
        <v>185</v>
      </c>
      <c r="C1735" s="2">
        <v>96067179</v>
      </c>
      <c r="D1735" s="2" t="s">
        <v>2457</v>
      </c>
      <c r="E1735" s="2" t="s">
        <v>59</v>
      </c>
      <c r="F1735" t="s">
        <v>30</v>
      </c>
      <c r="G1735" t="s">
        <v>24</v>
      </c>
      <c r="N1735" s="2" t="s">
        <v>18</v>
      </c>
      <c r="O1735" s="2" t="s">
        <v>19</v>
      </c>
      <c r="P1735" s="2">
        <v>22000000</v>
      </c>
      <c r="Q1735" s="2">
        <v>8.9</v>
      </c>
      <c r="R1735" s="2" t="s">
        <v>3953</v>
      </c>
      <c r="S1735" s="2"/>
      <c r="U1735" s="2" t="s">
        <v>3954</v>
      </c>
      <c r="V1735">
        <f ca="1" t="shared" si="53"/>
        <v>5.9</v>
      </c>
      <c r="AC1735" s="2"/>
      <c r="AD1735" t="str">
        <f>IFERROR(__xludf.DUMMYFUNCTION("""COMPUTED_VALUE"""),"Seed of Chucky ")</f>
        <v>Seed of Chucky </v>
      </c>
      <c r="AE1735">
        <f t="shared" si="54"/>
        <v>17016102</v>
      </c>
    </row>
    <row r="1736" customHeight="1" spans="1:31">
      <c r="A1736" s="2" t="s">
        <v>1858</v>
      </c>
      <c r="B1736" s="2">
        <v>146</v>
      </c>
      <c r="C1736" s="2">
        <v>169705587</v>
      </c>
      <c r="D1736" s="2" t="s">
        <v>30</v>
      </c>
      <c r="E1736" s="2" t="s">
        <v>30</v>
      </c>
      <c r="F1736" t="s">
        <v>30</v>
      </c>
      <c r="G1736" t="s">
        <v>30</v>
      </c>
      <c r="N1736" s="2" t="s">
        <v>18</v>
      </c>
      <c r="O1736" s="2" t="s">
        <v>19</v>
      </c>
      <c r="P1736" s="2">
        <v>25000000</v>
      </c>
      <c r="Q1736" s="2">
        <v>8.1</v>
      </c>
      <c r="R1736" s="2" t="s">
        <v>3955</v>
      </c>
      <c r="S1736" s="2"/>
      <c r="U1736" s="2" t="s">
        <v>3956</v>
      </c>
      <c r="V1736">
        <f ca="1" t="shared" si="53"/>
        <v>7.4</v>
      </c>
      <c r="AC1736" s="2"/>
      <c r="AD1736" t="str">
        <f>IFERROR(__xludf.DUMMYFUNCTION("""COMPUTED_VALUE"""),"The Jacket ")</f>
        <v>The Jacket </v>
      </c>
      <c r="AE1736">
        <f t="shared" si="54"/>
        <v>6301037</v>
      </c>
    </row>
    <row r="1737" customHeight="1" spans="1:31">
      <c r="A1737" s="2" t="s">
        <v>416</v>
      </c>
      <c r="B1737" s="2">
        <v>128</v>
      </c>
      <c r="C1737" s="2">
        <v>3254172</v>
      </c>
      <c r="D1737" s="2" t="s">
        <v>1438</v>
      </c>
      <c r="E1737" s="2" t="s">
        <v>59</v>
      </c>
      <c r="F1737" t="s">
        <v>13</v>
      </c>
      <c r="G1737" t="s">
        <v>17</v>
      </c>
      <c r="N1737" s="2" t="s">
        <v>18</v>
      </c>
      <c r="O1737" s="2" t="s">
        <v>19</v>
      </c>
      <c r="P1737" s="2">
        <v>28000000</v>
      </c>
      <c r="Q1737" s="2">
        <v>6.2</v>
      </c>
      <c r="R1737" s="2" t="s">
        <v>3957</v>
      </c>
      <c r="S1737" s="2"/>
      <c r="U1737" s="2" t="s">
        <v>3958</v>
      </c>
      <c r="V1737">
        <f ca="1" t="shared" si="53"/>
        <v>4.2</v>
      </c>
      <c r="AC1737" s="2"/>
      <c r="AD1737" t="str">
        <f>IFERROR(__xludf.DUMMYFUNCTION("""COMPUTED_VALUE"""),"Aladdin ")</f>
        <v>Aladdin </v>
      </c>
      <c r="AE1737">
        <f t="shared" si="54"/>
        <v>217350129</v>
      </c>
    </row>
    <row r="1738" customHeight="1" spans="1:31">
      <c r="A1738" s="2" t="s">
        <v>571</v>
      </c>
      <c r="B1738" s="2">
        <v>93</v>
      </c>
      <c r="C1738" s="2">
        <v>84185387</v>
      </c>
      <c r="D1738" s="2" t="s">
        <v>3959</v>
      </c>
      <c r="E1738" s="2" t="s">
        <v>13</v>
      </c>
      <c r="F1738" t="s">
        <v>39</v>
      </c>
      <c r="G1738" t="s">
        <v>17</v>
      </c>
      <c r="N1738" s="2" t="s">
        <v>18</v>
      </c>
      <c r="O1738" s="2" t="s">
        <v>19</v>
      </c>
      <c r="P1738" s="2">
        <v>80000000</v>
      </c>
      <c r="Q1738" s="2">
        <v>4.9</v>
      </c>
      <c r="R1738" s="2" t="s">
        <v>3960</v>
      </c>
      <c r="S1738" s="2"/>
      <c r="U1738" s="2" t="s">
        <v>3961</v>
      </c>
      <c r="V1738">
        <f ca="1" t="shared" si="53"/>
        <v>5.4</v>
      </c>
      <c r="AC1738" s="2"/>
      <c r="AD1738" t="str">
        <f>IFERROR(__xludf.DUMMYFUNCTION("""COMPUTED_VALUE"""),"Straight Outta Compton ")</f>
        <v>Straight Outta Compton </v>
      </c>
      <c r="AE1738">
        <f t="shared" si="54"/>
        <v>161029103</v>
      </c>
    </row>
    <row r="1739" customHeight="1" spans="1:31">
      <c r="A1739" s="2" t="s">
        <v>1707</v>
      </c>
      <c r="B1739" s="2">
        <v>97</v>
      </c>
      <c r="C1739" s="2">
        <v>82163317</v>
      </c>
      <c r="D1739" s="2" t="s">
        <v>2009</v>
      </c>
      <c r="E1739" s="2" t="s">
        <v>12</v>
      </c>
      <c r="F1739" t="s">
        <v>30</v>
      </c>
      <c r="G1739" t="s">
        <v>30</v>
      </c>
      <c r="N1739" s="2" t="s">
        <v>18</v>
      </c>
      <c r="O1739" s="2" t="s">
        <v>19</v>
      </c>
      <c r="P1739" s="2">
        <v>30000000</v>
      </c>
      <c r="Q1739" s="2">
        <v>5.8</v>
      </c>
      <c r="R1739" s="2" t="s">
        <v>3962</v>
      </c>
      <c r="S1739" s="2"/>
      <c r="U1739" s="2" t="s">
        <v>3963</v>
      </c>
      <c r="V1739">
        <f ca="1" t="shared" si="53"/>
        <v>6.7</v>
      </c>
      <c r="AC1739" s="2"/>
      <c r="AD1739" t="str">
        <f>IFERROR(__xludf.DUMMYFUNCTION("""COMPUTED_VALUE"""),"Indiana Jones and the Temple of Doom ")</f>
        <v>Indiana Jones and the Temple of Doom </v>
      </c>
      <c r="AE1739">
        <f t="shared" si="54"/>
        <v>179870153</v>
      </c>
    </row>
    <row r="1740" customHeight="1" spans="1:31">
      <c r="A1740" s="2" t="s">
        <v>1411</v>
      </c>
      <c r="B1740" s="2">
        <v>82</v>
      </c>
      <c r="C1740" s="2">
        <v>80920948</v>
      </c>
      <c r="D1740" s="2" t="s">
        <v>192</v>
      </c>
      <c r="E1740" s="2" t="s">
        <v>12</v>
      </c>
      <c r="F1740" t="s">
        <v>55</v>
      </c>
      <c r="G1740" t="s">
        <v>30</v>
      </c>
      <c r="N1740" s="2" t="s">
        <v>18</v>
      </c>
      <c r="O1740" s="2" t="s">
        <v>19</v>
      </c>
      <c r="P1740" s="2">
        <v>30000000</v>
      </c>
      <c r="Q1740" s="2">
        <v>6</v>
      </c>
      <c r="R1740" s="2" t="s">
        <v>3964</v>
      </c>
      <c r="S1740" s="2"/>
      <c r="U1740" s="2" t="s">
        <v>3965</v>
      </c>
      <c r="V1740">
        <f ca="1" t="shared" si="53"/>
        <v>7.4</v>
      </c>
      <c r="AC1740" s="2"/>
      <c r="AD1740" t="str">
        <f>IFERROR(__xludf.DUMMYFUNCTION("""COMPUTED_VALUE"""),"The Rugrats Movie ")</f>
        <v>The Rugrats Movie </v>
      </c>
      <c r="AE1740">
        <f t="shared" si="54"/>
        <v>100491600</v>
      </c>
    </row>
    <row r="1741" customHeight="1" spans="1:31">
      <c r="A1741" s="2" t="s">
        <v>233</v>
      </c>
      <c r="B1741" s="2">
        <v>85</v>
      </c>
      <c r="C1741" s="2">
        <v>80034302</v>
      </c>
      <c r="D1741" s="2" t="s">
        <v>1378</v>
      </c>
      <c r="E1741" s="2" t="s">
        <v>12</v>
      </c>
      <c r="F1741" t="s">
        <v>29</v>
      </c>
      <c r="G1741" t="s">
        <v>24</v>
      </c>
      <c r="N1741" s="2" t="s">
        <v>18</v>
      </c>
      <c r="O1741" s="2" t="s">
        <v>19</v>
      </c>
      <c r="P1741" s="2">
        <v>25000000</v>
      </c>
      <c r="Q1741" s="2">
        <v>7</v>
      </c>
      <c r="R1741" s="2" t="s">
        <v>3966</v>
      </c>
      <c r="S1741" s="2"/>
      <c r="U1741" s="2" t="s">
        <v>3967</v>
      </c>
      <c r="V1741">
        <f ca="1" t="shared" si="53"/>
        <v>5.6</v>
      </c>
      <c r="AC1741" s="2"/>
      <c r="AD1741" t="str">
        <f>IFERROR(__xludf.DUMMYFUNCTION("""COMPUTED_VALUE"""),"Along Came a Spider ")</f>
        <v>Along Came a Spider </v>
      </c>
      <c r="AE1741">
        <f t="shared" si="54"/>
        <v>74058594</v>
      </c>
    </row>
    <row r="1742" customHeight="1" spans="1:31">
      <c r="A1742" s="2" t="s">
        <v>1998</v>
      </c>
      <c r="B1742" s="2">
        <v>88</v>
      </c>
      <c r="C1742" s="2">
        <v>78656813</v>
      </c>
      <c r="D1742" s="2" t="s">
        <v>1192</v>
      </c>
      <c r="E1742" s="2" t="s">
        <v>12</v>
      </c>
      <c r="F1742" t="s">
        <v>83</v>
      </c>
      <c r="G1742" t="s">
        <v>24</v>
      </c>
      <c r="N1742" s="2" t="s">
        <v>18</v>
      </c>
      <c r="O1742" s="2" t="s">
        <v>19</v>
      </c>
      <c r="P1742" s="2">
        <v>25000000</v>
      </c>
      <c r="Q1742" s="2">
        <v>6</v>
      </c>
      <c r="R1742" s="2" t="s">
        <v>3968</v>
      </c>
      <c r="S1742" s="2"/>
      <c r="U1742" s="2" t="s">
        <v>3969</v>
      </c>
      <c r="V1742">
        <f ca="1" t="shared" si="53"/>
        <v>7</v>
      </c>
      <c r="AC1742" s="2"/>
      <c r="AD1742" t="str">
        <f>IFERROR(__xludf.DUMMYFUNCTION("""COMPUTED_VALUE"""),"Once Upon a Time in Mexico ")</f>
        <v>Once Upon a Time in Mexico </v>
      </c>
      <c r="AE1742">
        <f t="shared" si="54"/>
        <v>55845841</v>
      </c>
    </row>
    <row r="1743" customHeight="1" spans="1:31">
      <c r="A1743" s="2" t="s">
        <v>733</v>
      </c>
      <c r="B1743" s="2">
        <v>119</v>
      </c>
      <c r="C1743" s="2">
        <v>76270454</v>
      </c>
      <c r="D1743" s="2" t="s">
        <v>805</v>
      </c>
      <c r="E1743" s="2" t="s">
        <v>56</v>
      </c>
      <c r="F1743" t="s">
        <v>28</v>
      </c>
      <c r="G1743" t="s">
        <v>14</v>
      </c>
      <c r="N1743" s="2" t="s">
        <v>18</v>
      </c>
      <c r="O1743" s="2" t="s">
        <v>19</v>
      </c>
      <c r="P1743" s="2">
        <v>25000000</v>
      </c>
      <c r="Q1743" s="2">
        <v>7.9</v>
      </c>
      <c r="R1743" s="2" t="s">
        <v>3970</v>
      </c>
      <c r="S1743" s="2"/>
      <c r="U1743" s="2" t="s">
        <v>3971</v>
      </c>
      <c r="V1743">
        <f ca="1" t="shared" si="53"/>
        <v>7.2</v>
      </c>
      <c r="AC1743" s="2"/>
      <c r="AD1743" t="str">
        <f>IFERROR(__xludf.DUMMYFUNCTION("""COMPUTED_VALUE"""),"Die Hard ")</f>
        <v>Die Hard </v>
      </c>
      <c r="AE1743">
        <f t="shared" si="54"/>
        <v>81350111</v>
      </c>
    </row>
    <row r="1744" customHeight="1" spans="1:31">
      <c r="A1744" s="2" t="s">
        <v>1628</v>
      </c>
      <c r="B1744" s="2">
        <v>122</v>
      </c>
      <c r="C1744" s="2">
        <v>74273505</v>
      </c>
      <c r="D1744" s="2" t="s">
        <v>805</v>
      </c>
      <c r="E1744" s="2" t="s">
        <v>56</v>
      </c>
      <c r="F1744" t="s">
        <v>24</v>
      </c>
      <c r="G1744" t="s">
        <v>83</v>
      </c>
      <c r="N1744" s="2" t="s">
        <v>18</v>
      </c>
      <c r="O1744" s="2" t="s">
        <v>19</v>
      </c>
      <c r="P1744" s="2">
        <v>25000000</v>
      </c>
      <c r="Q1744" s="2">
        <v>8.1</v>
      </c>
      <c r="R1744" s="2" t="s">
        <v>3972</v>
      </c>
      <c r="S1744" s="2"/>
      <c r="U1744" s="2" t="s">
        <v>3973</v>
      </c>
      <c r="V1744">
        <f ca="1" t="shared" si="53"/>
        <v>7.2</v>
      </c>
      <c r="AC1744" s="2"/>
      <c r="AD1744" t="str">
        <f>IFERROR(__xludf.DUMMYFUNCTION("""COMPUTED_VALUE"""),"Role Models ")</f>
        <v>Role Models </v>
      </c>
      <c r="AE1744">
        <f t="shared" si="54"/>
        <v>67266199</v>
      </c>
    </row>
    <row r="1745" customHeight="1" spans="1:31">
      <c r="A1745" s="2" t="s">
        <v>497</v>
      </c>
      <c r="B1745" s="2">
        <v>99</v>
      </c>
      <c r="C1745" s="2">
        <v>134141530</v>
      </c>
      <c r="D1745" s="2" t="s">
        <v>2350</v>
      </c>
      <c r="E1745" s="2" t="s">
        <v>12</v>
      </c>
      <c r="F1745" t="s">
        <v>30</v>
      </c>
      <c r="G1745" t="s">
        <v>17</v>
      </c>
      <c r="N1745" s="2" t="s">
        <v>18</v>
      </c>
      <c r="O1745" s="2" t="s">
        <v>19</v>
      </c>
      <c r="P1745" s="2">
        <v>25000000</v>
      </c>
      <c r="Q1745" s="2">
        <v>6.2</v>
      </c>
      <c r="R1745" s="2" t="s">
        <v>3974</v>
      </c>
      <c r="S1745" s="2"/>
      <c r="U1745" s="2" t="s">
        <v>3975</v>
      </c>
      <c r="V1745">
        <f ca="1" t="shared" si="53"/>
        <v>6.2</v>
      </c>
      <c r="AC1745" s="2"/>
      <c r="AD1745" t="str">
        <f>IFERROR(__xludf.DUMMYFUNCTION("""COMPUTED_VALUE"""),"The Big Short ")</f>
        <v>The Big Short </v>
      </c>
      <c r="AE1745">
        <f t="shared" si="54"/>
        <v>70235192</v>
      </c>
    </row>
    <row r="1746" customHeight="1" spans="1:31">
      <c r="A1746" s="2" t="s">
        <v>2000</v>
      </c>
      <c r="B1746" s="2">
        <v>97</v>
      </c>
      <c r="C1746" s="2">
        <v>71500556</v>
      </c>
      <c r="D1746" s="2" t="s">
        <v>521</v>
      </c>
      <c r="E1746" s="2" t="s">
        <v>40</v>
      </c>
      <c r="F1746" t="s">
        <v>30</v>
      </c>
      <c r="G1746" t="s">
        <v>15</v>
      </c>
      <c r="N1746" s="2" t="s">
        <v>18</v>
      </c>
      <c r="O1746" s="2" t="s">
        <v>31</v>
      </c>
      <c r="P1746" s="2">
        <v>26000000</v>
      </c>
      <c r="Q1746" s="2">
        <v>6.7</v>
      </c>
      <c r="R1746" s="2" t="s">
        <v>3976</v>
      </c>
      <c r="S1746" s="2"/>
      <c r="U1746" s="2" t="s">
        <v>3977</v>
      </c>
      <c r="V1746">
        <f ca="1" t="shared" si="53"/>
        <v>6.2</v>
      </c>
      <c r="AC1746" s="2"/>
      <c r="AD1746" t="str">
        <f>IFERROR(__xludf.DUMMYFUNCTION("""COMPUTED_VALUE"""),"Taking Woodstock ")</f>
        <v>Taking Woodstock </v>
      </c>
      <c r="AE1746">
        <f t="shared" si="54"/>
        <v>7442887</v>
      </c>
    </row>
    <row r="1747" customHeight="1" spans="1:31">
      <c r="A1747" s="2" t="s">
        <v>1698</v>
      </c>
      <c r="B1747" s="2">
        <v>121</v>
      </c>
      <c r="C1747" s="2">
        <v>71309760</v>
      </c>
      <c r="D1747" s="2" t="s">
        <v>103</v>
      </c>
      <c r="E1747" s="2" t="s">
        <v>30</v>
      </c>
      <c r="F1747" t="s">
        <v>30</v>
      </c>
      <c r="G1747" t="s">
        <v>39</v>
      </c>
      <c r="N1747" s="2" t="s">
        <v>18</v>
      </c>
      <c r="O1747" s="2" t="s">
        <v>31</v>
      </c>
      <c r="P1747" s="2">
        <v>25000000</v>
      </c>
      <c r="Q1747" s="2">
        <v>7.3</v>
      </c>
      <c r="R1747" s="2" t="s">
        <v>3978</v>
      </c>
      <c r="S1747" s="2"/>
      <c r="U1747" s="2" t="s">
        <v>3979</v>
      </c>
      <c r="V1747">
        <f ca="1" t="shared" si="53"/>
        <v>6.7</v>
      </c>
      <c r="AC1747" s="2"/>
      <c r="AD1747" t="str">
        <f>IFERROR(__xludf.DUMMYFUNCTION("""COMPUTED_VALUE"""),"Miracle ")</f>
        <v>Miracle </v>
      </c>
      <c r="AE1747">
        <f t="shared" si="54"/>
        <v>64371046</v>
      </c>
    </row>
    <row r="1748" customHeight="1" spans="1:31">
      <c r="A1748" s="2" t="s">
        <v>2002</v>
      </c>
      <c r="B1748" s="2">
        <v>95</v>
      </c>
      <c r="C1748" s="2">
        <v>89808372</v>
      </c>
      <c r="D1748" s="2" t="s">
        <v>40</v>
      </c>
      <c r="E1748" s="2" t="s">
        <v>40</v>
      </c>
      <c r="F1748" t="s">
        <v>56</v>
      </c>
      <c r="G1748" t="s">
        <v>23</v>
      </c>
      <c r="N1748" s="2" t="s">
        <v>18</v>
      </c>
      <c r="O1748" s="2" t="s">
        <v>19</v>
      </c>
      <c r="P1748" s="2">
        <v>45000000</v>
      </c>
      <c r="Q1748" s="2">
        <v>4.6</v>
      </c>
      <c r="R1748" s="2" t="s">
        <v>3980</v>
      </c>
      <c r="S1748" s="2"/>
      <c r="U1748" s="2" t="s">
        <v>3981</v>
      </c>
      <c r="V1748">
        <f ca="1" t="shared" si="53"/>
        <v>3.6</v>
      </c>
      <c r="AC1748" s="2"/>
      <c r="AD1748" t="str">
        <f>IFERROR(__xludf.DUMMYFUNCTION("""COMPUTED_VALUE"""),"Dawn of the Dead ")</f>
        <v>Dawn of the Dead </v>
      </c>
      <c r="AE1748">
        <f t="shared" si="54"/>
        <v>58885525</v>
      </c>
    </row>
    <row r="1749" customHeight="1" spans="1:31">
      <c r="A1749" s="2" t="s">
        <v>1276</v>
      </c>
      <c r="B1749" s="2">
        <v>105</v>
      </c>
      <c r="C1749" s="2">
        <v>77264926</v>
      </c>
      <c r="D1749" s="2" t="s">
        <v>1201</v>
      </c>
      <c r="E1749" s="2" t="s">
        <v>40</v>
      </c>
      <c r="F1749" t="s">
        <v>30</v>
      </c>
      <c r="G1749" t="s">
        <v>39</v>
      </c>
      <c r="N1749" s="2" t="s">
        <v>18</v>
      </c>
      <c r="O1749" s="2" t="s">
        <v>19</v>
      </c>
      <c r="P1749" s="2">
        <v>25000000</v>
      </c>
      <c r="Q1749" s="2">
        <v>6.1</v>
      </c>
      <c r="R1749" s="2" t="s">
        <v>3982</v>
      </c>
      <c r="S1749" s="2"/>
      <c r="U1749" s="2" t="s">
        <v>3983</v>
      </c>
      <c r="V1749">
        <f ca="1" t="shared" si="53"/>
        <v>7.4</v>
      </c>
      <c r="AC1749" s="2"/>
      <c r="AD1749" t="str">
        <f>IFERROR(__xludf.DUMMYFUNCTION("""COMPUTED_VALUE"""),"The Wedding Planner ")</f>
        <v>The Wedding Planner </v>
      </c>
      <c r="AE1749">
        <f t="shared" si="54"/>
        <v>60400753</v>
      </c>
    </row>
    <row r="1750" customHeight="1" spans="1:31">
      <c r="A1750" s="2" t="s">
        <v>816</v>
      </c>
      <c r="B1750" s="2">
        <v>108</v>
      </c>
      <c r="C1750" s="2">
        <v>70625986</v>
      </c>
      <c r="D1750" s="2" t="s">
        <v>607</v>
      </c>
      <c r="E1750" s="2" t="s">
        <v>40</v>
      </c>
      <c r="F1750" t="s">
        <v>40</v>
      </c>
      <c r="G1750" t="s">
        <v>56</v>
      </c>
      <c r="N1750" s="2" t="s">
        <v>18</v>
      </c>
      <c r="O1750" s="2" t="s">
        <v>19</v>
      </c>
      <c r="P1750" s="2">
        <v>25000000</v>
      </c>
      <c r="Q1750" s="2">
        <v>6.2</v>
      </c>
      <c r="R1750" s="2" t="s">
        <v>3984</v>
      </c>
      <c r="S1750" s="2"/>
      <c r="U1750" s="2" t="s">
        <v>3985</v>
      </c>
      <c r="V1750">
        <f ca="1" t="shared" si="53"/>
        <v>6.1</v>
      </c>
      <c r="AC1750" s="2"/>
      <c r="AD1750" t="str">
        <f>IFERROR(__xludf.DUMMYFUNCTION("""COMPUTED_VALUE"""),"The Royal Tenenbaums ")</f>
        <v>The Royal Tenenbaums </v>
      </c>
      <c r="AE1750">
        <f t="shared" si="54"/>
        <v>52353526</v>
      </c>
    </row>
    <row r="1751" customHeight="1" spans="1:31">
      <c r="A1751" s="2" t="s">
        <v>1437</v>
      </c>
      <c r="B1751" s="2">
        <v>134</v>
      </c>
      <c r="C1751" s="2">
        <v>56505065</v>
      </c>
      <c r="D1751" s="2" t="s">
        <v>3986</v>
      </c>
      <c r="E1751" s="2" t="s">
        <v>12</v>
      </c>
      <c r="F1751" t="s">
        <v>17</v>
      </c>
      <c r="G1751" t="s">
        <v>72</v>
      </c>
      <c r="N1751" s="2" t="s">
        <v>18</v>
      </c>
      <c r="O1751" s="2" t="s">
        <v>19</v>
      </c>
      <c r="P1751" s="2">
        <v>25000000</v>
      </c>
      <c r="Q1751" s="2">
        <v>7.8</v>
      </c>
      <c r="R1751" s="2" t="s">
        <v>3987</v>
      </c>
      <c r="S1751" s="2"/>
      <c r="U1751" s="2" t="s">
        <v>3988</v>
      </c>
      <c r="V1751">
        <f ca="1" t="shared" si="53"/>
        <v>8.2</v>
      </c>
      <c r="AC1751" s="2"/>
      <c r="AD1751" t="str">
        <f>IFERROR(__xludf.DUMMYFUNCTION("""COMPUTED_VALUE"""),"Identity ")</f>
        <v>Identity </v>
      </c>
      <c r="AE1751">
        <f t="shared" si="54"/>
        <v>51475871</v>
      </c>
    </row>
    <row r="1752" customHeight="1" spans="1:31">
      <c r="A1752" s="2" t="s">
        <v>940</v>
      </c>
      <c r="B1752" s="2">
        <v>115</v>
      </c>
      <c r="C1752" s="2">
        <v>55973336</v>
      </c>
      <c r="D1752" s="2" t="s">
        <v>150</v>
      </c>
      <c r="E1752" s="2" t="s">
        <v>12</v>
      </c>
      <c r="F1752" t="s">
        <v>30</v>
      </c>
      <c r="G1752" t="s">
        <v>72</v>
      </c>
      <c r="N1752" s="2" t="s">
        <v>18</v>
      </c>
      <c r="O1752" s="2" t="s">
        <v>19</v>
      </c>
      <c r="P1752" s="2">
        <v>25000000</v>
      </c>
      <c r="Q1752" s="2">
        <v>6.1</v>
      </c>
      <c r="R1752" s="2" t="s">
        <v>3989</v>
      </c>
      <c r="S1752" s="2"/>
      <c r="U1752" s="2" t="s">
        <v>3990</v>
      </c>
      <c r="V1752">
        <f ca="1" t="shared" si="53"/>
        <v>7.7</v>
      </c>
      <c r="AC1752" s="2"/>
      <c r="AD1752" t="str">
        <f>IFERROR(__xludf.DUMMYFUNCTION("""COMPUTED_VALUE"""),"Last Vegas ")</f>
        <v>Last Vegas </v>
      </c>
      <c r="AE1752">
        <f t="shared" si="54"/>
        <v>63910478</v>
      </c>
    </row>
    <row r="1753" customHeight="1" spans="1:31">
      <c r="A1753" s="2" t="s">
        <v>1365</v>
      </c>
      <c r="B1753" s="2">
        <v>86</v>
      </c>
      <c r="C1753" s="2">
        <v>54098051</v>
      </c>
      <c r="D1753" s="2" t="s">
        <v>72</v>
      </c>
      <c r="E1753" s="2" t="s">
        <v>72</v>
      </c>
      <c r="F1753" t="s">
        <v>40</v>
      </c>
      <c r="G1753" t="s">
        <v>24</v>
      </c>
      <c r="N1753" s="2" t="s">
        <v>18</v>
      </c>
      <c r="O1753" s="2" t="s">
        <v>293</v>
      </c>
      <c r="P1753" s="2">
        <v>25000000</v>
      </c>
      <c r="Q1753" s="2">
        <v>5.8</v>
      </c>
      <c r="R1753" s="2" t="s">
        <v>3991</v>
      </c>
      <c r="S1753" s="2"/>
      <c r="U1753" s="2" t="s">
        <v>3992</v>
      </c>
      <c r="V1753">
        <f ca="1" t="shared" si="53"/>
        <v>7.3</v>
      </c>
      <c r="AC1753" s="2"/>
      <c r="AD1753" t="str">
        <f>IFERROR(__xludf.DUMMYFUNCTION("""COMPUTED_VALUE"""),"For Your Eyes Only ")</f>
        <v>For Your Eyes Only </v>
      </c>
      <c r="AE1753">
        <f t="shared" si="54"/>
        <v>62299873</v>
      </c>
    </row>
    <row r="1754" customHeight="1" spans="1:31">
      <c r="A1754" s="2" t="s">
        <v>1643</v>
      </c>
      <c r="B1754" s="2">
        <v>101</v>
      </c>
      <c r="C1754" s="2">
        <v>60443237</v>
      </c>
      <c r="D1754" s="2" t="s">
        <v>103</v>
      </c>
      <c r="E1754" s="2" t="s">
        <v>30</v>
      </c>
      <c r="F1754" t="s">
        <v>56</v>
      </c>
      <c r="G1754" t="s">
        <v>23</v>
      </c>
      <c r="N1754" s="2" t="s">
        <v>18</v>
      </c>
      <c r="O1754" s="2" t="s">
        <v>19</v>
      </c>
      <c r="P1754" s="2">
        <v>25000000</v>
      </c>
      <c r="Q1754" s="2">
        <v>6.5</v>
      </c>
      <c r="R1754" s="2" t="s">
        <v>3993</v>
      </c>
      <c r="S1754" s="2"/>
      <c r="U1754" s="2" t="s">
        <v>3994</v>
      </c>
      <c r="V1754">
        <f ca="1" t="shared" si="53"/>
        <v>7.6</v>
      </c>
      <c r="AC1754" s="2"/>
      <c r="AD1754" t="str">
        <f>IFERROR(__xludf.DUMMYFUNCTION("""COMPUTED_VALUE"""),"Serendipity ")</f>
        <v>Serendipity </v>
      </c>
      <c r="AE1754">
        <f t="shared" si="54"/>
        <v>49968571</v>
      </c>
    </row>
    <row r="1755" customHeight="1" spans="1:31">
      <c r="A1755" s="2" t="s">
        <v>2004</v>
      </c>
      <c r="B1755" s="2">
        <v>96</v>
      </c>
      <c r="C1755" s="2">
        <v>82234139</v>
      </c>
      <c r="D1755" s="2" t="s">
        <v>224</v>
      </c>
      <c r="E1755" s="2" t="s">
        <v>13</v>
      </c>
      <c r="F1755" t="s">
        <v>28</v>
      </c>
      <c r="G1755" t="s">
        <v>30</v>
      </c>
      <c r="N1755" s="2" t="s">
        <v>18</v>
      </c>
      <c r="O1755" s="2" t="s">
        <v>19</v>
      </c>
      <c r="P1755" s="2">
        <v>17000000</v>
      </c>
      <c r="Q1755" s="2">
        <v>7.2</v>
      </c>
      <c r="R1755" s="2" t="s">
        <v>3995</v>
      </c>
      <c r="S1755" s="2"/>
      <c r="U1755" s="2" t="s">
        <v>3996</v>
      </c>
      <c r="V1755">
        <f ca="1" t="shared" si="53"/>
        <v>6.8</v>
      </c>
      <c r="AC1755" s="2"/>
      <c r="AD1755" t="str">
        <f>IFERROR(__xludf.DUMMYFUNCTION("""COMPUTED_VALUE"""),"Timecop ")</f>
        <v>Timecop </v>
      </c>
      <c r="AE1755">
        <f t="shared" si="54"/>
        <v>44449901</v>
      </c>
    </row>
    <row r="1756" customHeight="1" spans="1:31">
      <c r="A1756" s="2" t="s">
        <v>69</v>
      </c>
      <c r="B1756" s="2">
        <v>101</v>
      </c>
      <c r="C1756" s="2">
        <v>51676606</v>
      </c>
      <c r="D1756" s="2" t="s">
        <v>3997</v>
      </c>
      <c r="E1756" s="2" t="s">
        <v>59</v>
      </c>
      <c r="F1756" t="s">
        <v>13</v>
      </c>
      <c r="G1756" t="s">
        <v>23</v>
      </c>
      <c r="N1756" s="2" t="s">
        <v>18</v>
      </c>
      <c r="O1756" s="2" t="s">
        <v>19</v>
      </c>
      <c r="P1756" s="2">
        <v>25000000</v>
      </c>
      <c r="Q1756" s="2">
        <v>7.8</v>
      </c>
      <c r="R1756" s="2" t="s">
        <v>3998</v>
      </c>
      <c r="S1756" s="2"/>
      <c r="U1756" s="2" t="s">
        <v>3999</v>
      </c>
      <c r="V1756">
        <f ca="1" t="shared" si="53"/>
        <v>5.6</v>
      </c>
      <c r="AC1756" s="2"/>
      <c r="AD1756" t="str">
        <f>IFERROR(__xludf.DUMMYFUNCTION("""COMPUTED_VALUE"""),"Zoolander ")</f>
        <v>Zoolander </v>
      </c>
      <c r="AE1756">
        <f t="shared" si="54"/>
        <v>45162651</v>
      </c>
    </row>
    <row r="1757" customHeight="1" spans="1:31">
      <c r="A1757" s="2" t="s">
        <v>2006</v>
      </c>
      <c r="B1757" s="2">
        <v>100</v>
      </c>
      <c r="C1757" s="2">
        <v>52528330</v>
      </c>
      <c r="D1757" s="2" t="s">
        <v>975</v>
      </c>
      <c r="E1757" s="2" t="s">
        <v>40</v>
      </c>
      <c r="F1757" t="s">
        <v>30</v>
      </c>
      <c r="G1757" t="s">
        <v>24</v>
      </c>
      <c r="N1757" s="2" t="s">
        <v>18</v>
      </c>
      <c r="O1757" s="2" t="s">
        <v>19</v>
      </c>
      <c r="P1757" s="2">
        <v>25000000</v>
      </c>
      <c r="Q1757" s="2">
        <v>4.7</v>
      </c>
      <c r="R1757" s="2" t="s">
        <v>4000</v>
      </c>
      <c r="S1757" s="2"/>
      <c r="U1757" s="2" t="s">
        <v>4001</v>
      </c>
      <c r="V1757">
        <f ca="1" t="shared" si="53"/>
        <v>4.8</v>
      </c>
      <c r="AC1757" s="2"/>
      <c r="AD1757" t="str">
        <f>IFERROR(__xludf.DUMMYFUNCTION("""COMPUTED_VALUE"""),"Safe Haven ")</f>
        <v>Safe Haven </v>
      </c>
      <c r="AE1757">
        <f t="shared" si="54"/>
        <v>71346815</v>
      </c>
    </row>
    <row r="1758" customHeight="1" spans="1:31">
      <c r="A1758" s="2" t="s">
        <v>2008</v>
      </c>
      <c r="B1758" s="2">
        <v>117</v>
      </c>
      <c r="C1758" s="2">
        <v>51533608</v>
      </c>
      <c r="D1758" s="2" t="s">
        <v>276</v>
      </c>
      <c r="E1758" s="2" t="s">
        <v>12</v>
      </c>
      <c r="F1758" t="s">
        <v>30</v>
      </c>
      <c r="G1758" t="s">
        <v>14</v>
      </c>
      <c r="N1758" s="2" t="s">
        <v>18</v>
      </c>
      <c r="O1758" s="2" t="s">
        <v>19</v>
      </c>
      <c r="P1758" s="2">
        <v>25000000</v>
      </c>
      <c r="Q1758" s="2">
        <v>6.8</v>
      </c>
      <c r="R1758" s="2" t="s">
        <v>4002</v>
      </c>
      <c r="S1758" s="2"/>
      <c r="U1758" s="2" t="s">
        <v>4003</v>
      </c>
      <c r="V1758">
        <f ca="1" t="shared" si="53"/>
        <v>6.4</v>
      </c>
      <c r="AC1758" s="2"/>
      <c r="AD1758" t="str">
        <f>IFERROR(__xludf.DUMMYFUNCTION("""COMPUTED_VALUE"""),"Hocus Pocus ")</f>
        <v>Hocus Pocus </v>
      </c>
      <c r="AE1758">
        <f t="shared" si="54"/>
        <v>39514617</v>
      </c>
    </row>
    <row r="1759" customHeight="1" spans="1:31">
      <c r="A1759" s="2" t="s">
        <v>2011</v>
      </c>
      <c r="B1759" s="2">
        <v>101</v>
      </c>
      <c r="C1759" s="2">
        <v>51097664</v>
      </c>
      <c r="D1759" s="2" t="s">
        <v>2539</v>
      </c>
      <c r="E1759" s="2" t="s">
        <v>30</v>
      </c>
      <c r="F1759" t="s">
        <v>30</v>
      </c>
      <c r="G1759" t="s">
        <v>24</v>
      </c>
      <c r="N1759" s="2" t="s">
        <v>18</v>
      </c>
      <c r="O1759" s="2" t="s">
        <v>19</v>
      </c>
      <c r="P1759" s="2">
        <v>30000000</v>
      </c>
      <c r="Q1759" s="2">
        <v>5.9</v>
      </c>
      <c r="R1759" s="2" t="s">
        <v>4004</v>
      </c>
      <c r="S1759" s="2"/>
      <c r="U1759" s="2" t="s">
        <v>4005</v>
      </c>
      <c r="V1759">
        <f ca="1" t="shared" si="53"/>
        <v>6.7</v>
      </c>
      <c r="AC1759" s="2"/>
      <c r="AD1759" t="str">
        <f>IFERROR(__xludf.DUMMYFUNCTION("""COMPUTED_VALUE"""),"No Reservations ")</f>
        <v>No Reservations </v>
      </c>
      <c r="AE1759">
        <f t="shared" si="54"/>
        <v>43097548</v>
      </c>
    </row>
    <row r="1760" customHeight="1" spans="1:31">
      <c r="A1760" s="2" t="s">
        <v>621</v>
      </c>
      <c r="B1760" s="2">
        <v>98</v>
      </c>
      <c r="C1760" s="2">
        <v>84136909</v>
      </c>
      <c r="D1760" s="2" t="s">
        <v>40</v>
      </c>
      <c r="E1760" s="2" t="s">
        <v>40</v>
      </c>
      <c r="F1760" t="s">
        <v>30</v>
      </c>
      <c r="G1760" t="s">
        <v>15</v>
      </c>
      <c r="N1760" s="2" t="s">
        <v>18</v>
      </c>
      <c r="O1760" s="2" t="s">
        <v>19</v>
      </c>
      <c r="P1760" s="2">
        <v>26000000</v>
      </c>
      <c r="Q1760" s="2">
        <v>7.2</v>
      </c>
      <c r="R1760" s="2" t="s">
        <v>4006</v>
      </c>
      <c r="S1760" s="2"/>
      <c r="U1760" s="2" t="s">
        <v>4007</v>
      </c>
      <c r="V1760">
        <f ca="1" t="shared" si="53"/>
        <v>6.1</v>
      </c>
      <c r="AC1760" s="2"/>
      <c r="AD1760" t="str">
        <f>IFERROR(__xludf.DUMMYFUNCTION("""COMPUTED_VALUE"""),"Kick-Ass ")</f>
        <v>Kick-Ass </v>
      </c>
      <c r="AE1760">
        <f t="shared" si="54"/>
        <v>48043388</v>
      </c>
    </row>
    <row r="1761" customHeight="1" spans="1:31">
      <c r="A1761" s="2" t="s">
        <v>196</v>
      </c>
      <c r="B1761" s="2">
        <v>146</v>
      </c>
      <c r="C1761" s="2">
        <v>46836394</v>
      </c>
      <c r="D1761" s="2" t="s">
        <v>625</v>
      </c>
      <c r="E1761" s="2" t="s">
        <v>59</v>
      </c>
      <c r="F1761" t="s">
        <v>30</v>
      </c>
      <c r="G1761" t="s">
        <v>24</v>
      </c>
      <c r="N1761" s="2" t="s">
        <v>18</v>
      </c>
      <c r="O1761" s="2" t="s">
        <v>19</v>
      </c>
      <c r="P1761" s="2">
        <v>25000000</v>
      </c>
      <c r="Q1761" s="2">
        <v>8.7</v>
      </c>
      <c r="R1761" s="2" t="s">
        <v>4008</v>
      </c>
      <c r="S1761" s="2"/>
      <c r="U1761" s="2" t="s">
        <v>4009</v>
      </c>
      <c r="V1761">
        <f ca="1" t="shared" si="53"/>
        <v>5.5</v>
      </c>
      <c r="AC1761" s="2"/>
      <c r="AD1761" t="str">
        <f>IFERROR(__xludf.DUMMYFUNCTION("""COMPUTED_VALUE"""),"30 Minutes or Less ")</f>
        <v>30 Minutes or Less </v>
      </c>
      <c r="AE1761">
        <f t="shared" si="54"/>
        <v>37053841</v>
      </c>
    </row>
    <row r="1762" customHeight="1" spans="1:31">
      <c r="A1762" s="2" t="s">
        <v>1137</v>
      </c>
      <c r="B1762" s="2">
        <v>102</v>
      </c>
      <c r="C1762" s="2">
        <v>47285499</v>
      </c>
      <c r="D1762" s="2" t="s">
        <v>4010</v>
      </c>
      <c r="E1762" s="2" t="s">
        <v>12</v>
      </c>
      <c r="F1762" t="s">
        <v>30</v>
      </c>
      <c r="G1762" t="s">
        <v>24</v>
      </c>
      <c r="N1762" s="2" t="s">
        <v>18</v>
      </c>
      <c r="O1762" s="2" t="s">
        <v>19</v>
      </c>
      <c r="P1762" s="2">
        <v>26000000</v>
      </c>
      <c r="Q1762" s="2">
        <v>5</v>
      </c>
      <c r="R1762" s="2" t="s">
        <v>4011</v>
      </c>
      <c r="S1762" s="2"/>
      <c r="U1762" s="2" t="s">
        <v>4012</v>
      </c>
      <c r="V1762">
        <f ca="1" t="shared" si="53"/>
        <v>6.9</v>
      </c>
      <c r="AC1762" s="2"/>
      <c r="AD1762" t="str">
        <f>IFERROR(__xludf.DUMMYFUNCTION("""COMPUTED_VALUE"""),"Dracula 2000 ")</f>
        <v>Dracula 2000 </v>
      </c>
      <c r="AE1762">
        <f t="shared" si="54"/>
        <v>33000278</v>
      </c>
    </row>
    <row r="1763" customHeight="1" spans="1:31">
      <c r="A1763" s="2" t="s">
        <v>1626</v>
      </c>
      <c r="B1763" s="2">
        <v>97</v>
      </c>
      <c r="C1763" s="2">
        <v>47124400</v>
      </c>
      <c r="D1763" s="2" t="s">
        <v>214</v>
      </c>
      <c r="E1763" s="2" t="s">
        <v>40</v>
      </c>
      <c r="F1763" t="s">
        <v>30</v>
      </c>
      <c r="G1763" t="s">
        <v>24</v>
      </c>
      <c r="N1763" s="2" t="s">
        <v>18</v>
      </c>
      <c r="O1763" s="2" t="s">
        <v>19</v>
      </c>
      <c r="P1763" s="2">
        <v>25000000</v>
      </c>
      <c r="Q1763" s="2">
        <v>6.6</v>
      </c>
      <c r="R1763" s="2" t="s">
        <v>4013</v>
      </c>
      <c r="S1763" s="2"/>
      <c r="U1763" s="2" t="s">
        <v>4014</v>
      </c>
      <c r="V1763">
        <f ca="1" t="shared" si="53"/>
        <v>4.1</v>
      </c>
      <c r="AC1763" s="2"/>
      <c r="AD1763" t="str">
        <f>IFERROR(__xludf.DUMMYFUNCTION("""COMPUTED_VALUE"""),"Alexander and the Terrible, Horrible, No Good, Very Bad Day ")</f>
        <v>Alexander and the Terrible, Horrible, No Good, Very Bad Day </v>
      </c>
      <c r="AE1763">
        <f t="shared" si="54"/>
        <v>66950402</v>
      </c>
    </row>
    <row r="1764" customHeight="1" spans="1:31">
      <c r="A1764" s="2" t="s">
        <v>733</v>
      </c>
      <c r="B1764" s="2">
        <v>142</v>
      </c>
      <c r="C1764" s="2">
        <v>44700000</v>
      </c>
      <c r="D1764" s="2" t="s">
        <v>718</v>
      </c>
      <c r="E1764" s="2" t="s">
        <v>56</v>
      </c>
      <c r="F1764" t="s">
        <v>30</v>
      </c>
      <c r="G1764" t="s">
        <v>24</v>
      </c>
      <c r="N1764" s="2" t="s">
        <v>18</v>
      </c>
      <c r="O1764" s="2" t="s">
        <v>19</v>
      </c>
      <c r="P1764" s="2">
        <v>25000000</v>
      </c>
      <c r="Q1764" s="2">
        <v>8.3</v>
      </c>
      <c r="R1764" s="2" t="s">
        <v>4015</v>
      </c>
      <c r="S1764" s="2"/>
      <c r="U1764" s="2" t="s">
        <v>4016</v>
      </c>
      <c r="V1764">
        <f ca="1" t="shared" si="53"/>
        <v>8.2</v>
      </c>
      <c r="AC1764" s="2"/>
      <c r="AD1764" t="str">
        <f>IFERROR(__xludf.DUMMYFUNCTION("""COMPUTED_VALUE"""),"Pride &amp; Prejudice ")</f>
        <v>Pride &amp; Prejudice </v>
      </c>
      <c r="AE1764">
        <f t="shared" si="54"/>
        <v>38372527</v>
      </c>
    </row>
    <row r="1765" customHeight="1" spans="1:31">
      <c r="A1765" s="2" t="s">
        <v>1249</v>
      </c>
      <c r="B1765" s="2">
        <v>98</v>
      </c>
      <c r="C1765" s="2">
        <v>44455658</v>
      </c>
      <c r="D1765" s="2" t="s">
        <v>505</v>
      </c>
      <c r="E1765" s="2" t="s">
        <v>12</v>
      </c>
      <c r="F1765" t="s">
        <v>17</v>
      </c>
      <c r="G1765" t="s">
        <v>15</v>
      </c>
      <c r="N1765" s="2" t="s">
        <v>18</v>
      </c>
      <c r="O1765" s="2" t="s">
        <v>19</v>
      </c>
      <c r="P1765" s="2">
        <v>25000000</v>
      </c>
      <c r="Q1765" s="2">
        <v>6.7</v>
      </c>
      <c r="R1765" s="2" t="s">
        <v>4017</v>
      </c>
      <c r="S1765" s="2"/>
      <c r="U1765" s="2" t="s">
        <v>4018</v>
      </c>
      <c r="V1765">
        <f ca="1" t="shared" si="53"/>
        <v>5.7</v>
      </c>
      <c r="AC1765" s="2"/>
      <c r="AD1765" t="str">
        <f>IFERROR(__xludf.DUMMYFUNCTION("""COMPUTED_VALUE"""),"Blade Runner ")</f>
        <v>Blade Runner </v>
      </c>
      <c r="AE1765">
        <f t="shared" si="54"/>
        <v>26999883</v>
      </c>
    </row>
    <row r="1766" customHeight="1" spans="1:31">
      <c r="A1766" s="2" t="s">
        <v>2014</v>
      </c>
      <c r="B1766" s="2">
        <v>219</v>
      </c>
      <c r="C1766" s="2">
        <v>43984230</v>
      </c>
      <c r="D1766" s="2" t="s">
        <v>2457</v>
      </c>
      <c r="E1766" s="2" t="s">
        <v>59</v>
      </c>
      <c r="F1766" t="s">
        <v>30</v>
      </c>
      <c r="G1766" t="s">
        <v>24</v>
      </c>
      <c r="N1766" s="2" t="s">
        <v>18</v>
      </c>
      <c r="O1766" s="2" t="s">
        <v>343</v>
      </c>
      <c r="P1766" s="2">
        <v>23000000</v>
      </c>
      <c r="Q1766" s="2">
        <v>7.8</v>
      </c>
      <c r="R1766" s="2" t="s">
        <v>4019</v>
      </c>
      <c r="S1766" s="2"/>
      <c r="U1766" s="2" t="s">
        <v>4020</v>
      </c>
      <c r="V1766">
        <f ca="1" t="shared" si="53"/>
        <v>7.9</v>
      </c>
      <c r="AC1766" s="2"/>
      <c r="AD1766" t="str">
        <f>IFERROR(__xludf.DUMMYFUNCTION("""COMPUTED_VALUE"""),"Rob Roy ")</f>
        <v>Rob Roy </v>
      </c>
      <c r="AE1766">
        <f t="shared" si="54"/>
        <v>31599861</v>
      </c>
    </row>
    <row r="1767" customHeight="1" spans="1:31">
      <c r="A1767" s="2" t="s">
        <v>1023</v>
      </c>
      <c r="B1767" s="2">
        <v>109</v>
      </c>
      <c r="C1767" s="2">
        <v>66489425</v>
      </c>
      <c r="D1767" s="2" t="s">
        <v>186</v>
      </c>
      <c r="E1767" s="2" t="s">
        <v>12</v>
      </c>
      <c r="F1767" t="s">
        <v>40</v>
      </c>
      <c r="G1767" t="s">
        <v>40</v>
      </c>
      <c r="N1767" s="2" t="s">
        <v>18</v>
      </c>
      <c r="O1767" s="2" t="s">
        <v>19</v>
      </c>
      <c r="P1767" s="2">
        <v>25000000</v>
      </c>
      <c r="Q1767" s="2">
        <v>6.5</v>
      </c>
      <c r="R1767" s="2" t="s">
        <v>4021</v>
      </c>
      <c r="S1767" s="2"/>
      <c r="U1767" s="2" t="s">
        <v>4022</v>
      </c>
      <c r="V1767">
        <f ca="1" t="shared" si="53"/>
        <v>7.1</v>
      </c>
      <c r="AC1767" s="2"/>
      <c r="AD1767" t="str">
        <f>IFERROR(__xludf.DUMMYFUNCTION("""COMPUTED_VALUE"""),"3 Days to Kill ")</f>
        <v>3 Days to Kill </v>
      </c>
      <c r="AE1767">
        <f t="shared" si="54"/>
        <v>30688241</v>
      </c>
    </row>
    <row r="1768" customHeight="1" spans="1:31">
      <c r="A1768" s="2" t="s">
        <v>119</v>
      </c>
      <c r="B1768" s="2">
        <v>97</v>
      </c>
      <c r="C1768" s="2">
        <v>41067398</v>
      </c>
      <c r="D1768" s="2" t="s">
        <v>174</v>
      </c>
      <c r="E1768" s="2" t="s">
        <v>12</v>
      </c>
      <c r="F1768" t="s">
        <v>39</v>
      </c>
      <c r="G1768" t="s">
        <v>14</v>
      </c>
      <c r="N1768" s="2" t="s">
        <v>18</v>
      </c>
      <c r="O1768" s="2" t="s">
        <v>19</v>
      </c>
      <c r="P1768" s="2">
        <v>25000000</v>
      </c>
      <c r="Q1768" s="2">
        <v>6.1</v>
      </c>
      <c r="R1768" s="2" t="s">
        <v>4023</v>
      </c>
      <c r="S1768" s="2"/>
      <c r="U1768" s="2" t="s">
        <v>4024</v>
      </c>
      <c r="V1768">
        <f ca="1" t="shared" si="53"/>
        <v>7.3</v>
      </c>
      <c r="AC1768" s="2"/>
      <c r="AD1768" t="str">
        <f>IFERROR(__xludf.DUMMYFUNCTION("""COMPUTED_VALUE"""),"We Own the Night ")</f>
        <v>We Own the Night </v>
      </c>
      <c r="AE1768">
        <f t="shared" si="54"/>
        <v>28563062</v>
      </c>
    </row>
    <row r="1769" customHeight="1" spans="1:31">
      <c r="A1769" s="2" t="s">
        <v>1620</v>
      </c>
      <c r="B1769" s="2">
        <v>158</v>
      </c>
      <c r="C1769" s="2">
        <v>40218903</v>
      </c>
      <c r="D1769" s="2" t="s">
        <v>30</v>
      </c>
      <c r="E1769" s="2" t="s">
        <v>30</v>
      </c>
      <c r="F1769" t="s">
        <v>28</v>
      </c>
      <c r="G1769" t="s">
        <v>16</v>
      </c>
      <c r="N1769" s="2" t="s">
        <v>18</v>
      </c>
      <c r="O1769" s="2" t="s">
        <v>19</v>
      </c>
      <c r="P1769" s="2">
        <v>25000000</v>
      </c>
      <c r="Q1769" s="2">
        <v>8.1</v>
      </c>
      <c r="R1769" s="2" t="s">
        <v>4025</v>
      </c>
      <c r="S1769" s="2"/>
      <c r="U1769" s="2" t="s">
        <v>4026</v>
      </c>
      <c r="V1769">
        <f ca="1" t="shared" si="53"/>
        <v>6.05</v>
      </c>
      <c r="AC1769" s="2"/>
      <c r="AD1769" t="str">
        <f>IFERROR(__xludf.DUMMYFUNCTION("""COMPUTED_VALUE"""),"Lost Souls ")</f>
        <v>Lost Souls </v>
      </c>
      <c r="AE1769">
        <f t="shared" si="54"/>
        <v>16779539</v>
      </c>
    </row>
    <row r="1770" customHeight="1" spans="1:31">
      <c r="A1770" s="2" t="s">
        <v>2017</v>
      </c>
      <c r="B1770" s="2">
        <v>85</v>
      </c>
      <c r="C1770" s="2">
        <v>39880476</v>
      </c>
      <c r="D1770" s="2" t="s">
        <v>124</v>
      </c>
      <c r="E1770" s="2" t="s">
        <v>13</v>
      </c>
      <c r="F1770" t="s">
        <v>30</v>
      </c>
      <c r="G1770" t="s">
        <v>83</v>
      </c>
      <c r="N1770" s="2" t="s">
        <v>18</v>
      </c>
      <c r="O1770" s="2" t="s">
        <v>19</v>
      </c>
      <c r="P1770" s="2">
        <v>25000000</v>
      </c>
      <c r="Q1770" s="2">
        <v>5.2</v>
      </c>
      <c r="R1770" s="2" t="s">
        <v>4027</v>
      </c>
      <c r="S1770" s="2"/>
      <c r="U1770" s="2" t="s">
        <v>4028</v>
      </c>
      <c r="V1770">
        <f ca="1" t="shared" si="53"/>
        <v>5.6</v>
      </c>
      <c r="AC1770" s="2"/>
      <c r="AD1770" t="str">
        <f>IFERROR(__xludf.DUMMYFUNCTION("""COMPUTED_VALUE"""),"Winged Migration ")</f>
        <v>Winged Migration </v>
      </c>
      <c r="AE1770">
        <f t="shared" si="54"/>
        <v>10762097</v>
      </c>
    </row>
    <row r="1771" customHeight="1" spans="1:31">
      <c r="A1771" s="2" t="s">
        <v>2019</v>
      </c>
      <c r="B1771" s="2">
        <v>80</v>
      </c>
      <c r="C1771" s="2">
        <v>39399750</v>
      </c>
      <c r="D1771" s="2" t="s">
        <v>321</v>
      </c>
      <c r="E1771" s="2" t="s">
        <v>13</v>
      </c>
      <c r="F1771" t="s">
        <v>17</v>
      </c>
      <c r="G1771" t="s">
        <v>17</v>
      </c>
      <c r="N1771" s="2" t="s">
        <v>18</v>
      </c>
      <c r="O1771" s="2" t="s">
        <v>19</v>
      </c>
      <c r="P1771" s="2">
        <v>25000000</v>
      </c>
      <c r="Q1771" s="2">
        <v>5.6</v>
      </c>
      <c r="R1771" s="2" t="s">
        <v>4029</v>
      </c>
      <c r="S1771" s="2"/>
      <c r="U1771" s="2" t="s">
        <v>4030</v>
      </c>
      <c r="V1771">
        <f ca="1" t="shared" si="53"/>
        <v>8.4</v>
      </c>
      <c r="AC1771" s="2"/>
      <c r="AD1771" t="str">
        <f>IFERROR(__xludf.DUMMYFUNCTION("""COMPUTED_VALUE"""),"Just My Luck ")</f>
        <v>Just My Luck </v>
      </c>
      <c r="AE1771">
        <f t="shared" si="54"/>
        <v>17324641</v>
      </c>
    </row>
    <row r="1772" customHeight="1" spans="1:31">
      <c r="A1772" s="2" t="s">
        <v>1952</v>
      </c>
      <c r="B1772" s="2">
        <v>86</v>
      </c>
      <c r="C1772" s="2">
        <v>38230435</v>
      </c>
      <c r="D1772" s="2" t="s">
        <v>811</v>
      </c>
      <c r="E1772" s="2" t="s">
        <v>12</v>
      </c>
      <c r="F1772" t="s">
        <v>56</v>
      </c>
      <c r="G1772" t="s">
        <v>17</v>
      </c>
      <c r="N1772" s="2" t="s">
        <v>18</v>
      </c>
      <c r="O1772" s="2" t="s">
        <v>19</v>
      </c>
      <c r="P1772" s="2">
        <v>25000000</v>
      </c>
      <c r="Q1772" s="2">
        <v>5.8</v>
      </c>
      <c r="R1772" s="2" t="s">
        <v>4031</v>
      </c>
      <c r="S1772" s="2"/>
      <c r="U1772" s="2" t="s">
        <v>4032</v>
      </c>
      <c r="V1772">
        <f ca="1" t="shared" si="53"/>
        <v>7.5</v>
      </c>
      <c r="AC1772" s="2"/>
      <c r="AD1772" t="str">
        <f>IFERROR(__xludf.DUMMYFUNCTION("""COMPUTED_VALUE"""),"Mystery, Alaska ")</f>
        <v>Mystery, Alaska </v>
      </c>
      <c r="AE1772">
        <f t="shared" si="54"/>
        <v>8888024</v>
      </c>
    </row>
    <row r="1773" customHeight="1" spans="1:31">
      <c r="A1773" s="2" t="s">
        <v>1500</v>
      </c>
      <c r="B1773" s="2">
        <v>119</v>
      </c>
      <c r="C1773" s="2">
        <v>39008741</v>
      </c>
      <c r="D1773" s="2" t="s">
        <v>3937</v>
      </c>
      <c r="E1773" s="2" t="s">
        <v>40</v>
      </c>
      <c r="F1773" t="s">
        <v>83</v>
      </c>
      <c r="G1773" t="s">
        <v>17</v>
      </c>
      <c r="N1773" s="2" t="s">
        <v>18</v>
      </c>
      <c r="O1773" s="2" t="s">
        <v>19</v>
      </c>
      <c r="P1773" s="2">
        <v>25000000</v>
      </c>
      <c r="Q1773" s="2">
        <v>6.6</v>
      </c>
      <c r="R1773" s="2" t="s">
        <v>4033</v>
      </c>
      <c r="S1773" s="2"/>
      <c r="U1773" s="2" t="s">
        <v>4034</v>
      </c>
      <c r="V1773">
        <f ca="1" t="shared" si="53"/>
        <v>6.4</v>
      </c>
      <c r="AC1773" s="2"/>
      <c r="AD1773" t="str">
        <f>IFERROR(__xludf.DUMMYFUNCTION("""COMPUTED_VALUE"""),"The Spy Next Door ")</f>
        <v>The Spy Next Door </v>
      </c>
      <c r="AE1773">
        <f t="shared" si="54"/>
        <v>24268734</v>
      </c>
    </row>
    <row r="1774" customHeight="1" spans="1:31">
      <c r="A1774" s="2" t="s">
        <v>2021</v>
      </c>
      <c r="B1774" s="2">
        <v>98</v>
      </c>
      <c r="C1774" s="2">
        <v>36833473</v>
      </c>
      <c r="D1774" s="2" t="s">
        <v>186</v>
      </c>
      <c r="E1774" s="2" t="s">
        <v>12</v>
      </c>
      <c r="F1774" t="s">
        <v>30</v>
      </c>
      <c r="G1774" t="s">
        <v>17</v>
      </c>
      <c r="N1774" s="2" t="s">
        <v>18</v>
      </c>
      <c r="O1774" s="2" t="s">
        <v>707</v>
      </c>
      <c r="P1774" s="2">
        <v>25000000</v>
      </c>
      <c r="Q1774" s="2">
        <v>6.6</v>
      </c>
      <c r="R1774" s="2" t="s">
        <v>4035</v>
      </c>
      <c r="S1774" s="2"/>
      <c r="U1774" s="2" t="s">
        <v>4036</v>
      </c>
      <c r="V1774">
        <f ca="1" t="shared" si="53"/>
        <v>7.5</v>
      </c>
      <c r="AC1774" s="2"/>
      <c r="AD1774" t="str">
        <f>IFERROR(__xludf.DUMMYFUNCTION("""COMPUTED_VALUE"""),"A Simple Wish ")</f>
        <v>A Simple Wish </v>
      </c>
      <c r="AE1774">
        <f t="shared" si="54"/>
        <v>8119116</v>
      </c>
    </row>
    <row r="1775" customHeight="1" spans="1:31">
      <c r="A1775" s="2" t="s">
        <v>2023</v>
      </c>
      <c r="B1775" s="2">
        <v>97</v>
      </c>
      <c r="C1775" s="2">
        <v>48237389</v>
      </c>
      <c r="D1775" s="2" t="s">
        <v>607</v>
      </c>
      <c r="E1775" s="2" t="s">
        <v>40</v>
      </c>
      <c r="F1775" t="s">
        <v>28</v>
      </c>
      <c r="G1775" t="s">
        <v>55</v>
      </c>
      <c r="N1775" s="2" t="s">
        <v>18</v>
      </c>
      <c r="O1775" s="2" t="s">
        <v>19</v>
      </c>
      <c r="P1775" s="2">
        <v>25000000</v>
      </c>
      <c r="Q1775" s="2">
        <v>5.5</v>
      </c>
      <c r="R1775" s="2" t="s">
        <v>4037</v>
      </c>
      <c r="S1775" s="2"/>
      <c r="U1775" s="2" t="s">
        <v>4038</v>
      </c>
      <c r="V1775">
        <f ca="1" t="shared" si="53"/>
        <v>7</v>
      </c>
      <c r="AC1775" s="2"/>
      <c r="AD1775" t="str">
        <f>IFERROR(__xludf.DUMMYFUNCTION("""COMPUTED_VALUE"""),"Ghosts of Mars ")</f>
        <v>Ghosts of Mars </v>
      </c>
      <c r="AE1775">
        <f t="shared" si="54"/>
        <v>8434503</v>
      </c>
    </row>
    <row r="1776" customHeight="1" spans="1:31">
      <c r="A1776" s="2" t="s">
        <v>1891</v>
      </c>
      <c r="B1776" s="2">
        <v>124</v>
      </c>
      <c r="C1776" s="2">
        <v>36447959</v>
      </c>
      <c r="D1776" s="2" t="s">
        <v>592</v>
      </c>
      <c r="E1776" s="2" t="s">
        <v>59</v>
      </c>
      <c r="F1776" t="s">
        <v>30</v>
      </c>
      <c r="G1776" t="s">
        <v>17</v>
      </c>
      <c r="N1776" s="2" t="s">
        <v>18</v>
      </c>
      <c r="O1776" s="2" t="s">
        <v>19</v>
      </c>
      <c r="P1776" s="2">
        <v>25000000</v>
      </c>
      <c r="Q1776" s="2">
        <v>7</v>
      </c>
      <c r="R1776" s="2" t="s">
        <v>4039</v>
      </c>
      <c r="S1776" s="2"/>
      <c r="U1776" s="2" t="s">
        <v>4040</v>
      </c>
      <c r="V1776">
        <f ca="1" t="shared" si="53"/>
        <v>5.5</v>
      </c>
      <c r="AC1776" s="2"/>
      <c r="AD1776" t="str">
        <f>IFERROR(__xludf.DUMMYFUNCTION("""COMPUTED_VALUE"""),"Our Brand Is Crisis ")</f>
        <v>Our Brand Is Crisis </v>
      </c>
      <c r="AE1776">
        <f t="shared" si="54"/>
        <v>6998217</v>
      </c>
    </row>
    <row r="1777" customHeight="1" spans="1:31">
      <c r="A1777" s="2" t="s">
        <v>447</v>
      </c>
      <c r="B1777" s="2">
        <v>97</v>
      </c>
      <c r="C1777" s="2">
        <v>45089048</v>
      </c>
      <c r="D1777" s="2" t="s">
        <v>4041</v>
      </c>
      <c r="E1777" s="2" t="s">
        <v>30</v>
      </c>
      <c r="F1777" t="s">
        <v>17</v>
      </c>
      <c r="G1777" t="s">
        <v>17</v>
      </c>
      <c r="N1777" s="2" t="s">
        <v>18</v>
      </c>
      <c r="O1777" s="2" t="s">
        <v>3434</v>
      </c>
      <c r="P1777" s="2">
        <v>25000000</v>
      </c>
      <c r="Q1777" s="2">
        <v>6.5</v>
      </c>
      <c r="R1777" s="2" t="s">
        <v>4042</v>
      </c>
      <c r="S1777" s="2"/>
      <c r="U1777" s="2" t="s">
        <v>4043</v>
      </c>
      <c r="V1777">
        <f ca="1" t="shared" si="53"/>
        <v>8.3</v>
      </c>
      <c r="AC1777" s="2"/>
      <c r="AD1777" t="str">
        <f>IFERROR(__xludf.DUMMYFUNCTION("""COMPUTED_VALUE"""),"Pride and Prejudice and Zombies ")</f>
        <v>Pride and Prejudice and Zombies </v>
      </c>
      <c r="AE1777">
        <f t="shared" si="54"/>
        <v>10907183</v>
      </c>
    </row>
    <row r="1778" customHeight="1" spans="1:31">
      <c r="A1778" s="2" t="s">
        <v>1565</v>
      </c>
      <c r="B1778" s="2">
        <v>105</v>
      </c>
      <c r="C1778" s="2">
        <v>35990505</v>
      </c>
      <c r="D1778" s="2" t="s">
        <v>3937</v>
      </c>
      <c r="E1778" s="2" t="s">
        <v>40</v>
      </c>
      <c r="F1778" t="s">
        <v>56</v>
      </c>
      <c r="G1778" t="s">
        <v>23</v>
      </c>
      <c r="N1778" s="2" t="s">
        <v>18</v>
      </c>
      <c r="O1778" s="2" t="s">
        <v>19</v>
      </c>
      <c r="P1778" s="2">
        <v>20000000</v>
      </c>
      <c r="Q1778" s="2">
        <v>5.8</v>
      </c>
      <c r="R1778" s="2" t="s">
        <v>4044</v>
      </c>
      <c r="S1778" s="2"/>
      <c r="U1778" s="2" t="s">
        <v>4045</v>
      </c>
      <c r="V1778">
        <f ca="1" t="shared" si="53"/>
        <v>6.5</v>
      </c>
      <c r="AC1778" s="2"/>
      <c r="AD1778" t="str">
        <f>IFERROR(__xludf.DUMMYFUNCTION("""COMPUTED_VALUE"""),"Kundun ")</f>
        <v>Kundun </v>
      </c>
      <c r="AE1778">
        <f t="shared" si="54"/>
        <v>5532167</v>
      </c>
    </row>
    <row r="1779" customHeight="1" spans="1:31">
      <c r="A1779" s="2" t="s">
        <v>2026</v>
      </c>
      <c r="B1779" s="2">
        <v>104</v>
      </c>
      <c r="C1779" s="2">
        <v>35143332</v>
      </c>
      <c r="D1779" s="2" t="s">
        <v>72</v>
      </c>
      <c r="E1779" s="2" t="s">
        <v>72</v>
      </c>
      <c r="F1779" t="s">
        <v>29</v>
      </c>
      <c r="G1779" t="s">
        <v>30</v>
      </c>
      <c r="N1779" s="2" t="s">
        <v>18</v>
      </c>
      <c r="O1779" s="2" t="s">
        <v>19</v>
      </c>
      <c r="P1779" s="2">
        <v>17000000</v>
      </c>
      <c r="Q1779" s="2">
        <v>5.6</v>
      </c>
      <c r="R1779" s="2" t="s">
        <v>4046</v>
      </c>
      <c r="S1779" s="2"/>
      <c r="U1779" s="2" t="s">
        <v>4047</v>
      </c>
      <c r="V1779">
        <f ca="1" t="shared" si="53"/>
        <v>6.5</v>
      </c>
      <c r="AC1779" s="2"/>
      <c r="AD1779" t="str">
        <f>IFERROR(__xludf.DUMMYFUNCTION("""COMPUTED_VALUE"""),"How to Lose Friends &amp; Alienate People ")</f>
        <v>How to Lose Friends &amp; Alienate People </v>
      </c>
      <c r="AE1779">
        <f t="shared" si="54"/>
        <v>2775483</v>
      </c>
    </row>
    <row r="1780" customHeight="1" spans="1:31">
      <c r="A1780" s="2" t="s">
        <v>2028</v>
      </c>
      <c r="B1780" s="2">
        <v>101</v>
      </c>
      <c r="C1780" s="2">
        <v>35000629</v>
      </c>
      <c r="D1780" s="2" t="s">
        <v>607</v>
      </c>
      <c r="E1780" s="2" t="s">
        <v>40</v>
      </c>
      <c r="F1780" t="s">
        <v>40</v>
      </c>
      <c r="G1780" t="s">
        <v>24</v>
      </c>
      <c r="N1780" s="2" t="s">
        <v>18</v>
      </c>
      <c r="O1780" s="2" t="s">
        <v>19</v>
      </c>
      <c r="P1780" s="2">
        <v>25000000</v>
      </c>
      <c r="Q1780" s="2">
        <v>5.6</v>
      </c>
      <c r="R1780" s="2" t="s">
        <v>4048</v>
      </c>
      <c r="S1780" s="2"/>
      <c r="U1780" s="2" t="s">
        <v>4049</v>
      </c>
      <c r="V1780">
        <f ca="1" t="shared" si="53"/>
        <v>7.8</v>
      </c>
      <c r="AC1780" s="2"/>
      <c r="AD1780" t="str">
        <f>IFERROR(__xludf.DUMMYFUNCTION("""COMPUTED_VALUE"""),"Kick-Ass 2 ")</f>
        <v>Kick-Ass 2 </v>
      </c>
      <c r="AE1780">
        <f t="shared" si="54"/>
        <v>28751612</v>
      </c>
    </row>
    <row r="1781" customHeight="1" spans="1:31">
      <c r="A1781" s="2" t="s">
        <v>940</v>
      </c>
      <c r="B1781" s="2">
        <v>101</v>
      </c>
      <c r="C1781" s="2">
        <v>34604054</v>
      </c>
      <c r="D1781" s="2" t="s">
        <v>186</v>
      </c>
      <c r="E1781" s="2" t="s">
        <v>12</v>
      </c>
      <c r="F1781" t="s">
        <v>30</v>
      </c>
      <c r="G1781" t="s">
        <v>30</v>
      </c>
      <c r="N1781" s="2" t="s">
        <v>18</v>
      </c>
      <c r="O1781" s="2" t="s">
        <v>19</v>
      </c>
      <c r="P1781" s="2">
        <v>30000000</v>
      </c>
      <c r="Q1781" s="2">
        <v>5.8</v>
      </c>
      <c r="R1781" s="2" t="s">
        <v>4050</v>
      </c>
      <c r="S1781" s="2"/>
      <c r="U1781" s="2" t="s">
        <v>4051</v>
      </c>
      <c r="V1781">
        <f ca="1" t="shared" si="53"/>
        <v>6.4</v>
      </c>
      <c r="AC1781" s="2"/>
      <c r="AD1781" t="str">
        <f>IFERROR(__xludf.DUMMYFUNCTION("""COMPUTED_VALUE"""),"Brick Mansions ")</f>
        <v>Brick Mansions </v>
      </c>
      <c r="AE1781">
        <f t="shared" si="54"/>
        <v>20285418</v>
      </c>
    </row>
    <row r="1782" customHeight="1" spans="1:31">
      <c r="A1782" s="2" t="s">
        <v>1538</v>
      </c>
      <c r="B1782" s="2">
        <v>114</v>
      </c>
      <c r="C1782" s="2">
        <v>41597830</v>
      </c>
      <c r="D1782" s="2" t="s">
        <v>103</v>
      </c>
      <c r="E1782" s="2" t="s">
        <v>30</v>
      </c>
      <c r="F1782" t="s">
        <v>17</v>
      </c>
      <c r="G1782" t="s">
        <v>28</v>
      </c>
      <c r="N1782" s="2" t="s">
        <v>18</v>
      </c>
      <c r="O1782" s="2" t="s">
        <v>19</v>
      </c>
      <c r="P1782" s="2">
        <v>25000000</v>
      </c>
      <c r="Q1782" s="2">
        <v>7.6</v>
      </c>
      <c r="R1782" s="2" t="s">
        <v>4052</v>
      </c>
      <c r="S1782" s="2"/>
      <c r="U1782" s="2" t="s">
        <v>4053</v>
      </c>
      <c r="V1782">
        <f ca="1" t="shared" si="53"/>
        <v>8.1</v>
      </c>
      <c r="AC1782" s="2"/>
      <c r="AD1782" t="str">
        <f>IFERROR(__xludf.DUMMYFUNCTION("""COMPUTED_VALUE"""),"Octopussy ")</f>
        <v>Octopussy </v>
      </c>
      <c r="AE1782">
        <f t="shared" si="54"/>
        <v>67899869</v>
      </c>
    </row>
    <row r="1783" customHeight="1" spans="1:31">
      <c r="A1783" s="2" t="s">
        <v>1276</v>
      </c>
      <c r="B1783" s="2">
        <v>105</v>
      </c>
      <c r="C1783" s="2">
        <v>33687630</v>
      </c>
      <c r="D1783" s="2" t="s">
        <v>607</v>
      </c>
      <c r="E1783" s="2" t="s">
        <v>40</v>
      </c>
      <c r="F1783" t="s">
        <v>40</v>
      </c>
      <c r="G1783" t="s">
        <v>72</v>
      </c>
      <c r="N1783" s="2" t="s">
        <v>18</v>
      </c>
      <c r="O1783" s="2" t="s">
        <v>19</v>
      </c>
      <c r="P1783" s="2">
        <v>20000000</v>
      </c>
      <c r="Q1783" s="2">
        <v>6.4</v>
      </c>
      <c r="R1783" s="2" t="s">
        <v>4054</v>
      </c>
      <c r="S1783" s="2"/>
      <c r="U1783" s="2" t="s">
        <v>4055</v>
      </c>
      <c r="V1783">
        <f ca="1" t="shared" ref="V1783:V1846" si="55">AVERAGEIF(A1667:A5452,U1783,Q1668:Q5452)</f>
        <v>5.6</v>
      </c>
      <c r="AC1783" s="2"/>
      <c r="AD1783" t="str">
        <f>IFERROR(__xludf.DUMMYFUNCTION("""COMPUTED_VALUE"""),"Knocked Up ")</f>
        <v>Knocked Up </v>
      </c>
      <c r="AE1783">
        <f t="shared" ref="AE1783:AE1846" si="56">C1667-B1667</f>
        <v>148734092</v>
      </c>
    </row>
    <row r="1784" customHeight="1" spans="1:31">
      <c r="A1784" s="2" t="s">
        <v>2030</v>
      </c>
      <c r="B1784" s="2">
        <v>90</v>
      </c>
      <c r="C1784" s="2">
        <v>32553210</v>
      </c>
      <c r="D1784" s="2" t="s">
        <v>1201</v>
      </c>
      <c r="E1784" s="2" t="s">
        <v>40</v>
      </c>
      <c r="F1784" t="s">
        <v>23</v>
      </c>
      <c r="G1784" t="s">
        <v>24</v>
      </c>
      <c r="N1784" s="2" t="s">
        <v>18</v>
      </c>
      <c r="O1784" s="2" t="s">
        <v>31</v>
      </c>
      <c r="P1784" s="2">
        <v>25000000</v>
      </c>
      <c r="Q1784" s="2">
        <v>6.3</v>
      </c>
      <c r="R1784" s="2" t="s">
        <v>4056</v>
      </c>
      <c r="S1784" s="2"/>
      <c r="U1784" s="2" t="s">
        <v>4057</v>
      </c>
      <c r="V1784">
        <f ca="1" t="shared" si="55"/>
        <v>6.6</v>
      </c>
      <c r="AC1784" s="2"/>
      <c r="AD1784" t="str">
        <f>IFERROR(__xludf.DUMMYFUNCTION("""COMPUTED_VALUE"""),"My Sister's Keeper ")</f>
        <v>My Sister's Keeper </v>
      </c>
      <c r="AE1784">
        <f t="shared" si="56"/>
        <v>49185889</v>
      </c>
    </row>
    <row r="1785" customHeight="1" spans="1:31">
      <c r="A1785" s="2" t="s">
        <v>2032</v>
      </c>
      <c r="B1785" s="2">
        <v>97</v>
      </c>
      <c r="C1785" s="2">
        <v>31526393</v>
      </c>
      <c r="D1785" s="2" t="s">
        <v>2386</v>
      </c>
      <c r="E1785" s="2" t="s">
        <v>12</v>
      </c>
      <c r="F1785" t="s">
        <v>39</v>
      </c>
      <c r="G1785" t="s">
        <v>17</v>
      </c>
      <c r="N1785" s="2" t="s">
        <v>18</v>
      </c>
      <c r="O1785" s="2" t="s">
        <v>19</v>
      </c>
      <c r="P1785" s="2">
        <v>25000000</v>
      </c>
      <c r="Q1785" s="2">
        <v>4.6</v>
      </c>
      <c r="R1785" s="2" t="s">
        <v>4058</v>
      </c>
      <c r="S1785" s="2"/>
      <c r="U1785" s="2" t="s">
        <v>4059</v>
      </c>
      <c r="V1785">
        <f ca="1" t="shared" si="55"/>
        <v>7.7</v>
      </c>
      <c r="AC1785" s="2"/>
      <c r="AD1785" t="str">
        <f>IFERROR(__xludf.DUMMYFUNCTION("""COMPUTED_VALUE"""),"Welcome Home, Roscoe Jenkins ")</f>
        <v>Welcome Home, Roscoe Jenkins </v>
      </c>
      <c r="AE1785">
        <f t="shared" si="56"/>
        <v>42168331</v>
      </c>
    </row>
    <row r="1786" customHeight="1" spans="1:31">
      <c r="A1786" s="2" t="s">
        <v>2034</v>
      </c>
      <c r="B1786" s="2">
        <v>144</v>
      </c>
      <c r="C1786" s="2">
        <v>41229</v>
      </c>
      <c r="D1786" s="2" t="s">
        <v>805</v>
      </c>
      <c r="E1786" s="2" t="s">
        <v>56</v>
      </c>
      <c r="F1786" t="s">
        <v>30</v>
      </c>
      <c r="G1786" t="s">
        <v>15</v>
      </c>
      <c r="N1786" s="2" t="s">
        <v>18</v>
      </c>
      <c r="O1786" s="2" t="s">
        <v>707</v>
      </c>
      <c r="P1786" s="2">
        <v>25500000</v>
      </c>
      <c r="Q1786" s="2">
        <v>6.5</v>
      </c>
      <c r="R1786" s="2" t="s">
        <v>4060</v>
      </c>
      <c r="S1786" s="2"/>
      <c r="U1786" s="2" t="s">
        <v>4061</v>
      </c>
      <c r="V1786">
        <f ca="1" t="shared" si="55"/>
        <v>6.5</v>
      </c>
      <c r="AC1786" s="2"/>
      <c r="AD1786" t="str">
        <f>IFERROR(__xludf.DUMMYFUNCTION("""COMPUTED_VALUE"""),"A Passage to India ")</f>
        <v>A Passage to India </v>
      </c>
      <c r="AE1786">
        <f t="shared" si="56"/>
        <v>26399836</v>
      </c>
    </row>
    <row r="1787" customHeight="1" spans="1:31">
      <c r="A1787" s="2" t="s">
        <v>2036</v>
      </c>
      <c r="B1787" s="2">
        <v>114</v>
      </c>
      <c r="C1787" s="2">
        <v>31655091</v>
      </c>
      <c r="D1787" s="2" t="s">
        <v>2565</v>
      </c>
      <c r="E1787" s="2" t="s">
        <v>30</v>
      </c>
      <c r="F1787" t="s">
        <v>17</v>
      </c>
      <c r="G1787" t="s">
        <v>28</v>
      </c>
      <c r="N1787" s="2" t="s">
        <v>18</v>
      </c>
      <c r="O1787" s="2" t="s">
        <v>19</v>
      </c>
      <c r="P1787" s="2">
        <v>30000000</v>
      </c>
      <c r="Q1787" s="2">
        <v>7.5</v>
      </c>
      <c r="R1787" s="2" t="s">
        <v>4062</v>
      </c>
      <c r="S1787" s="2"/>
      <c r="U1787" s="2" t="s">
        <v>4063</v>
      </c>
      <c r="V1787">
        <f ca="1" t="shared" si="55"/>
        <v>5.7</v>
      </c>
      <c r="AC1787" s="2"/>
      <c r="AD1787" t="str">
        <f>IFERROR(__xludf.DUMMYFUNCTION("""COMPUTED_VALUE"""),"Notes on a Scandal ")</f>
        <v>Notes on a Scandal </v>
      </c>
      <c r="AE1787">
        <f t="shared" si="56"/>
        <v>17508578</v>
      </c>
    </row>
    <row r="1788" customHeight="1" spans="1:31">
      <c r="A1788" s="2" t="s">
        <v>1203</v>
      </c>
      <c r="B1788" s="2">
        <v>124</v>
      </c>
      <c r="C1788" s="2">
        <v>30012990</v>
      </c>
      <c r="D1788" s="2" t="s">
        <v>2457</v>
      </c>
      <c r="E1788" s="2" t="s">
        <v>59</v>
      </c>
      <c r="F1788" t="s">
        <v>72</v>
      </c>
      <c r="G1788" t="s">
        <v>14</v>
      </c>
      <c r="N1788" s="2" t="s">
        <v>18</v>
      </c>
      <c r="O1788" s="2" t="s">
        <v>31</v>
      </c>
      <c r="P1788" s="2">
        <v>25000000</v>
      </c>
      <c r="Q1788" s="2">
        <v>7.5</v>
      </c>
      <c r="R1788" s="2" t="s">
        <v>4064</v>
      </c>
      <c r="S1788" s="2"/>
      <c r="U1788" s="2" t="s">
        <v>4065</v>
      </c>
      <c r="V1788">
        <f ca="1" t="shared" si="55"/>
        <v>7.7</v>
      </c>
      <c r="AC1788" s="2"/>
      <c r="AD1788" t="str">
        <f>IFERROR(__xludf.DUMMYFUNCTION("""COMPUTED_VALUE"""),"Rendition ")</f>
        <v>Rendition </v>
      </c>
      <c r="AE1788">
        <f t="shared" si="56"/>
        <v>9664194</v>
      </c>
    </row>
    <row r="1789" customHeight="1" spans="1:31">
      <c r="A1789" s="2" t="s">
        <v>1707</v>
      </c>
      <c r="B1789" s="2">
        <v>89</v>
      </c>
      <c r="C1789" s="2">
        <v>32368960</v>
      </c>
      <c r="D1789" s="2" t="s">
        <v>4066</v>
      </c>
      <c r="E1789" s="2" t="s">
        <v>40</v>
      </c>
      <c r="F1789" t="s">
        <v>30</v>
      </c>
      <c r="G1789" t="s">
        <v>30</v>
      </c>
      <c r="N1789" s="2" t="s">
        <v>18</v>
      </c>
      <c r="O1789" s="2" t="s">
        <v>121</v>
      </c>
      <c r="P1789" s="2">
        <v>25000000</v>
      </c>
      <c r="Q1789" s="2">
        <v>5.3</v>
      </c>
      <c r="R1789" s="2" t="s">
        <v>4067</v>
      </c>
      <c r="S1789" s="2"/>
      <c r="U1789" s="2" t="s">
        <v>4068</v>
      </c>
      <c r="V1789">
        <f ca="1" t="shared" si="55"/>
        <v>7.6</v>
      </c>
      <c r="AC1789" s="2"/>
      <c r="AD1789" t="str">
        <f>IFERROR(__xludf.DUMMYFUNCTION("""COMPUTED_VALUE"""),"Star Trek VI: The Undiscovered Country ")</f>
        <v>Star Trek VI: The Undiscovered Country </v>
      </c>
      <c r="AE1789">
        <f t="shared" si="56"/>
        <v>74888886</v>
      </c>
    </row>
    <row r="1790" customHeight="1" spans="1:31">
      <c r="A1790" s="2" t="s">
        <v>2038</v>
      </c>
      <c r="B1790" s="2">
        <v>160</v>
      </c>
      <c r="C1790" s="2">
        <v>14500000</v>
      </c>
      <c r="D1790" s="2" t="s">
        <v>386</v>
      </c>
      <c r="E1790" s="2" t="s">
        <v>12</v>
      </c>
      <c r="F1790" t="s">
        <v>23</v>
      </c>
      <c r="G1790" t="s">
        <v>72</v>
      </c>
      <c r="N1790" s="2" t="s">
        <v>18</v>
      </c>
      <c r="O1790" s="2" t="s">
        <v>1160</v>
      </c>
      <c r="P1790" s="2">
        <v>25000000</v>
      </c>
      <c r="Q1790" s="2">
        <v>7.5</v>
      </c>
      <c r="R1790" s="2" t="s">
        <v>4069</v>
      </c>
      <c r="S1790" s="2"/>
      <c r="U1790" s="2" t="s">
        <v>4070</v>
      </c>
      <c r="V1790">
        <f ca="1" t="shared" si="55"/>
        <v>6.4</v>
      </c>
      <c r="AC1790" s="2"/>
      <c r="AD1790" t="str">
        <f>IFERROR(__xludf.DUMMYFUNCTION("""COMPUTED_VALUE"""),"Divine Secrets of the Ya-Ya Sisterhood ")</f>
        <v>Divine Secrets of the Ya-Ya Sisterhood </v>
      </c>
      <c r="AE1790">
        <f t="shared" si="56"/>
        <v>69586428</v>
      </c>
    </row>
    <row r="1791" customHeight="1" spans="1:31">
      <c r="A1791" s="2" t="s">
        <v>2040</v>
      </c>
      <c r="B1791" s="2">
        <v>93</v>
      </c>
      <c r="C1791" s="2">
        <v>29247405</v>
      </c>
      <c r="D1791" s="2" t="s">
        <v>4071</v>
      </c>
      <c r="E1791" s="2" t="s">
        <v>40</v>
      </c>
      <c r="F1791" t="s">
        <v>13</v>
      </c>
      <c r="G1791" t="s">
        <v>24</v>
      </c>
      <c r="N1791" s="2" t="s">
        <v>18</v>
      </c>
      <c r="O1791" s="2" t="s">
        <v>31</v>
      </c>
      <c r="P1791" s="2">
        <v>25000000</v>
      </c>
      <c r="Q1791" s="2">
        <v>3.3</v>
      </c>
      <c r="R1791" s="2" t="s">
        <v>4072</v>
      </c>
      <c r="S1791" s="2"/>
      <c r="U1791" s="2" t="s">
        <v>4073</v>
      </c>
      <c r="V1791">
        <f ca="1" t="shared" si="55"/>
        <v>7.35</v>
      </c>
      <c r="AC1791" s="2"/>
      <c r="AD1791" t="str">
        <f>IFERROR(__xludf.DUMMYFUNCTION("""COMPUTED_VALUE"""),"Kiss the Girls ")</f>
        <v>Kiss the Girls </v>
      </c>
      <c r="AE1791">
        <f t="shared" si="56"/>
        <v>60491445</v>
      </c>
    </row>
    <row r="1792" customHeight="1" spans="1:31">
      <c r="A1792" s="2" t="s">
        <v>2042</v>
      </c>
      <c r="B1792" s="2">
        <v>88</v>
      </c>
      <c r="C1792" s="2">
        <v>25615792</v>
      </c>
      <c r="D1792" s="2" t="s">
        <v>4074</v>
      </c>
      <c r="E1792" s="2" t="s">
        <v>12</v>
      </c>
      <c r="F1792" t="s">
        <v>17</v>
      </c>
      <c r="G1792" t="s">
        <v>30</v>
      </c>
      <c r="N1792" s="2" t="s">
        <v>18</v>
      </c>
      <c r="O1792" s="2" t="s">
        <v>19</v>
      </c>
      <c r="P1792" s="2">
        <v>25000000</v>
      </c>
      <c r="Q1792" s="2">
        <v>3.5</v>
      </c>
      <c r="R1792" s="2" t="s">
        <v>4075</v>
      </c>
      <c r="S1792" s="2"/>
      <c r="U1792" s="2" t="s">
        <v>4076</v>
      </c>
      <c r="V1792">
        <f ca="1" t="shared" si="55"/>
        <v>6.8</v>
      </c>
      <c r="AC1792" s="2"/>
      <c r="AD1792" t="str">
        <f>IFERROR(__xludf.DUMMYFUNCTION("""COMPUTED_VALUE"""),"The Blues Brothers ")</f>
        <v>The Blues Brothers </v>
      </c>
      <c r="AE1792">
        <f t="shared" si="56"/>
        <v>54199852</v>
      </c>
    </row>
    <row r="1793" customHeight="1" spans="1:31">
      <c r="A1793" s="2" t="s">
        <v>919</v>
      </c>
      <c r="B1793" s="2">
        <v>142</v>
      </c>
      <c r="C1793" s="2">
        <v>28341469</v>
      </c>
      <c r="D1793" s="2" t="s">
        <v>718</v>
      </c>
      <c r="E1793" s="2" t="s">
        <v>56</v>
      </c>
      <c r="F1793" t="s">
        <v>56</v>
      </c>
      <c r="G1793" t="s">
        <v>28</v>
      </c>
      <c r="N1793" s="2" t="s">
        <v>18</v>
      </c>
      <c r="O1793" s="2" t="s">
        <v>19</v>
      </c>
      <c r="P1793" s="2">
        <v>25000000</v>
      </c>
      <c r="Q1793" s="2">
        <v>9.3</v>
      </c>
      <c r="R1793" s="2" t="s">
        <v>4077</v>
      </c>
      <c r="S1793" s="2"/>
      <c r="U1793" s="2" t="s">
        <v>4078</v>
      </c>
      <c r="V1793">
        <f ca="1" t="shared" si="55"/>
        <v>6.5</v>
      </c>
      <c r="AC1793" s="2"/>
      <c r="AD1793" t="str">
        <f>IFERROR(__xludf.DUMMYFUNCTION("""COMPUTED_VALUE"""),"Joyful Noise ")</f>
        <v>Joyful Noise </v>
      </c>
      <c r="AE1793">
        <f t="shared" si="56"/>
        <v>30920049</v>
      </c>
    </row>
    <row r="1794" customHeight="1" spans="1:31">
      <c r="A1794" s="2" t="s">
        <v>1429</v>
      </c>
      <c r="B1794" s="2">
        <v>92</v>
      </c>
      <c r="C1794" s="2">
        <v>25590119</v>
      </c>
      <c r="D1794" s="2" t="s">
        <v>4079</v>
      </c>
      <c r="E1794" s="2" t="s">
        <v>13</v>
      </c>
      <c r="F1794" t="s">
        <v>35</v>
      </c>
      <c r="G1794" t="s">
        <v>24</v>
      </c>
      <c r="N1794" s="2" t="s">
        <v>18</v>
      </c>
      <c r="O1794" s="2" t="s">
        <v>159</v>
      </c>
      <c r="P1794" s="2">
        <v>21150000</v>
      </c>
      <c r="Q1794" s="2">
        <v>4.8</v>
      </c>
      <c r="R1794" s="2" t="s">
        <v>4080</v>
      </c>
      <c r="S1794" s="2"/>
      <c r="U1794" s="2" t="s">
        <v>4081</v>
      </c>
      <c r="V1794">
        <f ca="1" t="shared" si="55"/>
        <v>6.35</v>
      </c>
      <c r="AC1794" s="2"/>
      <c r="AD1794" t="str">
        <f>IFERROR(__xludf.DUMMYFUNCTION("""COMPUTED_VALUE"""),"About a Boy ")</f>
        <v>About a Boy </v>
      </c>
      <c r="AE1794">
        <f t="shared" si="56"/>
        <v>40566554</v>
      </c>
    </row>
    <row r="1795" customHeight="1" spans="1:31">
      <c r="A1795" s="2" t="s">
        <v>956</v>
      </c>
      <c r="B1795" s="2">
        <v>117</v>
      </c>
      <c r="C1795" s="2">
        <v>24944213</v>
      </c>
      <c r="D1795" s="2" t="s">
        <v>1581</v>
      </c>
      <c r="E1795" s="2" t="s">
        <v>40</v>
      </c>
      <c r="F1795" t="s">
        <v>40</v>
      </c>
      <c r="G1795" t="s">
        <v>30</v>
      </c>
      <c r="N1795" s="2" t="s">
        <v>18</v>
      </c>
      <c r="O1795" s="2" t="s">
        <v>19</v>
      </c>
      <c r="P1795" s="2">
        <v>27000000</v>
      </c>
      <c r="Q1795" s="2">
        <v>6.9</v>
      </c>
      <c r="R1795" s="2" t="s">
        <v>4082</v>
      </c>
      <c r="S1795" s="2"/>
      <c r="U1795" s="2" t="s">
        <v>4083</v>
      </c>
      <c r="V1795">
        <f ca="1" t="shared" si="55"/>
        <v>6.5</v>
      </c>
      <c r="AC1795" s="2"/>
      <c r="AD1795" t="str">
        <f>IFERROR(__xludf.DUMMYFUNCTION("""COMPUTED_VALUE"""),"Lake Placid ")</f>
        <v>Lake Placid </v>
      </c>
      <c r="AE1795">
        <f t="shared" si="56"/>
        <v>31768292</v>
      </c>
    </row>
    <row r="1796" customHeight="1" spans="1:31">
      <c r="A1796" s="2" t="s">
        <v>697</v>
      </c>
      <c r="B1796" s="2">
        <v>111</v>
      </c>
      <c r="C1796" s="2">
        <v>33631221</v>
      </c>
      <c r="D1796" s="2" t="s">
        <v>805</v>
      </c>
      <c r="E1796" s="2" t="s">
        <v>56</v>
      </c>
      <c r="F1796" t="s">
        <v>39</v>
      </c>
      <c r="G1796" t="s">
        <v>14</v>
      </c>
      <c r="N1796" s="2" t="s">
        <v>18</v>
      </c>
      <c r="O1796" s="2" t="s">
        <v>19</v>
      </c>
      <c r="P1796" s="2">
        <v>25000000</v>
      </c>
      <c r="Q1796" s="2">
        <v>6</v>
      </c>
      <c r="R1796" s="2" t="s">
        <v>4084</v>
      </c>
      <c r="S1796" s="2"/>
      <c r="U1796" s="2" t="s">
        <v>4085</v>
      </c>
      <c r="V1796">
        <f ca="1" t="shared" si="55"/>
        <v>5.3</v>
      </c>
      <c r="AC1796" s="2"/>
      <c r="AD1796" t="str">
        <f>IFERROR(__xludf.DUMMYFUNCTION("""COMPUTED_VALUE"""),"Lucky Number Slevin ")</f>
        <v>Lucky Number Slevin </v>
      </c>
      <c r="AE1796">
        <f t="shared" si="56"/>
        <v>22494377</v>
      </c>
    </row>
    <row r="1797" customHeight="1" spans="1:31">
      <c r="A1797" s="2" t="s">
        <v>2044</v>
      </c>
      <c r="B1797" s="2">
        <v>121</v>
      </c>
      <c r="C1797" s="2">
        <v>37738400</v>
      </c>
      <c r="D1797" s="2" t="s">
        <v>30</v>
      </c>
      <c r="E1797" s="2" t="s">
        <v>30</v>
      </c>
      <c r="F1797" t="s">
        <v>13</v>
      </c>
      <c r="G1797" t="s">
        <v>17</v>
      </c>
      <c r="N1797" s="2" t="s">
        <v>18</v>
      </c>
      <c r="O1797" s="2" t="s">
        <v>19</v>
      </c>
      <c r="P1797" s="2">
        <v>25000000</v>
      </c>
      <c r="Q1797" s="2">
        <v>7.3</v>
      </c>
      <c r="R1797" s="2" t="s">
        <v>4086</v>
      </c>
      <c r="S1797" s="2"/>
      <c r="U1797" s="2" t="s">
        <v>4087</v>
      </c>
      <c r="V1797">
        <f ca="1" t="shared" si="55"/>
        <v>6.6</v>
      </c>
      <c r="AC1797" s="2"/>
      <c r="AD1797" t="str">
        <f>IFERROR(__xludf.DUMMYFUNCTION("""COMPUTED_VALUE"""),"The Right Stuff ")</f>
        <v>The Right Stuff </v>
      </c>
      <c r="AE1797">
        <f t="shared" si="56"/>
        <v>21499807</v>
      </c>
    </row>
    <row r="1798" customHeight="1" spans="1:31">
      <c r="A1798" s="2" t="s">
        <v>2046</v>
      </c>
      <c r="B1798" s="2">
        <v>107</v>
      </c>
      <c r="C1798" s="2">
        <v>21835784</v>
      </c>
      <c r="D1798" s="2" t="s">
        <v>521</v>
      </c>
      <c r="E1798" s="2" t="s">
        <v>40</v>
      </c>
      <c r="F1798" t="s">
        <v>40</v>
      </c>
      <c r="G1798" t="s">
        <v>83</v>
      </c>
      <c r="N1798" s="2" t="s">
        <v>18</v>
      </c>
      <c r="O1798" s="2" t="s">
        <v>19</v>
      </c>
      <c r="P1798" s="2">
        <v>30000000</v>
      </c>
      <c r="Q1798" s="2">
        <v>6.6</v>
      </c>
      <c r="R1798" s="2" t="s">
        <v>4088</v>
      </c>
      <c r="S1798" s="2"/>
      <c r="U1798" s="2" t="s">
        <v>4089</v>
      </c>
      <c r="V1798">
        <f ca="1" t="shared" si="55"/>
        <v>8.7</v>
      </c>
      <c r="AC1798" s="2"/>
      <c r="AD1798" t="str">
        <f>IFERROR(__xludf.DUMMYFUNCTION("""COMPUTED_VALUE"""),"Anonymous ")</f>
        <v>Anonymous </v>
      </c>
      <c r="AE1798">
        <f t="shared" si="56"/>
        <v>4463162</v>
      </c>
    </row>
    <row r="1799" customHeight="1" spans="1:31">
      <c r="A1799" s="2" t="s">
        <v>2048</v>
      </c>
      <c r="B1799" s="2">
        <v>106</v>
      </c>
      <c r="C1799" s="2">
        <v>15785632</v>
      </c>
      <c r="D1799" s="2" t="s">
        <v>4090</v>
      </c>
      <c r="E1799" s="2" t="s">
        <v>59</v>
      </c>
      <c r="F1799" t="s">
        <v>56</v>
      </c>
      <c r="G1799" t="s">
        <v>24</v>
      </c>
      <c r="N1799" s="2" t="s">
        <v>18</v>
      </c>
      <c r="O1799" s="2" t="s">
        <v>31</v>
      </c>
      <c r="P1799" s="2">
        <v>23000000</v>
      </c>
      <c r="Q1799" s="2">
        <v>7.5</v>
      </c>
      <c r="R1799" s="2" t="s">
        <v>4091</v>
      </c>
      <c r="S1799" s="2"/>
      <c r="U1799" s="2" t="s">
        <v>4092</v>
      </c>
      <c r="V1799">
        <f ca="1" t="shared" si="55"/>
        <v>6.2</v>
      </c>
      <c r="AC1799" s="2"/>
      <c r="AD1799" t="str">
        <f>IFERROR(__xludf.DUMMYFUNCTION("""COMPUTED_VALUE"""),"Dark City ")</f>
        <v>Dark City </v>
      </c>
      <c r="AE1799">
        <f t="shared" si="56"/>
        <v>14337468</v>
      </c>
    </row>
    <row r="1800" customHeight="1" spans="1:31">
      <c r="A1800" s="2" t="s">
        <v>1259</v>
      </c>
      <c r="B1800" s="2">
        <v>136</v>
      </c>
      <c r="C1800" s="2">
        <v>21554585</v>
      </c>
      <c r="D1800" s="2" t="s">
        <v>1527</v>
      </c>
      <c r="E1800" s="2" t="s">
        <v>30</v>
      </c>
      <c r="F1800" t="s">
        <v>24</v>
      </c>
      <c r="G1800" t="s">
        <v>40</v>
      </c>
      <c r="N1800" s="2" t="s">
        <v>18</v>
      </c>
      <c r="O1800" s="2" t="s">
        <v>19</v>
      </c>
      <c r="P1800" s="2">
        <v>25000000</v>
      </c>
      <c r="Q1800" s="2">
        <v>6.9</v>
      </c>
      <c r="R1800" s="2" t="s">
        <v>4093</v>
      </c>
      <c r="S1800" s="2"/>
      <c r="U1800" s="2" t="s">
        <v>4094</v>
      </c>
      <c r="V1800">
        <f ca="1" t="shared" si="55"/>
        <v>5.7</v>
      </c>
      <c r="AC1800" s="2"/>
      <c r="AD1800" t="str">
        <f>IFERROR(__xludf.DUMMYFUNCTION("""COMPUTED_VALUE"""),"The Duchess ")</f>
        <v>The Duchess </v>
      </c>
      <c r="AE1800">
        <f t="shared" si="56"/>
        <v>13823631</v>
      </c>
    </row>
    <row r="1801" customHeight="1" spans="1:31">
      <c r="A1801" s="2" t="s">
        <v>2050</v>
      </c>
      <c r="B1801" s="2">
        <v>97</v>
      </c>
      <c r="C1801" s="2">
        <v>22200000</v>
      </c>
      <c r="D1801" s="2" t="s">
        <v>521</v>
      </c>
      <c r="E1801" s="2" t="s">
        <v>40</v>
      </c>
      <c r="F1801" t="s">
        <v>15</v>
      </c>
      <c r="G1801" t="s">
        <v>29</v>
      </c>
      <c r="N1801" s="2" t="s">
        <v>18</v>
      </c>
      <c r="O1801" s="2" t="s">
        <v>19</v>
      </c>
      <c r="P1801" s="2">
        <v>25000000</v>
      </c>
      <c r="Q1801" s="2">
        <v>6.8</v>
      </c>
      <c r="R1801" s="2" t="s">
        <v>4095</v>
      </c>
      <c r="S1801" s="2"/>
      <c r="U1801" s="2" t="s">
        <v>4096</v>
      </c>
      <c r="V1801">
        <f ca="1" t="shared" si="55"/>
        <v>6.4</v>
      </c>
      <c r="AC1801" s="2"/>
      <c r="AD1801" t="str">
        <f>IFERROR(__xludf.DUMMYFUNCTION("""COMPUTED_VALUE"""),"The Newton Boys ")</f>
        <v>The Newton Boys </v>
      </c>
      <c r="AE1801">
        <f t="shared" si="56"/>
        <v>10297774</v>
      </c>
    </row>
    <row r="1802" customHeight="1" spans="1:31">
      <c r="A1802" s="2" t="s">
        <v>1698</v>
      </c>
      <c r="B1802" s="2">
        <v>108</v>
      </c>
      <c r="C1802" s="2">
        <v>80014842</v>
      </c>
      <c r="D1802" s="2" t="s">
        <v>3062</v>
      </c>
      <c r="E1802" s="2" t="s">
        <v>30</v>
      </c>
      <c r="F1802" t="s">
        <v>17</v>
      </c>
      <c r="G1802" t="s">
        <v>23</v>
      </c>
      <c r="N1802" s="2" t="s">
        <v>18</v>
      </c>
      <c r="O1802" s="2" t="s">
        <v>19</v>
      </c>
      <c r="P1802" s="2">
        <v>25000000</v>
      </c>
      <c r="Q1802" s="2">
        <v>6.3</v>
      </c>
      <c r="R1802" s="2" t="s">
        <v>4097</v>
      </c>
      <c r="S1802" s="2"/>
      <c r="U1802" s="2" t="s">
        <v>4098</v>
      </c>
      <c r="V1802">
        <f ca="1" t="shared" si="55"/>
        <v>6.5</v>
      </c>
      <c r="AC1802" s="2"/>
      <c r="AD1802" t="str">
        <f>IFERROR(__xludf.DUMMYFUNCTION("""COMPUTED_VALUE"""),"Case 39 ")</f>
        <v>Case 39 </v>
      </c>
      <c r="AE1802">
        <f t="shared" si="56"/>
        <v>13248368</v>
      </c>
    </row>
    <row r="1803" customHeight="1" spans="1:31">
      <c r="A1803" s="2" t="s">
        <v>2053</v>
      </c>
      <c r="B1803" s="2">
        <v>97</v>
      </c>
      <c r="C1803" s="2">
        <v>23527955</v>
      </c>
      <c r="D1803" s="2" t="s">
        <v>915</v>
      </c>
      <c r="E1803" s="2" t="s">
        <v>12</v>
      </c>
      <c r="F1803" t="s">
        <v>17</v>
      </c>
      <c r="G1803" t="s">
        <v>17</v>
      </c>
      <c r="N1803" s="2" t="s">
        <v>18</v>
      </c>
      <c r="O1803" s="2" t="s">
        <v>19</v>
      </c>
      <c r="P1803" s="2">
        <v>25000000</v>
      </c>
      <c r="Q1803" s="2">
        <v>6.4</v>
      </c>
      <c r="R1803" s="2" t="s">
        <v>4099</v>
      </c>
      <c r="S1803" s="2"/>
      <c r="U1803" s="2" t="s">
        <v>4100</v>
      </c>
      <c r="V1803">
        <f ca="1" t="shared" si="55"/>
        <v>4.6</v>
      </c>
      <c r="AC1803" s="2"/>
      <c r="AD1803" t="str">
        <f>IFERROR(__xludf.DUMMYFUNCTION("""COMPUTED_VALUE"""),"Suspect Zero ")</f>
        <v>Suspect Zero </v>
      </c>
      <c r="AE1803">
        <f t="shared" si="56"/>
        <v>8712465</v>
      </c>
    </row>
    <row r="1804" customHeight="1" spans="1:31">
      <c r="A1804" s="2" t="s">
        <v>2055</v>
      </c>
      <c r="B1804" s="2">
        <v>99</v>
      </c>
      <c r="C1804" s="2">
        <v>24042490</v>
      </c>
      <c r="D1804" s="2" t="s">
        <v>4101</v>
      </c>
      <c r="E1804" s="2" t="s">
        <v>14</v>
      </c>
      <c r="F1804" t="s">
        <v>24</v>
      </c>
      <c r="G1804" t="s">
        <v>15</v>
      </c>
      <c r="N1804" s="2" t="s">
        <v>18</v>
      </c>
      <c r="O1804" s="2" t="s">
        <v>19</v>
      </c>
      <c r="P1804" s="2">
        <v>25000000</v>
      </c>
      <c r="Q1804" s="2">
        <v>5.6</v>
      </c>
      <c r="R1804" s="2" t="s">
        <v>4102</v>
      </c>
      <c r="S1804" s="2"/>
      <c r="U1804" s="2" t="s">
        <v>4103</v>
      </c>
      <c r="V1804">
        <f ca="1" t="shared" si="55"/>
        <v>6.8</v>
      </c>
      <c r="AC1804" s="2"/>
      <c r="AD1804" t="str">
        <f>IFERROR(__xludf.DUMMYFUNCTION("""COMPUTED_VALUE"""),"Martian Child ")</f>
        <v>Martian Child </v>
      </c>
      <c r="AE1804">
        <f t="shared" si="56"/>
        <v>7486800</v>
      </c>
    </row>
    <row r="1805" customHeight="1" spans="1:31">
      <c r="A1805" s="2" t="s">
        <v>2057</v>
      </c>
      <c r="B1805" s="2">
        <v>103</v>
      </c>
      <c r="C1805" s="2">
        <v>22466994</v>
      </c>
      <c r="D1805" s="2" t="s">
        <v>150</v>
      </c>
      <c r="E1805" s="2" t="s">
        <v>12</v>
      </c>
      <c r="F1805" t="s">
        <v>23</v>
      </c>
      <c r="G1805" t="s">
        <v>24</v>
      </c>
      <c r="N1805" s="2" t="s">
        <v>18</v>
      </c>
      <c r="O1805" s="2" t="s">
        <v>19</v>
      </c>
      <c r="P1805" s="2">
        <v>25000000</v>
      </c>
      <c r="Q1805" s="2">
        <v>6.3</v>
      </c>
      <c r="R1805" s="2" t="s">
        <v>4104</v>
      </c>
      <c r="S1805" s="2"/>
      <c r="U1805" s="2" t="s">
        <v>4105</v>
      </c>
      <c r="V1805">
        <f ca="1" t="shared" si="55"/>
        <v>5.9</v>
      </c>
      <c r="AC1805" s="2"/>
      <c r="AD1805" t="str">
        <f>IFERROR(__xludf.DUMMYFUNCTION("""COMPUTED_VALUE"""),"Spy Kids: All the Time in the World in 4D ")</f>
        <v>Spy Kids: All the Time in the World in 4D </v>
      </c>
      <c r="AE1805">
        <f t="shared" si="56"/>
        <v>38536287</v>
      </c>
    </row>
    <row r="1806" customHeight="1" spans="1:31">
      <c r="A1806" s="2" t="s">
        <v>1620</v>
      </c>
      <c r="B1806" s="2">
        <v>95</v>
      </c>
      <c r="C1806" s="2">
        <v>17791031</v>
      </c>
      <c r="D1806" s="2" t="s">
        <v>4106</v>
      </c>
      <c r="E1806" s="2" t="s">
        <v>40</v>
      </c>
      <c r="F1806" t="s">
        <v>30</v>
      </c>
      <c r="G1806" t="s">
        <v>55</v>
      </c>
      <c r="N1806" s="2" t="s">
        <v>18</v>
      </c>
      <c r="O1806" s="2" t="s">
        <v>19</v>
      </c>
      <c r="P1806" s="2">
        <v>25000000</v>
      </c>
      <c r="Q1806" s="2">
        <v>7.3</v>
      </c>
      <c r="R1806" s="2" t="s">
        <v>4107</v>
      </c>
      <c r="S1806" s="2"/>
      <c r="U1806" s="2" t="s">
        <v>4108</v>
      </c>
      <c r="V1806">
        <f ca="1" t="shared" si="55"/>
        <v>7.7</v>
      </c>
      <c r="AC1806" s="2"/>
      <c r="AD1806" t="str">
        <f>IFERROR(__xludf.DUMMYFUNCTION("""COMPUTED_VALUE"""),"Money Monster ")</f>
        <v>Money Monster </v>
      </c>
      <c r="AE1806">
        <f t="shared" si="56"/>
        <v>41008434</v>
      </c>
    </row>
    <row r="1807" customHeight="1" spans="1:31">
      <c r="A1807" s="2" t="s">
        <v>2059</v>
      </c>
      <c r="B1807" s="2">
        <v>93</v>
      </c>
      <c r="C1807" s="2">
        <v>17718223</v>
      </c>
      <c r="D1807" s="2" t="s">
        <v>40</v>
      </c>
      <c r="E1807" s="2" t="s">
        <v>40</v>
      </c>
      <c r="F1807" t="s">
        <v>56</v>
      </c>
      <c r="G1807" t="s">
        <v>40</v>
      </c>
      <c r="N1807" s="2" t="s">
        <v>18</v>
      </c>
      <c r="O1807" s="2" t="s">
        <v>19</v>
      </c>
      <c r="P1807" s="2">
        <v>25000000</v>
      </c>
      <c r="Q1807" s="2">
        <v>6.6</v>
      </c>
      <c r="R1807" s="2" t="s">
        <v>4109</v>
      </c>
      <c r="S1807" s="2"/>
      <c r="U1807" s="2" t="s">
        <v>4110</v>
      </c>
      <c r="V1807">
        <f ca="1" t="shared" si="55"/>
        <v>6.2</v>
      </c>
      <c r="AC1807" s="2"/>
      <c r="AD1807" t="str">
        <f>IFERROR(__xludf.DUMMYFUNCTION("""COMPUTED_VALUE"""),"Formula 51 ")</f>
        <v>Formula 51 </v>
      </c>
      <c r="AE1807">
        <f t="shared" si="56"/>
        <v>5203914</v>
      </c>
    </row>
    <row r="1808" customHeight="1" spans="1:31">
      <c r="A1808" s="2" t="s">
        <v>2061</v>
      </c>
      <c r="B1808" s="2">
        <v>98</v>
      </c>
      <c r="C1808" s="2">
        <v>15361537</v>
      </c>
      <c r="D1808" s="2" t="s">
        <v>150</v>
      </c>
      <c r="E1808" s="2" t="s">
        <v>12</v>
      </c>
      <c r="F1808" t="s">
        <v>24</v>
      </c>
      <c r="G1808" t="s">
        <v>56</v>
      </c>
      <c r="N1808" s="2" t="s">
        <v>18</v>
      </c>
      <c r="O1808" s="2" t="s">
        <v>293</v>
      </c>
      <c r="P1808" s="2">
        <v>13000000</v>
      </c>
      <c r="Q1808" s="2">
        <v>4.6</v>
      </c>
      <c r="R1808" s="2" t="s">
        <v>4111</v>
      </c>
      <c r="S1808" s="2"/>
      <c r="U1808" s="2" t="s">
        <v>4112</v>
      </c>
      <c r="V1808">
        <f ca="1" t="shared" si="55"/>
        <v>7.7</v>
      </c>
      <c r="AC1808" s="2"/>
      <c r="AD1808" t="str">
        <f>IFERROR(__xludf.DUMMYFUNCTION("""COMPUTED_VALUE"""),"Flawless ")</f>
        <v>Flawless </v>
      </c>
      <c r="AE1808">
        <f t="shared" si="56"/>
        <v>4485373</v>
      </c>
    </row>
    <row r="1809" customHeight="1" spans="1:31">
      <c r="A1809" s="2" t="s">
        <v>369</v>
      </c>
      <c r="B1809" s="2">
        <v>90</v>
      </c>
      <c r="C1809" s="2">
        <v>16647384</v>
      </c>
      <c r="D1809" s="2" t="s">
        <v>4113</v>
      </c>
      <c r="E1809" s="2" t="s">
        <v>13</v>
      </c>
      <c r="F1809" t="s">
        <v>72</v>
      </c>
      <c r="G1809" t="s">
        <v>72</v>
      </c>
      <c r="N1809" s="2" t="s">
        <v>18</v>
      </c>
      <c r="O1809" s="2" t="s">
        <v>19</v>
      </c>
      <c r="P1809" s="2">
        <v>26000000</v>
      </c>
      <c r="Q1809" s="2">
        <v>5.1</v>
      </c>
      <c r="R1809" s="2" t="s">
        <v>4114</v>
      </c>
      <c r="S1809" s="2"/>
      <c r="U1809" s="2" t="s">
        <v>4115</v>
      </c>
      <c r="V1809">
        <f ca="1" t="shared" si="55"/>
        <v>7.5</v>
      </c>
      <c r="AC1809" s="2"/>
      <c r="AD1809" t="str">
        <f>IFERROR(__xludf.DUMMYFUNCTION("""COMPUTED_VALUE"""),"Mindhunters ")</f>
        <v>Mindhunters </v>
      </c>
      <c r="AE1809">
        <f t="shared" si="56"/>
        <v>4476134</v>
      </c>
    </row>
    <row r="1810" customHeight="1" spans="1:31">
      <c r="A1810" s="2" t="s">
        <v>2064</v>
      </c>
      <c r="B1810" s="2">
        <v>107</v>
      </c>
      <c r="C1810" s="2">
        <v>16118077</v>
      </c>
      <c r="D1810" s="2" t="s">
        <v>30</v>
      </c>
      <c r="E1810" s="2" t="s">
        <v>30</v>
      </c>
      <c r="F1810" t="s">
        <v>40</v>
      </c>
      <c r="G1810" t="s">
        <v>24</v>
      </c>
      <c r="N1810" s="2" t="s">
        <v>18</v>
      </c>
      <c r="O1810" s="2" t="s">
        <v>19</v>
      </c>
      <c r="P1810" s="2">
        <v>25000000</v>
      </c>
      <c r="Q1810" s="2">
        <v>5.6</v>
      </c>
      <c r="R1810" s="2" t="s">
        <v>4116</v>
      </c>
      <c r="S1810" s="2"/>
      <c r="U1810" s="2" t="s">
        <v>4117</v>
      </c>
      <c r="V1810">
        <f ca="1" t="shared" si="55"/>
        <v>7.6</v>
      </c>
      <c r="AC1810" s="2"/>
      <c r="AD1810" t="str">
        <f>IFERROR(__xludf.DUMMYFUNCTION("""COMPUTED_VALUE"""),"What Just Happened ")</f>
        <v>What Just Happened </v>
      </c>
      <c r="AE1810">
        <f t="shared" si="56"/>
        <v>1089261</v>
      </c>
    </row>
    <row r="1811" customHeight="1" spans="1:31">
      <c r="A1811" s="2" t="s">
        <v>2066</v>
      </c>
      <c r="B1811" s="2">
        <v>90</v>
      </c>
      <c r="C1811" s="2">
        <v>15091542</v>
      </c>
      <c r="D1811" s="2" t="s">
        <v>4118</v>
      </c>
      <c r="E1811" s="2" t="s">
        <v>13</v>
      </c>
      <c r="F1811" t="s">
        <v>17</v>
      </c>
      <c r="G1811" t="s">
        <v>24</v>
      </c>
      <c r="N1811" s="2" t="s">
        <v>4119</v>
      </c>
      <c r="O1811" s="2" t="s">
        <v>31</v>
      </c>
      <c r="P1811" s="2">
        <v>25000000</v>
      </c>
      <c r="Q1811" s="2">
        <v>5.3</v>
      </c>
      <c r="R1811" s="2" t="s">
        <v>4120</v>
      </c>
      <c r="S1811" s="2"/>
      <c r="U1811" s="2" t="s">
        <v>4121</v>
      </c>
      <c r="V1811">
        <f ca="1" t="shared" si="55"/>
        <v>6.9</v>
      </c>
      <c r="AC1811" s="2"/>
      <c r="AD1811" t="str">
        <f>IFERROR(__xludf.DUMMYFUNCTION("""COMPUTED_VALUE"""),"The Statement ")</f>
        <v>The Statement </v>
      </c>
      <c r="AE1811">
        <f t="shared" si="56"/>
        <v>762924</v>
      </c>
    </row>
    <row r="1812" customHeight="1" spans="1:31">
      <c r="A1812" s="2" t="s">
        <v>2068</v>
      </c>
      <c r="B1812" s="2">
        <v>115</v>
      </c>
      <c r="C1812" s="2">
        <v>15045676</v>
      </c>
      <c r="D1812" s="2" t="s">
        <v>1333</v>
      </c>
      <c r="E1812" s="2" t="s">
        <v>30</v>
      </c>
      <c r="F1812" t="s">
        <v>56</v>
      </c>
      <c r="G1812" t="s">
        <v>29</v>
      </c>
      <c r="N1812" s="2" t="s">
        <v>18</v>
      </c>
      <c r="O1812" s="2" t="s">
        <v>19</v>
      </c>
      <c r="P1812" s="2">
        <v>16000000</v>
      </c>
      <c r="Q1812" s="2">
        <v>5.6</v>
      </c>
      <c r="R1812" s="2" t="s">
        <v>4122</v>
      </c>
      <c r="S1812" s="2"/>
      <c r="U1812" s="2" t="s">
        <v>4123</v>
      </c>
      <c r="V1812">
        <f ca="1" t="shared" si="55"/>
        <v>8.3</v>
      </c>
      <c r="AC1812" s="2"/>
      <c r="AD1812" t="str">
        <f>IFERROR(__xludf.DUMMYFUNCTION("""COMPUTED_VALUE"""),"Paul Blart: Mall Cop ")</f>
        <v>Paul Blart: Mall Cop </v>
      </c>
      <c r="AE1812">
        <f t="shared" si="56"/>
        <v>20819038</v>
      </c>
    </row>
    <row r="1813" customHeight="1" spans="1:31">
      <c r="A1813" s="2" t="s">
        <v>2071</v>
      </c>
      <c r="B1813" s="2">
        <v>93</v>
      </c>
      <c r="C1813" s="2">
        <v>17427926</v>
      </c>
      <c r="D1813" s="2" t="s">
        <v>72</v>
      </c>
      <c r="E1813" s="2" t="s">
        <v>72</v>
      </c>
      <c r="F1813" t="s">
        <v>30</v>
      </c>
      <c r="G1813" t="s">
        <v>15</v>
      </c>
      <c r="N1813" s="2" t="s">
        <v>18</v>
      </c>
      <c r="O1813" s="2" t="s">
        <v>19</v>
      </c>
      <c r="P1813" s="2">
        <v>8000000</v>
      </c>
      <c r="Q1813" s="2">
        <v>5.9</v>
      </c>
      <c r="R1813" s="2" t="s">
        <v>4124</v>
      </c>
      <c r="S1813" s="2"/>
      <c r="U1813" s="2" t="s">
        <v>4125</v>
      </c>
      <c r="V1813">
        <f ca="1" t="shared" si="55"/>
        <v>7.2</v>
      </c>
      <c r="AC1813" s="2"/>
      <c r="AD1813" t="str">
        <f>IFERROR(__xludf.DUMMYFUNCTION("""COMPUTED_VALUE"""),"Freaky Friday ")</f>
        <v>Freaky Friday </v>
      </c>
      <c r="AE1813">
        <f t="shared" si="56"/>
        <v>110222341</v>
      </c>
    </row>
    <row r="1814" customHeight="1" spans="1:31">
      <c r="A1814" s="2" t="s">
        <v>2073</v>
      </c>
      <c r="B1814" s="2">
        <v>99</v>
      </c>
      <c r="C1814" s="2">
        <v>14983572</v>
      </c>
      <c r="D1814" s="2" t="s">
        <v>521</v>
      </c>
      <c r="E1814" s="2" t="s">
        <v>40</v>
      </c>
      <c r="F1814" t="s">
        <v>30</v>
      </c>
      <c r="G1814" t="s">
        <v>17</v>
      </c>
      <c r="N1814" s="2" t="s">
        <v>18</v>
      </c>
      <c r="O1814" s="2" t="s">
        <v>19</v>
      </c>
      <c r="P1814" s="2">
        <v>25000000</v>
      </c>
      <c r="Q1814" s="2">
        <v>4.7</v>
      </c>
      <c r="R1814" s="2" t="s">
        <v>4126</v>
      </c>
      <c r="S1814" s="2"/>
      <c r="U1814" s="2" t="s">
        <v>4127</v>
      </c>
      <c r="V1814">
        <f ca="1" t="shared" si="55"/>
        <v>5.1</v>
      </c>
      <c r="AC1814" s="2"/>
      <c r="AD1814" t="str">
        <f>IFERROR(__xludf.DUMMYFUNCTION("""COMPUTED_VALUE"""),"The 40-Year-Old Virgin ")</f>
        <v>The 40-Year-Old Virgin </v>
      </c>
      <c r="AE1814">
        <f t="shared" si="56"/>
        <v>109243345</v>
      </c>
    </row>
    <row r="1815" customHeight="1" spans="1:31">
      <c r="A1815" s="2" t="s">
        <v>1502</v>
      </c>
      <c r="B1815" s="2">
        <v>107</v>
      </c>
      <c r="C1815" s="2">
        <v>14637490</v>
      </c>
      <c r="D1815" s="2" t="s">
        <v>1189</v>
      </c>
      <c r="E1815" s="2" t="s">
        <v>72</v>
      </c>
      <c r="F1815" t="s">
        <v>72</v>
      </c>
      <c r="G1815" t="s">
        <v>24</v>
      </c>
      <c r="N1815" s="2" t="s">
        <v>18</v>
      </c>
      <c r="O1815" s="2" t="s">
        <v>19</v>
      </c>
      <c r="P1815" s="2">
        <v>25000000</v>
      </c>
      <c r="Q1815" s="2">
        <v>4.8</v>
      </c>
      <c r="R1815" s="2" t="s">
        <v>4128</v>
      </c>
      <c r="S1815" s="2"/>
      <c r="U1815" s="2" t="s">
        <v>4129</v>
      </c>
      <c r="V1815">
        <f ca="1" t="shared" si="55"/>
        <v>6.9</v>
      </c>
      <c r="AC1815" s="2"/>
      <c r="AD1815" t="str">
        <f>IFERROR(__xludf.DUMMYFUNCTION("""COMPUTED_VALUE"""),"Shakespeare in Love ")</f>
        <v>Shakespeare in Love </v>
      </c>
      <c r="AE1815">
        <f t="shared" si="56"/>
        <v>100241199</v>
      </c>
    </row>
    <row r="1816" customHeight="1" spans="1:31">
      <c r="A1816" s="2" t="s">
        <v>1670</v>
      </c>
      <c r="B1816" s="2">
        <v>110</v>
      </c>
      <c r="C1816" s="2">
        <v>14589444</v>
      </c>
      <c r="D1816" s="2" t="s">
        <v>521</v>
      </c>
      <c r="E1816" s="2" t="s">
        <v>40</v>
      </c>
      <c r="F1816" t="s">
        <v>40</v>
      </c>
      <c r="G1816" t="s">
        <v>55</v>
      </c>
      <c r="N1816" s="2" t="s">
        <v>18</v>
      </c>
      <c r="O1816" s="2" t="s">
        <v>19</v>
      </c>
      <c r="P1816" s="2">
        <v>25000000</v>
      </c>
      <c r="Q1816" s="2">
        <v>6.8</v>
      </c>
      <c r="R1816" s="2" t="s">
        <v>4130</v>
      </c>
      <c r="S1816" s="2"/>
      <c r="U1816" s="2" t="s">
        <v>4131</v>
      </c>
      <c r="V1816">
        <f ca="1" t="shared" si="55"/>
        <v>6.1</v>
      </c>
      <c r="AC1816" s="2"/>
      <c r="AD1816" t="str">
        <f>IFERROR(__xludf.DUMMYFUNCTION("""COMPUTED_VALUE"""),"A Walk Among the Tombstones ")</f>
        <v>A Walk Among the Tombstones </v>
      </c>
      <c r="AE1816">
        <f t="shared" si="56"/>
        <v>25977251</v>
      </c>
    </row>
    <row r="1817" customHeight="1" spans="1:31">
      <c r="A1817" s="2" t="s">
        <v>2075</v>
      </c>
      <c r="B1817" s="2">
        <v>101</v>
      </c>
      <c r="C1817" s="2">
        <v>14095303</v>
      </c>
      <c r="D1817" s="2" t="s">
        <v>1048</v>
      </c>
      <c r="E1817" s="2" t="s">
        <v>12</v>
      </c>
      <c r="F1817" t="s">
        <v>29</v>
      </c>
      <c r="G1817" t="s">
        <v>28</v>
      </c>
      <c r="N1817" s="2" t="s">
        <v>18</v>
      </c>
      <c r="O1817" s="2" t="s">
        <v>19</v>
      </c>
      <c r="P1817" s="2">
        <v>25000000</v>
      </c>
      <c r="Q1817" s="2">
        <v>5.4</v>
      </c>
      <c r="R1817" s="2" t="s">
        <v>4132</v>
      </c>
      <c r="S1817" s="2"/>
      <c r="U1817" s="2" t="s">
        <v>4133</v>
      </c>
      <c r="V1817">
        <f ca="1" t="shared" si="55"/>
        <v>6.3</v>
      </c>
      <c r="AC1817" s="2"/>
      <c r="AD1817" t="str">
        <f>IFERROR(__xludf.DUMMYFUNCTION("""COMPUTED_VALUE"""),"Kindergarten Cop ")</f>
        <v>Kindergarten Cop </v>
      </c>
      <c r="AE1817">
        <f t="shared" si="56"/>
        <v>91457577</v>
      </c>
    </row>
    <row r="1818" customHeight="1" spans="1:31">
      <c r="A1818" s="2" t="s">
        <v>2077</v>
      </c>
      <c r="B1818" s="2">
        <v>85</v>
      </c>
      <c r="C1818" s="2">
        <v>13973532</v>
      </c>
      <c r="D1818" s="2" t="s">
        <v>383</v>
      </c>
      <c r="E1818" s="2" t="s">
        <v>40</v>
      </c>
      <c r="F1818" t="s">
        <v>14</v>
      </c>
      <c r="G1818" t="s">
        <v>55</v>
      </c>
      <c r="N1818" s="2" t="s">
        <v>18</v>
      </c>
      <c r="O1818" s="2" t="s">
        <v>19</v>
      </c>
      <c r="P1818" s="2">
        <v>25000000</v>
      </c>
      <c r="Q1818" s="2">
        <v>5.1</v>
      </c>
      <c r="R1818" s="2" t="s">
        <v>4134</v>
      </c>
      <c r="S1818" s="2"/>
      <c r="U1818" s="2" t="s">
        <v>4135</v>
      </c>
      <c r="V1818">
        <f ca="1" t="shared" si="55"/>
        <v>6.1</v>
      </c>
      <c r="AC1818" s="2"/>
      <c r="AD1818" t="str">
        <f>IFERROR(__xludf.DUMMYFUNCTION("""COMPUTED_VALUE"""),"Pineapple Express ")</f>
        <v>Pineapple Express </v>
      </c>
      <c r="AE1818">
        <f t="shared" si="56"/>
        <v>87341263</v>
      </c>
    </row>
    <row r="1819" customHeight="1" spans="1:31">
      <c r="A1819" s="2" t="s">
        <v>1261</v>
      </c>
      <c r="B1819" s="2">
        <v>132</v>
      </c>
      <c r="C1819" s="2">
        <v>1865774</v>
      </c>
      <c r="D1819" s="2" t="s">
        <v>4136</v>
      </c>
      <c r="E1819" s="2" t="s">
        <v>59</v>
      </c>
      <c r="F1819" t="s">
        <v>17</v>
      </c>
      <c r="G1819" t="s">
        <v>55</v>
      </c>
      <c r="N1819" s="2" t="s">
        <v>18</v>
      </c>
      <c r="O1819" s="2" t="s">
        <v>31</v>
      </c>
      <c r="P1819" s="2">
        <v>30000000</v>
      </c>
      <c r="Q1819" s="2">
        <v>7</v>
      </c>
      <c r="R1819" s="2" t="s">
        <v>4137</v>
      </c>
      <c r="S1819" s="2"/>
      <c r="U1819" s="2" t="s">
        <v>4138</v>
      </c>
      <c r="V1819">
        <f ca="1" t="shared" si="55"/>
        <v>7.2</v>
      </c>
      <c r="AC1819" s="2"/>
      <c r="AD1819" t="str">
        <f>IFERROR(__xludf.DUMMYFUNCTION("""COMPUTED_VALUE"""),"Ever After: A Cinderella Story ")</f>
        <v>Ever After: A Cinderella Story </v>
      </c>
      <c r="AE1819">
        <f t="shared" si="56"/>
        <v>65703291</v>
      </c>
    </row>
    <row r="1820" customHeight="1" spans="1:31">
      <c r="A1820" s="2" t="s">
        <v>1407</v>
      </c>
      <c r="B1820" s="2">
        <v>90</v>
      </c>
      <c r="C1820" s="2">
        <v>18860403</v>
      </c>
      <c r="D1820" s="2" t="s">
        <v>2781</v>
      </c>
      <c r="E1820" s="2" t="s">
        <v>72</v>
      </c>
      <c r="F1820" t="s">
        <v>30</v>
      </c>
      <c r="G1820" t="s">
        <v>55</v>
      </c>
      <c r="N1820" s="2" t="s">
        <v>18</v>
      </c>
      <c r="O1820" s="2" t="s">
        <v>19</v>
      </c>
      <c r="P1820" s="2">
        <v>25000000</v>
      </c>
      <c r="Q1820" s="2">
        <v>4</v>
      </c>
      <c r="R1820" s="2" t="s">
        <v>4139</v>
      </c>
      <c r="S1820" s="2"/>
      <c r="U1820" s="2" t="s">
        <v>4140</v>
      </c>
      <c r="V1820">
        <f ca="1" t="shared" si="55"/>
        <v>7.8</v>
      </c>
      <c r="AC1820" s="2"/>
      <c r="AD1820" t="str">
        <f>IFERROR(__xludf.DUMMYFUNCTION("""COMPUTED_VALUE"""),"Open Range ")</f>
        <v>Open Range </v>
      </c>
      <c r="AE1820">
        <f t="shared" si="56"/>
        <v>58328541</v>
      </c>
    </row>
    <row r="1821" customHeight="1" spans="1:31">
      <c r="A1821" s="2" t="s">
        <v>1185</v>
      </c>
      <c r="B1821" s="2">
        <v>145</v>
      </c>
      <c r="C1821" s="2">
        <v>13038660</v>
      </c>
      <c r="D1821" s="2" t="s">
        <v>30</v>
      </c>
      <c r="E1821" s="2" t="s">
        <v>30</v>
      </c>
      <c r="F1821" t="s">
        <v>23</v>
      </c>
      <c r="G1821" t="s">
        <v>30</v>
      </c>
      <c r="N1821" s="2" t="s">
        <v>18</v>
      </c>
      <c r="O1821" s="2" t="s">
        <v>19</v>
      </c>
      <c r="P1821" s="2">
        <v>25000000</v>
      </c>
      <c r="Q1821" s="2">
        <v>7.3</v>
      </c>
      <c r="R1821" s="2" t="s">
        <v>4141</v>
      </c>
      <c r="S1821" s="2"/>
      <c r="U1821" s="2" t="s">
        <v>4142</v>
      </c>
      <c r="V1821">
        <f ca="1" t="shared" si="55"/>
        <v>4.7</v>
      </c>
      <c r="AC1821" s="2"/>
      <c r="AD1821" t="str">
        <f>IFERROR(__xludf.DUMMYFUNCTION("""COMPUTED_VALUE"""),"Flatliners ")</f>
        <v>Flatliners </v>
      </c>
      <c r="AE1821">
        <f t="shared" si="56"/>
        <v>61489885</v>
      </c>
    </row>
    <row r="1822" customHeight="1" spans="1:31">
      <c r="A1822" s="2" t="s">
        <v>816</v>
      </c>
      <c r="B1822" s="2">
        <v>110</v>
      </c>
      <c r="C1822" s="2">
        <v>28831145</v>
      </c>
      <c r="D1822" s="2" t="s">
        <v>1527</v>
      </c>
      <c r="E1822" s="2" t="s">
        <v>30</v>
      </c>
      <c r="F1822" t="s">
        <v>23</v>
      </c>
      <c r="G1822" t="s">
        <v>29</v>
      </c>
      <c r="N1822" s="2" t="s">
        <v>18</v>
      </c>
      <c r="O1822" s="2" t="s">
        <v>19</v>
      </c>
      <c r="P1822" s="2">
        <v>25000000</v>
      </c>
      <c r="Q1822" s="2">
        <v>6.8</v>
      </c>
      <c r="R1822" s="2" t="s">
        <v>4143</v>
      </c>
      <c r="S1822" s="2"/>
      <c r="U1822" s="2" t="s">
        <v>4144</v>
      </c>
      <c r="V1822">
        <f ca="1" t="shared" si="55"/>
        <v>6.7</v>
      </c>
      <c r="AC1822" s="2"/>
      <c r="AD1822" t="str">
        <f>IFERROR(__xludf.DUMMYFUNCTION("""COMPUTED_VALUE"""),"A Bridge Too Far ")</f>
        <v>A Bridge Too Far </v>
      </c>
      <c r="AE1822">
        <f t="shared" si="56"/>
        <v>50799825</v>
      </c>
    </row>
    <row r="1823" customHeight="1" spans="1:31">
      <c r="A1823" s="2" t="s">
        <v>1060</v>
      </c>
      <c r="B1823" s="2">
        <v>122</v>
      </c>
      <c r="C1823" s="2">
        <v>11538204</v>
      </c>
      <c r="D1823" s="2" t="s">
        <v>4145</v>
      </c>
      <c r="E1823" s="2" t="s">
        <v>56</v>
      </c>
      <c r="F1823" t="s">
        <v>17</v>
      </c>
      <c r="G1823" t="s">
        <v>17</v>
      </c>
      <c r="N1823" s="2" t="s">
        <v>18</v>
      </c>
      <c r="O1823" s="2" t="s">
        <v>19</v>
      </c>
      <c r="P1823" s="2">
        <v>25000000</v>
      </c>
      <c r="Q1823" s="2">
        <v>7</v>
      </c>
      <c r="R1823" s="2" t="s">
        <v>4146</v>
      </c>
      <c r="S1823" s="2"/>
      <c r="U1823" s="2" t="s">
        <v>4147</v>
      </c>
      <c r="V1823">
        <f ca="1" t="shared" si="55"/>
        <v>6.9</v>
      </c>
      <c r="AC1823" s="2"/>
      <c r="AD1823" t="str">
        <f>IFERROR(__xludf.DUMMYFUNCTION("""COMPUTED_VALUE"""),"Red Eye ")</f>
        <v>Red Eye </v>
      </c>
      <c r="AE1823">
        <f t="shared" si="56"/>
        <v>57859020</v>
      </c>
    </row>
    <row r="1824" customHeight="1" spans="1:31">
      <c r="A1824" s="2" t="s">
        <v>1474</v>
      </c>
      <c r="B1824" s="2">
        <v>107</v>
      </c>
      <c r="C1824" s="2">
        <v>11008432</v>
      </c>
      <c r="D1824" s="2" t="s">
        <v>592</v>
      </c>
      <c r="E1824" s="2" t="s">
        <v>59</v>
      </c>
      <c r="F1824" t="s">
        <v>15</v>
      </c>
      <c r="G1824" t="s">
        <v>55</v>
      </c>
      <c r="N1824" s="2" t="s">
        <v>18</v>
      </c>
      <c r="O1824" s="2" t="s">
        <v>19</v>
      </c>
      <c r="P1824" s="2">
        <v>25000000</v>
      </c>
      <c r="Q1824" s="2">
        <v>7.1</v>
      </c>
      <c r="R1824" s="2" t="s">
        <v>4148</v>
      </c>
      <c r="S1824" s="2"/>
      <c r="U1824" s="2" t="s">
        <v>4149</v>
      </c>
      <c r="V1824">
        <f ca="1" t="shared" si="55"/>
        <v>7.35</v>
      </c>
      <c r="AC1824" s="2"/>
      <c r="AD1824" t="str">
        <f>IFERROR(__xludf.DUMMYFUNCTION("""COMPUTED_VALUE"""),"Final Destination 2 ")</f>
        <v>Final Destination 2 </v>
      </c>
      <c r="AE1824">
        <f t="shared" si="56"/>
        <v>46455712</v>
      </c>
    </row>
    <row r="1825" customHeight="1" spans="1:31">
      <c r="A1825" s="2" t="s">
        <v>2080</v>
      </c>
      <c r="B1825" s="2">
        <v>127</v>
      </c>
      <c r="C1825" s="2">
        <v>12188642</v>
      </c>
      <c r="D1825" s="2" t="s">
        <v>2457</v>
      </c>
      <c r="E1825" s="2" t="s">
        <v>59</v>
      </c>
      <c r="F1825" t="s">
        <v>30</v>
      </c>
      <c r="G1825" t="s">
        <v>17</v>
      </c>
      <c r="N1825" s="2" t="s">
        <v>18</v>
      </c>
      <c r="O1825" s="2" t="s">
        <v>4150</v>
      </c>
      <c r="P1825" s="2">
        <v>26000000</v>
      </c>
      <c r="Q1825" s="2">
        <v>6.9</v>
      </c>
      <c r="R1825" s="2" t="s">
        <v>4151</v>
      </c>
      <c r="S1825" s="2"/>
      <c r="U1825" s="2" t="s">
        <v>4152</v>
      </c>
      <c r="V1825">
        <f ca="1" t="shared" si="55"/>
        <v>8.1</v>
      </c>
      <c r="AC1825" s="2"/>
      <c r="AD1825" t="str">
        <f>IFERROR(__xludf.DUMMYFUNCTION("""COMPUTED_VALUE"""),"O Brother, Where Art Thou? ")</f>
        <v>O Brother, Where Art Thou? </v>
      </c>
      <c r="AE1825">
        <f t="shared" si="56"/>
        <v>45506512</v>
      </c>
    </row>
    <row r="1826" customHeight="1" spans="1:31">
      <c r="A1826" s="2" t="s">
        <v>1335</v>
      </c>
      <c r="B1826" s="2">
        <v>99</v>
      </c>
      <c r="C1826" s="2">
        <v>11100000</v>
      </c>
      <c r="D1826" s="2" t="s">
        <v>930</v>
      </c>
      <c r="E1826" s="2" t="s">
        <v>12</v>
      </c>
      <c r="F1826" t="s">
        <v>56</v>
      </c>
      <c r="G1826" t="s">
        <v>30</v>
      </c>
      <c r="N1826" s="2" t="s">
        <v>18</v>
      </c>
      <c r="O1826" s="2" t="s">
        <v>19</v>
      </c>
      <c r="P1826" s="2">
        <v>25000000</v>
      </c>
      <c r="Q1826" s="2">
        <v>7.3</v>
      </c>
      <c r="R1826" s="2" t="s">
        <v>4153</v>
      </c>
      <c r="S1826" s="2"/>
      <c r="U1826" s="2" t="s">
        <v>4154</v>
      </c>
      <c r="V1826">
        <f ca="1" t="shared" si="55"/>
        <v>5.5</v>
      </c>
      <c r="AC1826" s="2"/>
      <c r="AD1826" t="str">
        <f>IFERROR(__xludf.DUMMYFUNCTION("""COMPUTED_VALUE"""),"Legion ")</f>
        <v>Legion </v>
      </c>
      <c r="AE1826">
        <f t="shared" si="56"/>
        <v>40167980</v>
      </c>
    </row>
    <row r="1827" customHeight="1" spans="1:31">
      <c r="A1827" s="2" t="s">
        <v>1887</v>
      </c>
      <c r="B1827" s="2">
        <v>140</v>
      </c>
      <c r="C1827" s="2">
        <v>13651662</v>
      </c>
      <c r="D1827" s="2" t="s">
        <v>1527</v>
      </c>
      <c r="E1827" s="2" t="s">
        <v>30</v>
      </c>
      <c r="F1827" t="s">
        <v>30</v>
      </c>
      <c r="G1827" t="s">
        <v>17</v>
      </c>
      <c r="N1827" s="2" t="s">
        <v>18</v>
      </c>
      <c r="O1827" s="2" t="s">
        <v>19</v>
      </c>
      <c r="P1827" s="2">
        <v>25000000</v>
      </c>
      <c r="Q1827" s="2">
        <v>8.2</v>
      </c>
      <c r="R1827" s="2" t="s">
        <v>4155</v>
      </c>
      <c r="S1827" s="2"/>
      <c r="U1827" s="2" t="s">
        <v>4156</v>
      </c>
      <c r="V1827">
        <f ca="1" t="shared" si="55"/>
        <v>4.8</v>
      </c>
      <c r="AC1827" s="2"/>
      <c r="AD1827" t="str">
        <f>IFERROR(__xludf.DUMMYFUNCTION("""COMPUTED_VALUE"""),"Pain &amp; Gain ")</f>
        <v>Pain &amp; Gain </v>
      </c>
      <c r="AE1827">
        <f t="shared" si="56"/>
        <v>49874804</v>
      </c>
    </row>
    <row r="1828" customHeight="1" spans="1:31">
      <c r="A1828" s="2" t="s">
        <v>1255</v>
      </c>
      <c r="B1828" s="2">
        <v>133</v>
      </c>
      <c r="C1828" s="2">
        <v>11030963</v>
      </c>
      <c r="D1828" s="2" t="s">
        <v>4157</v>
      </c>
      <c r="E1828" s="2" t="s">
        <v>59</v>
      </c>
      <c r="F1828" t="s">
        <v>14</v>
      </c>
      <c r="G1828" t="s">
        <v>24</v>
      </c>
      <c r="N1828" s="2" t="s">
        <v>18</v>
      </c>
      <c r="O1828" s="2" t="s">
        <v>31</v>
      </c>
      <c r="P1828" s="2">
        <v>28000000</v>
      </c>
      <c r="Q1828" s="2">
        <v>7.1</v>
      </c>
      <c r="R1828" s="2" t="s">
        <v>4158</v>
      </c>
      <c r="S1828" s="2"/>
      <c r="U1828" s="2" t="s">
        <v>4159</v>
      </c>
      <c r="V1828">
        <f ca="1" t="shared" si="55"/>
        <v>6.4</v>
      </c>
      <c r="AC1828" s="2"/>
      <c r="AD1828" t="str">
        <f>IFERROR(__xludf.DUMMYFUNCTION("""COMPUTED_VALUE"""),"In Good Company ")</f>
        <v>In Good Company </v>
      </c>
      <c r="AE1828">
        <f t="shared" si="56"/>
        <v>45489643</v>
      </c>
    </row>
    <row r="1829" customHeight="1" spans="1:31">
      <c r="A1829" s="2" t="s">
        <v>1208</v>
      </c>
      <c r="B1829" s="2">
        <v>271</v>
      </c>
      <c r="C1829" s="2">
        <v>10769960</v>
      </c>
      <c r="D1829" s="2" t="s">
        <v>731</v>
      </c>
      <c r="E1829" s="2" t="s">
        <v>30</v>
      </c>
      <c r="F1829" t="s">
        <v>24</v>
      </c>
      <c r="G1829" t="s">
        <v>30</v>
      </c>
      <c r="N1829" s="2" t="s">
        <v>18</v>
      </c>
      <c r="O1829" s="2" t="s">
        <v>19</v>
      </c>
      <c r="P1829" s="2">
        <v>25000000</v>
      </c>
      <c r="Q1829" s="2">
        <v>7.7</v>
      </c>
      <c r="R1829" s="2" t="s">
        <v>4160</v>
      </c>
      <c r="S1829" s="2"/>
      <c r="U1829" s="2" t="s">
        <v>4161</v>
      </c>
      <c r="V1829">
        <f ca="1" t="shared" si="55"/>
        <v>7.3</v>
      </c>
      <c r="AC1829" s="2"/>
      <c r="AD1829" t="str">
        <f>IFERROR(__xludf.DUMMYFUNCTION("""COMPUTED_VALUE"""),"Clockstoppers ")</f>
        <v>Clockstoppers </v>
      </c>
      <c r="AE1829">
        <f t="shared" si="56"/>
        <v>36985407</v>
      </c>
    </row>
    <row r="1830" customHeight="1" spans="1:31">
      <c r="A1830" s="2" t="s">
        <v>1842</v>
      </c>
      <c r="B1830" s="2">
        <v>112</v>
      </c>
      <c r="C1830" s="2">
        <v>10911750</v>
      </c>
      <c r="D1830" s="2" t="s">
        <v>1354</v>
      </c>
      <c r="E1830" s="2" t="s">
        <v>30</v>
      </c>
      <c r="F1830" t="s">
        <v>56</v>
      </c>
      <c r="G1830" t="s">
        <v>17</v>
      </c>
      <c r="N1830" s="2" t="s">
        <v>18</v>
      </c>
      <c r="O1830" s="2" t="s">
        <v>19</v>
      </c>
      <c r="P1830" s="2">
        <v>25000000</v>
      </c>
      <c r="Q1830" s="2">
        <v>6.5</v>
      </c>
      <c r="R1830" s="2" t="s">
        <v>4162</v>
      </c>
      <c r="S1830" s="2"/>
      <c r="U1830" s="2" t="s">
        <v>4163</v>
      </c>
      <c r="V1830">
        <f ca="1" t="shared" si="55"/>
        <v>6.6</v>
      </c>
      <c r="AC1830" s="2"/>
      <c r="AD1830" t="str">
        <f>IFERROR(__xludf.DUMMYFUNCTION("""COMPUTED_VALUE"""),"Silverado ")</f>
        <v>Silverado </v>
      </c>
      <c r="AE1830">
        <f t="shared" si="56"/>
        <v>33199867</v>
      </c>
    </row>
    <row r="1831" customHeight="1" spans="1:31">
      <c r="A1831" s="2" t="s">
        <v>1293</v>
      </c>
      <c r="B1831" s="2">
        <v>99</v>
      </c>
      <c r="C1831" s="2">
        <v>10719367</v>
      </c>
      <c r="D1831" s="2" t="s">
        <v>4164</v>
      </c>
      <c r="E1831" s="2" t="s">
        <v>30</v>
      </c>
      <c r="F1831" t="s">
        <v>30</v>
      </c>
      <c r="G1831" t="s">
        <v>56</v>
      </c>
      <c r="N1831" s="2" t="s">
        <v>18</v>
      </c>
      <c r="O1831" s="2" t="s">
        <v>19</v>
      </c>
      <c r="P1831" s="2">
        <v>25000000</v>
      </c>
      <c r="Q1831" s="2">
        <v>4.9</v>
      </c>
      <c r="R1831" s="2" t="s">
        <v>4165</v>
      </c>
      <c r="S1831" s="2"/>
      <c r="U1831" s="2" t="s">
        <v>4166</v>
      </c>
      <c r="V1831">
        <f ca="1" t="shared" si="55"/>
        <v>7.3</v>
      </c>
      <c r="AC1831" s="2"/>
      <c r="AD1831" t="str">
        <f>IFERROR(__xludf.DUMMYFUNCTION("""COMPUTED_VALUE"""),"Brothers ")</f>
        <v>Brothers </v>
      </c>
      <c r="AE1831">
        <f t="shared" si="56"/>
        <v>28501546</v>
      </c>
    </row>
    <row r="1832" customHeight="1" spans="1:31">
      <c r="A1832" s="2" t="s">
        <v>2082</v>
      </c>
      <c r="B1832" s="2">
        <v>100</v>
      </c>
      <c r="C1832" s="2">
        <v>10114315</v>
      </c>
      <c r="D1832" s="2" t="s">
        <v>712</v>
      </c>
      <c r="E1832" s="2" t="s">
        <v>30</v>
      </c>
      <c r="F1832" t="s">
        <v>30</v>
      </c>
      <c r="G1832" t="s">
        <v>24</v>
      </c>
      <c r="N1832" s="2" t="s">
        <v>18</v>
      </c>
      <c r="O1832" s="2" t="s">
        <v>19</v>
      </c>
      <c r="P1832" s="2">
        <v>25000000</v>
      </c>
      <c r="Q1832" s="2">
        <v>6.4</v>
      </c>
      <c r="R1832" s="2" t="s">
        <v>4167</v>
      </c>
      <c r="S1832" s="2"/>
      <c r="U1832" s="2" t="s">
        <v>4168</v>
      </c>
      <c r="V1832">
        <f ca="1" t="shared" si="55"/>
        <v>7</v>
      </c>
      <c r="AC1832" s="2"/>
      <c r="AD1832" t="str">
        <f>IFERROR(__xludf.DUMMYFUNCTION("""COMPUTED_VALUE"""),"Agent Cody Banks 2: Destination London ")</f>
        <v>Agent Cody Banks 2: Destination London </v>
      </c>
      <c r="AE1832">
        <f t="shared" si="56"/>
        <v>23222761</v>
      </c>
    </row>
    <row r="1833" customHeight="1" spans="1:31">
      <c r="A1833" s="2" t="s">
        <v>2084</v>
      </c>
      <c r="B1833" s="2">
        <v>92</v>
      </c>
      <c r="C1833" s="2">
        <v>49122319</v>
      </c>
      <c r="D1833" s="2" t="s">
        <v>2781</v>
      </c>
      <c r="E1833" s="2" t="s">
        <v>72</v>
      </c>
      <c r="F1833" t="s">
        <v>56</v>
      </c>
      <c r="G1833" t="s">
        <v>23</v>
      </c>
      <c r="N1833" s="2" t="s">
        <v>18</v>
      </c>
      <c r="O1833" s="2" t="s">
        <v>19</v>
      </c>
      <c r="P1833" s="2">
        <v>14000000</v>
      </c>
      <c r="Q1833" s="2">
        <v>5.9</v>
      </c>
      <c r="R1833" s="2" t="s">
        <v>4169</v>
      </c>
      <c r="S1833" s="2"/>
      <c r="U1833" s="2" t="s">
        <v>4170</v>
      </c>
      <c r="V1833">
        <f ca="1" t="shared" si="55"/>
        <v>5.5</v>
      </c>
      <c r="AC1833" s="2"/>
      <c r="AD1833" t="str">
        <f>IFERROR(__xludf.DUMMYFUNCTION("""COMPUTED_VALUE"""),"New Year's Eve ")</f>
        <v>New Year's Eve </v>
      </c>
      <c r="AE1833">
        <f t="shared" si="56"/>
        <v>54540412</v>
      </c>
    </row>
    <row r="1834" customHeight="1" spans="1:31">
      <c r="A1834" s="2" t="s">
        <v>2086</v>
      </c>
      <c r="B1834" s="2">
        <v>105</v>
      </c>
      <c r="C1834" s="2">
        <v>10070000</v>
      </c>
      <c r="D1834" s="2" t="s">
        <v>521</v>
      </c>
      <c r="E1834" s="2" t="s">
        <v>40</v>
      </c>
      <c r="F1834" t="s">
        <v>23</v>
      </c>
      <c r="G1834" t="s">
        <v>17</v>
      </c>
      <c r="N1834" s="2" t="s">
        <v>18</v>
      </c>
      <c r="O1834" s="2" t="s">
        <v>19</v>
      </c>
      <c r="P1834" s="2">
        <v>25000000</v>
      </c>
      <c r="Q1834" s="2">
        <v>6.2</v>
      </c>
      <c r="R1834" s="2" t="s">
        <v>4171</v>
      </c>
      <c r="S1834" s="2"/>
      <c r="U1834" s="2" t="s">
        <v>4172</v>
      </c>
      <c r="V1834">
        <f ca="1" t="shared" si="55"/>
        <v>6.1</v>
      </c>
      <c r="AC1834" s="2"/>
      <c r="AD1834" t="str">
        <f>IFERROR(__xludf.DUMMYFUNCTION("""COMPUTED_VALUE"""),"Original Sin ")</f>
        <v>Original Sin </v>
      </c>
      <c r="AE1834">
        <f t="shared" si="56"/>
        <v>16252647</v>
      </c>
    </row>
    <row r="1835" customHeight="1" spans="1:31">
      <c r="A1835" s="2" t="s">
        <v>1129</v>
      </c>
      <c r="B1835" s="2">
        <v>110</v>
      </c>
      <c r="C1835" s="2">
        <v>10324441</v>
      </c>
      <c r="D1835" s="2" t="s">
        <v>355</v>
      </c>
      <c r="E1835" s="2" t="s">
        <v>12</v>
      </c>
      <c r="F1835" t="s">
        <v>30</v>
      </c>
      <c r="G1835" t="s">
        <v>23</v>
      </c>
      <c r="N1835" s="2" t="s">
        <v>18</v>
      </c>
      <c r="O1835" s="2" t="s">
        <v>19</v>
      </c>
      <c r="P1835" s="2">
        <v>25000000</v>
      </c>
      <c r="Q1835" s="2">
        <v>5.8</v>
      </c>
      <c r="R1835" s="2" t="s">
        <v>4173</v>
      </c>
      <c r="S1835" s="2"/>
      <c r="U1835" s="2" t="s">
        <v>4174</v>
      </c>
      <c r="V1835">
        <f ca="1" t="shared" si="55"/>
        <v>7.5</v>
      </c>
      <c r="AC1835" s="2"/>
      <c r="AD1835" t="str">
        <f>IFERROR(__xludf.DUMMYFUNCTION("""COMPUTED_VALUE"""),"The Raven ")</f>
        <v>The Raven </v>
      </c>
      <c r="AE1835">
        <f t="shared" si="56"/>
        <v>16005868</v>
      </c>
    </row>
    <row r="1836" customHeight="1" spans="1:31">
      <c r="A1836" s="2" t="s">
        <v>1698</v>
      </c>
      <c r="B1836" s="2">
        <v>116</v>
      </c>
      <c r="C1836" s="2">
        <v>7156933</v>
      </c>
      <c r="D1836" s="2" t="s">
        <v>975</v>
      </c>
      <c r="E1836" s="2" t="s">
        <v>40</v>
      </c>
      <c r="F1836" t="s">
        <v>30</v>
      </c>
      <c r="G1836" t="s">
        <v>56</v>
      </c>
      <c r="N1836" s="2" t="s">
        <v>18</v>
      </c>
      <c r="O1836" s="2" t="s">
        <v>19</v>
      </c>
      <c r="P1836" s="2">
        <v>25000000</v>
      </c>
      <c r="Q1836" s="2">
        <v>6.7</v>
      </c>
      <c r="R1836" s="2" t="s">
        <v>4175</v>
      </c>
      <c r="S1836" s="2"/>
      <c r="U1836" s="2" t="s">
        <v>4176</v>
      </c>
      <c r="V1836">
        <f ca="1" t="shared" si="55"/>
        <v>7</v>
      </c>
      <c r="AC1836" s="2"/>
      <c r="AD1836" t="str">
        <f>IFERROR(__xludf.DUMMYFUNCTION("""COMPUTED_VALUE"""),"Welcome to Mooseport ")</f>
        <v>Welcome to Mooseport </v>
      </c>
      <c r="AE1836">
        <f t="shared" si="56"/>
        <v>14469318</v>
      </c>
    </row>
    <row r="1837" customHeight="1" spans="1:31">
      <c r="A1837" s="2" t="s">
        <v>2088</v>
      </c>
      <c r="B1837" s="2">
        <v>88</v>
      </c>
      <c r="C1837" s="2">
        <v>9286314</v>
      </c>
      <c r="D1837" s="2" t="s">
        <v>186</v>
      </c>
      <c r="E1837" s="2" t="s">
        <v>12</v>
      </c>
      <c r="F1837" t="s">
        <v>28</v>
      </c>
      <c r="G1837" t="s">
        <v>23</v>
      </c>
      <c r="N1837" s="2" t="s">
        <v>18</v>
      </c>
      <c r="O1837" s="2" t="s">
        <v>19</v>
      </c>
      <c r="P1837" s="2">
        <v>17000000</v>
      </c>
      <c r="Q1837" s="2">
        <v>5.9</v>
      </c>
      <c r="R1837" s="2" t="s">
        <v>4177</v>
      </c>
      <c r="S1837" s="2"/>
      <c r="U1837" s="2" t="s">
        <v>4178</v>
      </c>
      <c r="V1837">
        <f ca="1" t="shared" si="55"/>
        <v>6.7</v>
      </c>
      <c r="AC1837" s="2"/>
      <c r="AD1837" t="str">
        <f>IFERROR(__xludf.DUMMYFUNCTION("""COMPUTED_VALUE"""),"Highlander: The Final Dimension ")</f>
        <v>Highlander: The Final Dimension </v>
      </c>
      <c r="AE1837">
        <f t="shared" si="56"/>
        <v>13829635</v>
      </c>
    </row>
    <row r="1838" customHeight="1" spans="1:31">
      <c r="A1838" s="2" t="s">
        <v>2091</v>
      </c>
      <c r="B1838" s="2">
        <v>111</v>
      </c>
      <c r="C1838" s="2">
        <v>56692</v>
      </c>
      <c r="D1838" s="2" t="s">
        <v>2943</v>
      </c>
      <c r="E1838" s="2" t="s">
        <v>13</v>
      </c>
      <c r="F1838" t="s">
        <v>83</v>
      </c>
      <c r="G1838" t="s">
        <v>15</v>
      </c>
      <c r="N1838" s="2" t="s">
        <v>18</v>
      </c>
      <c r="O1838" s="2" t="s">
        <v>19</v>
      </c>
      <c r="P1838" s="2">
        <v>25000000</v>
      </c>
      <c r="Q1838" s="2">
        <v>7.3</v>
      </c>
      <c r="R1838" s="2" t="s">
        <v>4179</v>
      </c>
      <c r="S1838" s="2"/>
      <c r="U1838" s="2" t="s">
        <v>4180</v>
      </c>
      <c r="V1838">
        <f ca="1" t="shared" si="55"/>
        <v>7.4</v>
      </c>
      <c r="AC1838" s="2"/>
      <c r="AD1838" t="str">
        <f>IFERROR(__xludf.DUMMYFUNCTION("""COMPUTED_VALUE"""),"Blood and Wine ")</f>
        <v>Blood and Wine </v>
      </c>
      <c r="AE1838">
        <f t="shared" si="56"/>
        <v>1075187</v>
      </c>
    </row>
    <row r="1839" customHeight="1" spans="1:31">
      <c r="A1839" s="2" t="s">
        <v>2093</v>
      </c>
      <c r="B1839" s="2">
        <v>95</v>
      </c>
      <c r="C1839" s="2">
        <v>5654777</v>
      </c>
      <c r="D1839" s="2" t="s">
        <v>1425</v>
      </c>
      <c r="E1839" s="2" t="s">
        <v>12</v>
      </c>
      <c r="F1839" t="s">
        <v>56</v>
      </c>
      <c r="G1839" t="s">
        <v>14</v>
      </c>
      <c r="N1839" s="2" t="s">
        <v>18</v>
      </c>
      <c r="O1839" s="2" t="s">
        <v>19</v>
      </c>
      <c r="P1839" s="2">
        <v>25000000</v>
      </c>
      <c r="Q1839" s="2">
        <v>4.1</v>
      </c>
      <c r="R1839" s="2" t="s">
        <v>4181</v>
      </c>
      <c r="S1839" s="2"/>
      <c r="U1839" s="2" t="s">
        <v>4182</v>
      </c>
      <c r="V1839">
        <f ca="1" t="shared" si="55"/>
        <v>6.4</v>
      </c>
      <c r="AC1839" s="2"/>
      <c r="AD1839" t="str">
        <f>IFERROR(__xludf.DUMMYFUNCTION("""COMPUTED_VALUE"""),"The Curse of the Jade Scorpion ")</f>
        <v>The Curse of the Jade Scorpion </v>
      </c>
      <c r="AE1839">
        <f t="shared" si="56"/>
        <v>7496419</v>
      </c>
    </row>
    <row r="1840" customHeight="1" spans="1:31">
      <c r="A1840" s="2" t="s">
        <v>1781</v>
      </c>
      <c r="B1840" s="2">
        <v>95</v>
      </c>
      <c r="C1840" s="2">
        <v>5516708</v>
      </c>
      <c r="D1840" s="2" t="s">
        <v>607</v>
      </c>
      <c r="E1840" s="2" t="s">
        <v>40</v>
      </c>
      <c r="F1840" t="s">
        <v>40</v>
      </c>
      <c r="G1840" t="s">
        <v>15</v>
      </c>
      <c r="N1840" s="2" t="s">
        <v>18</v>
      </c>
      <c r="O1840" s="2" t="s">
        <v>19</v>
      </c>
      <c r="P1840" s="2">
        <v>25000000</v>
      </c>
      <c r="Q1840" s="2">
        <v>4.9</v>
      </c>
      <c r="R1840" s="2" t="s">
        <v>4183</v>
      </c>
      <c r="S1840" s="2"/>
      <c r="U1840" s="2" t="s">
        <v>4184</v>
      </c>
      <c r="V1840">
        <f ca="1" t="shared" si="55"/>
        <v>6.5</v>
      </c>
      <c r="AC1840" s="2"/>
      <c r="AD1840" t="str">
        <f>IFERROR(__xludf.DUMMYFUNCTION("""COMPUTED_VALUE"""),"Flipper ")</f>
        <v>Flipper </v>
      </c>
      <c r="AE1840">
        <f t="shared" si="56"/>
        <v>20047620</v>
      </c>
    </row>
    <row r="1841" customHeight="1" spans="1:31">
      <c r="A1841" s="2" t="s">
        <v>543</v>
      </c>
      <c r="B1841" s="2">
        <v>127</v>
      </c>
      <c r="C1841" s="2">
        <v>5128124</v>
      </c>
      <c r="D1841" s="2" t="s">
        <v>592</v>
      </c>
      <c r="E1841" s="2" t="s">
        <v>59</v>
      </c>
      <c r="F1841" t="s">
        <v>56</v>
      </c>
      <c r="G1841" t="s">
        <v>29</v>
      </c>
      <c r="N1841" s="2" t="s">
        <v>18</v>
      </c>
      <c r="O1841" s="2" t="s">
        <v>90</v>
      </c>
      <c r="P1841" s="2">
        <v>25000000</v>
      </c>
      <c r="Q1841" s="2">
        <v>7.9</v>
      </c>
      <c r="R1841" s="2" t="s">
        <v>4185</v>
      </c>
      <c r="S1841" s="2"/>
      <c r="U1841" s="2" t="s">
        <v>4186</v>
      </c>
      <c r="V1841">
        <f ca="1" t="shared" si="55"/>
        <v>7.5</v>
      </c>
      <c r="AC1841" s="2"/>
      <c r="AD1841" t="str">
        <f>IFERROR(__xludf.DUMMYFUNCTION("""COMPUTED_VALUE"""),"Self/less ")</f>
        <v>Self/less </v>
      </c>
      <c r="AE1841">
        <f t="shared" si="56"/>
        <v>12276693</v>
      </c>
    </row>
    <row r="1842" customHeight="1" spans="1:31">
      <c r="A1842" s="2" t="s">
        <v>2095</v>
      </c>
      <c r="B1842" s="2">
        <v>104</v>
      </c>
      <c r="C1842" s="2">
        <v>4064333</v>
      </c>
      <c r="D1842" s="2" t="s">
        <v>703</v>
      </c>
      <c r="E1842" s="2" t="s">
        <v>12</v>
      </c>
      <c r="F1842" t="s">
        <v>13</v>
      </c>
      <c r="G1842" t="s">
        <v>15</v>
      </c>
      <c r="N1842" s="2" t="s">
        <v>18</v>
      </c>
      <c r="O1842" s="2" t="s">
        <v>19</v>
      </c>
      <c r="P1842" s="2">
        <v>25000000</v>
      </c>
      <c r="Q1842" s="2">
        <v>5.2</v>
      </c>
      <c r="R1842" s="2" t="s">
        <v>4187</v>
      </c>
      <c r="S1842" s="2"/>
      <c r="U1842" s="2" t="s">
        <v>4188</v>
      </c>
      <c r="V1842">
        <f ca="1" t="shared" si="55"/>
        <v>7.7</v>
      </c>
      <c r="AC1842" s="2"/>
      <c r="AD1842" t="str">
        <f>IFERROR(__xludf.DUMMYFUNCTION("""COMPUTED_VALUE"""),"The Constant Gardener ")</f>
        <v>The Constant Gardener </v>
      </c>
      <c r="AE1842">
        <f t="shared" si="56"/>
        <v>33565246</v>
      </c>
    </row>
    <row r="1843" customHeight="1" spans="1:31">
      <c r="A1843" s="2" t="s">
        <v>2097</v>
      </c>
      <c r="B1843" s="2">
        <v>95</v>
      </c>
      <c r="C1843" s="2">
        <v>4006906</v>
      </c>
      <c r="D1843" s="2" t="s">
        <v>383</v>
      </c>
      <c r="E1843" s="2" t="s">
        <v>40</v>
      </c>
      <c r="F1843" t="s">
        <v>30</v>
      </c>
      <c r="G1843" t="s">
        <v>24</v>
      </c>
      <c r="N1843" s="2" t="s">
        <v>18</v>
      </c>
      <c r="O1843" s="2" t="s">
        <v>19</v>
      </c>
      <c r="P1843" s="2">
        <v>15000000</v>
      </c>
      <c r="Q1843" s="2">
        <v>4.1</v>
      </c>
      <c r="R1843" s="2" t="s">
        <v>4189</v>
      </c>
      <c r="S1843" s="2"/>
      <c r="U1843" s="2" t="s">
        <v>4190</v>
      </c>
      <c r="V1843">
        <f ca="1" t="shared" si="55"/>
        <v>8.5</v>
      </c>
      <c r="AC1843" s="2"/>
      <c r="AD1843" t="str">
        <f>IFERROR(__xludf.DUMMYFUNCTION("""COMPUTED_VALUE"""),"The Passion of the Christ ")</f>
        <v>The Passion of the Christ </v>
      </c>
      <c r="AE1843">
        <f t="shared" si="56"/>
        <v>499143</v>
      </c>
    </row>
    <row r="1844" customHeight="1" spans="1:31">
      <c r="A1844" s="2" t="s">
        <v>1993</v>
      </c>
      <c r="B1844" s="2">
        <v>121</v>
      </c>
      <c r="C1844" s="2">
        <v>3073392</v>
      </c>
      <c r="D1844" s="2" t="s">
        <v>840</v>
      </c>
      <c r="E1844" s="2" t="s">
        <v>30</v>
      </c>
      <c r="F1844" t="s">
        <v>23</v>
      </c>
      <c r="G1844" t="s">
        <v>17</v>
      </c>
      <c r="N1844" s="2" t="s">
        <v>18</v>
      </c>
      <c r="O1844" s="2" t="s">
        <v>121</v>
      </c>
      <c r="P1844" s="2">
        <v>25000000</v>
      </c>
      <c r="Q1844" s="2">
        <v>6.6</v>
      </c>
      <c r="R1844" s="2" t="s">
        <v>4191</v>
      </c>
      <c r="S1844" s="2"/>
      <c r="U1844" s="2" t="s">
        <v>4192</v>
      </c>
      <c r="V1844">
        <f ca="1" t="shared" si="55"/>
        <v>7.7</v>
      </c>
      <c r="AC1844" s="2"/>
      <c r="AD1844" t="str">
        <f>IFERROR(__xludf.DUMMYFUNCTION("""COMPUTED_VALUE"""),"Mrs. Doubtfire ")</f>
        <v>Mrs. Doubtfire </v>
      </c>
      <c r="AE1844">
        <f t="shared" si="56"/>
        <v>219199875</v>
      </c>
    </row>
    <row r="1845" customHeight="1" spans="1:31">
      <c r="A1845" s="2" t="s">
        <v>1146</v>
      </c>
      <c r="B1845" s="2">
        <v>92</v>
      </c>
      <c r="C1845" s="2">
        <v>1550000</v>
      </c>
      <c r="D1845" s="2" t="s">
        <v>4193</v>
      </c>
      <c r="E1845" s="2" t="s">
        <v>12</v>
      </c>
      <c r="F1845" t="s">
        <v>56</v>
      </c>
      <c r="G1845" t="s">
        <v>24</v>
      </c>
      <c r="N1845" s="2" t="s">
        <v>18</v>
      </c>
      <c r="O1845" s="2" t="s">
        <v>19</v>
      </c>
      <c r="P1845" s="2">
        <v>25000000</v>
      </c>
      <c r="Q1845" s="2">
        <v>2.9</v>
      </c>
      <c r="R1845" s="2" t="s">
        <v>4194</v>
      </c>
      <c r="S1845" s="2"/>
      <c r="U1845" s="2" t="s">
        <v>4195</v>
      </c>
      <c r="V1845">
        <f ca="1" t="shared" si="55"/>
        <v>6.5</v>
      </c>
      <c r="AC1845" s="2"/>
      <c r="AD1845" t="str">
        <f>IFERROR(__xludf.DUMMYFUNCTION("""COMPUTED_VALUE"""),"Rain Man ")</f>
        <v>Rain Man </v>
      </c>
      <c r="AE1845">
        <f t="shared" si="56"/>
        <v>172825302</v>
      </c>
    </row>
    <row r="1846" customHeight="1" spans="1:31">
      <c r="A1846" s="2" t="s">
        <v>2099</v>
      </c>
      <c r="B1846" s="2">
        <v>107</v>
      </c>
      <c r="C1846" s="2">
        <v>871527</v>
      </c>
      <c r="D1846" s="2" t="s">
        <v>814</v>
      </c>
      <c r="E1846" s="2" t="s">
        <v>56</v>
      </c>
      <c r="F1846" t="s">
        <v>24</v>
      </c>
      <c r="G1846" t="s">
        <v>17</v>
      </c>
      <c r="N1846" s="2" t="s">
        <v>18</v>
      </c>
      <c r="O1846" s="2" t="s">
        <v>121</v>
      </c>
      <c r="P1846" s="2">
        <v>25000000</v>
      </c>
      <c r="Q1846" s="2">
        <v>6.5</v>
      </c>
      <c r="R1846" s="2" t="s">
        <v>4196</v>
      </c>
      <c r="S1846" s="2"/>
      <c r="U1846" s="2" t="s">
        <v>4197</v>
      </c>
      <c r="V1846">
        <f ca="1" t="shared" si="55"/>
        <v>5.5</v>
      </c>
      <c r="AC1846" s="2"/>
      <c r="AD1846" t="str">
        <f>IFERROR(__xludf.DUMMYFUNCTION("""COMPUTED_VALUE"""),"Gran Torino ")</f>
        <v>Gran Torino </v>
      </c>
      <c r="AE1846">
        <f t="shared" si="56"/>
        <v>148085639</v>
      </c>
    </row>
    <row r="1847" customHeight="1" spans="1:31">
      <c r="A1847" s="2" t="s">
        <v>2101</v>
      </c>
      <c r="B1847" s="2">
        <v>117</v>
      </c>
      <c r="C1847" s="2">
        <v>777423</v>
      </c>
      <c r="D1847" s="2" t="s">
        <v>592</v>
      </c>
      <c r="E1847" s="2" t="s">
        <v>59</v>
      </c>
      <c r="F1847" t="s">
        <v>55</v>
      </c>
      <c r="G1847" t="s">
        <v>17</v>
      </c>
      <c r="N1847" s="2" t="s">
        <v>18</v>
      </c>
      <c r="O1847" s="2" t="s">
        <v>19</v>
      </c>
      <c r="P1847" s="2">
        <v>25000000</v>
      </c>
      <c r="Q1847" s="2">
        <v>7.2</v>
      </c>
      <c r="R1847" s="2" t="s">
        <v>4198</v>
      </c>
      <c r="S1847" s="2"/>
      <c r="U1847" s="2" t="s">
        <v>4199</v>
      </c>
      <c r="V1847">
        <f ca="1" t="shared" ref="V1847:V1868" si="57">AVERAGEIF(A1731:A5516,U1847,Q1732:Q5516)</f>
        <v>6.3</v>
      </c>
      <c r="AC1847" s="2"/>
      <c r="AD1847" t="str">
        <f>IFERROR(__xludf.DUMMYFUNCTION("""COMPUTED_VALUE"""),"W. ")</f>
        <v>W. </v>
      </c>
      <c r="AE1847">
        <f t="shared" ref="AE1847:AE1910" si="58">C1731-B1731</f>
        <v>25517371</v>
      </c>
    </row>
    <row r="1848" customHeight="1" spans="1:31">
      <c r="A1848" s="2" t="s">
        <v>1971</v>
      </c>
      <c r="B1848" s="2">
        <v>107</v>
      </c>
      <c r="C1848" s="2">
        <v>1186957</v>
      </c>
      <c r="D1848" s="2" t="s">
        <v>30</v>
      </c>
      <c r="E1848" s="2" t="s">
        <v>30</v>
      </c>
      <c r="F1848" t="s">
        <v>40</v>
      </c>
      <c r="G1848" t="s">
        <v>17</v>
      </c>
      <c r="N1848" s="2" t="s">
        <v>18</v>
      </c>
      <c r="O1848" s="2" t="s">
        <v>31</v>
      </c>
      <c r="P1848" s="2">
        <v>25000000</v>
      </c>
      <c r="Q1848" s="2">
        <v>6.8</v>
      </c>
      <c r="R1848" s="2" t="s">
        <v>4200</v>
      </c>
      <c r="S1848" s="2"/>
      <c r="U1848" s="2" t="s">
        <v>4201</v>
      </c>
      <c r="V1848">
        <f ca="1" t="shared" si="57"/>
        <v>7.4</v>
      </c>
      <c r="AC1848" s="2"/>
      <c r="AD1848" t="str">
        <f>IFERROR(__xludf.DUMMYFUNCTION("""COMPUTED_VALUE"""),"Taken ")</f>
        <v>Taken </v>
      </c>
      <c r="AE1848">
        <f t="shared" si="58"/>
        <v>145000896</v>
      </c>
    </row>
    <row r="1849" customHeight="1" spans="1:31">
      <c r="A1849" s="2" t="s">
        <v>2103</v>
      </c>
      <c r="B1849" s="2">
        <v>131</v>
      </c>
      <c r="C1849" s="2">
        <v>85433</v>
      </c>
      <c r="D1849" s="2" t="s">
        <v>4202</v>
      </c>
      <c r="E1849" s="2" t="s">
        <v>56</v>
      </c>
      <c r="F1849" t="s">
        <v>56</v>
      </c>
      <c r="G1849" t="s">
        <v>30</v>
      </c>
      <c r="N1849" s="2" t="s">
        <v>18</v>
      </c>
      <c r="O1849" s="2" t="s">
        <v>3655</v>
      </c>
      <c r="P1849" s="2">
        <v>13500000</v>
      </c>
      <c r="Q1849" s="2">
        <v>7.8</v>
      </c>
      <c r="R1849" s="2" t="s">
        <v>4203</v>
      </c>
      <c r="S1849" s="2"/>
      <c r="U1849" s="2" t="s">
        <v>4204</v>
      </c>
      <c r="V1849">
        <f ca="1" t="shared" si="57"/>
        <v>7</v>
      </c>
      <c r="AC1849" s="2"/>
      <c r="AD1849" t="str">
        <f>IFERROR(__xludf.DUMMYFUNCTION("""COMPUTED_VALUE"""),"The Best of Me ")</f>
        <v>The Best of Me </v>
      </c>
      <c r="AE1849">
        <f t="shared" si="58"/>
        <v>26761165</v>
      </c>
    </row>
    <row r="1850" customHeight="1" spans="1:31">
      <c r="A1850" s="2" t="s">
        <v>2105</v>
      </c>
      <c r="B1850" s="2">
        <v>122</v>
      </c>
      <c r="C1850" s="2">
        <v>1697956</v>
      </c>
      <c r="D1850" s="2" t="s">
        <v>718</v>
      </c>
      <c r="E1850" s="2" t="s">
        <v>56</v>
      </c>
      <c r="F1850" t="s">
        <v>28</v>
      </c>
      <c r="G1850" t="s">
        <v>56</v>
      </c>
      <c r="N1850" s="2" t="s">
        <v>18</v>
      </c>
      <c r="O1850" s="2" t="s">
        <v>19</v>
      </c>
      <c r="P1850" s="2">
        <v>20000000</v>
      </c>
      <c r="Q1850" s="2">
        <v>6.7</v>
      </c>
      <c r="R1850" s="2" t="s">
        <v>4205</v>
      </c>
      <c r="S1850" s="2"/>
      <c r="U1850" s="2" t="s">
        <v>4206</v>
      </c>
      <c r="V1850">
        <f ca="1" t="shared" si="57"/>
        <v>7.1</v>
      </c>
      <c r="AC1850" s="2"/>
      <c r="AD1850" t="str">
        <f>IFERROR(__xludf.DUMMYFUNCTION("""COMPUTED_VALUE"""),"The Bodyguard ")</f>
        <v>The Bodyguard </v>
      </c>
      <c r="AE1850">
        <f t="shared" si="58"/>
        <v>121945591</v>
      </c>
    </row>
    <row r="1851" customHeight="1" spans="1:31">
      <c r="A1851" s="2" t="s">
        <v>2034</v>
      </c>
      <c r="B1851" s="2">
        <v>134</v>
      </c>
      <c r="C1851" s="2">
        <v>183662</v>
      </c>
      <c r="D1851" s="2" t="s">
        <v>975</v>
      </c>
      <c r="E1851" s="2" t="s">
        <v>40</v>
      </c>
      <c r="F1851" t="s">
        <v>24</v>
      </c>
      <c r="G1851" t="s">
        <v>30</v>
      </c>
      <c r="N1851" s="2" t="s">
        <v>1125</v>
      </c>
      <c r="O1851" s="2" t="s">
        <v>707</v>
      </c>
      <c r="P1851" s="2">
        <v>25000000</v>
      </c>
      <c r="Q1851" s="2">
        <v>7.1</v>
      </c>
      <c r="R1851" s="2" t="s">
        <v>4207</v>
      </c>
      <c r="S1851" s="2"/>
      <c r="U1851" s="2" t="s">
        <v>4208</v>
      </c>
      <c r="V1851">
        <f ca="1" t="shared" si="57"/>
        <v>7.5</v>
      </c>
      <c r="AC1851" s="2"/>
      <c r="AD1851" t="str">
        <f>IFERROR(__xludf.DUMMYFUNCTION("""COMPUTED_VALUE"""),"Schindler's List ")</f>
        <v>Schindler's List </v>
      </c>
      <c r="AE1851">
        <f t="shared" si="58"/>
        <v>96066994</v>
      </c>
    </row>
    <row r="1852" customHeight="1" spans="1:31">
      <c r="A1852" s="2" t="s">
        <v>1012</v>
      </c>
      <c r="B1852" s="2">
        <v>117</v>
      </c>
      <c r="C1852" s="2">
        <v>134904</v>
      </c>
      <c r="D1852" s="2" t="s">
        <v>1826</v>
      </c>
      <c r="E1852" s="2" t="s">
        <v>40</v>
      </c>
      <c r="F1852" t="s">
        <v>55</v>
      </c>
      <c r="G1852" t="s">
        <v>71</v>
      </c>
      <c r="N1852" s="2" t="s">
        <v>18</v>
      </c>
      <c r="O1852" s="2" t="s">
        <v>19</v>
      </c>
      <c r="P1852" s="2">
        <v>25000000</v>
      </c>
      <c r="Q1852" s="2">
        <v>5.7</v>
      </c>
      <c r="R1852" s="2" t="s">
        <v>4209</v>
      </c>
      <c r="S1852" s="2"/>
      <c r="U1852" s="2" t="s">
        <v>4210</v>
      </c>
      <c r="V1852">
        <f ca="1" t="shared" si="57"/>
        <v>6.7</v>
      </c>
      <c r="AC1852" s="2"/>
      <c r="AD1852" t="str">
        <f>IFERROR(__xludf.DUMMYFUNCTION("""COMPUTED_VALUE"""),"The Help ")</f>
        <v>The Help </v>
      </c>
      <c r="AE1852">
        <f t="shared" si="58"/>
        <v>169705441</v>
      </c>
    </row>
    <row r="1853" customHeight="1" spans="1:31">
      <c r="A1853" s="2" t="s">
        <v>94</v>
      </c>
      <c r="B1853" s="2">
        <v>138</v>
      </c>
      <c r="C1853" s="2">
        <v>16969390</v>
      </c>
      <c r="D1853" s="2" t="s">
        <v>805</v>
      </c>
      <c r="E1853" s="2" t="s">
        <v>56</v>
      </c>
      <c r="F1853" t="s">
        <v>30</v>
      </c>
      <c r="G1853" t="s">
        <v>15</v>
      </c>
      <c r="N1853" s="2" t="s">
        <v>18</v>
      </c>
      <c r="O1853" s="2" t="s">
        <v>19</v>
      </c>
      <c r="P1853" s="2">
        <v>25000000</v>
      </c>
      <c r="Q1853" s="2">
        <v>5.3</v>
      </c>
      <c r="R1853" s="2" t="s">
        <v>4211</v>
      </c>
      <c r="S1853" s="2"/>
      <c r="U1853" s="2" t="s">
        <v>4212</v>
      </c>
      <c r="V1853">
        <f ca="1" t="shared" si="57"/>
        <v>7</v>
      </c>
      <c r="AC1853" s="2"/>
      <c r="AD1853" t="str">
        <f>IFERROR(__xludf.DUMMYFUNCTION("""COMPUTED_VALUE"""),"The Fifth Estate ")</f>
        <v>The Fifth Estate </v>
      </c>
      <c r="AE1853">
        <f t="shared" si="58"/>
        <v>3254044</v>
      </c>
    </row>
    <row r="1854" customHeight="1" spans="1:31">
      <c r="A1854" s="2" t="s">
        <v>2107</v>
      </c>
      <c r="B1854" s="2">
        <v>100</v>
      </c>
      <c r="C1854" s="2">
        <v>129115</v>
      </c>
      <c r="D1854" s="2" t="s">
        <v>297</v>
      </c>
      <c r="E1854" s="2" t="s">
        <v>12</v>
      </c>
      <c r="F1854" t="s">
        <v>30</v>
      </c>
      <c r="G1854" t="s">
        <v>29</v>
      </c>
      <c r="N1854" s="2" t="s">
        <v>3028</v>
      </c>
      <c r="O1854" s="2" t="s">
        <v>343</v>
      </c>
      <c r="P1854" s="2">
        <v>25000000</v>
      </c>
      <c r="Q1854" s="2">
        <v>6.5</v>
      </c>
      <c r="R1854" s="2" t="s">
        <v>4213</v>
      </c>
      <c r="S1854" s="2"/>
      <c r="U1854" s="2" t="s">
        <v>4214</v>
      </c>
      <c r="V1854">
        <f ca="1" t="shared" si="57"/>
        <v>7</v>
      </c>
      <c r="AC1854" s="2"/>
      <c r="AD1854" t="str">
        <f>IFERROR(__xludf.DUMMYFUNCTION("""COMPUTED_VALUE"""),"Scooby-Doo 2: Monsters Unleashed ")</f>
        <v>Scooby-Doo 2: Monsters Unleashed </v>
      </c>
      <c r="AE1854">
        <f t="shared" si="58"/>
        <v>84185294</v>
      </c>
    </row>
    <row r="1855" customHeight="1" spans="1:31">
      <c r="A1855" s="2" t="s">
        <v>1377</v>
      </c>
      <c r="B1855" s="2">
        <v>119</v>
      </c>
      <c r="C1855" s="2">
        <v>34700000</v>
      </c>
      <c r="D1855" s="2" t="s">
        <v>103</v>
      </c>
      <c r="E1855" s="2" t="s">
        <v>30</v>
      </c>
      <c r="F1855" t="s">
        <v>40</v>
      </c>
      <c r="G1855" t="s">
        <v>55</v>
      </c>
      <c r="N1855" s="2" t="s">
        <v>18</v>
      </c>
      <c r="O1855" s="2" t="s">
        <v>19</v>
      </c>
      <c r="P1855" s="2">
        <v>14000000</v>
      </c>
      <c r="Q1855" s="2">
        <v>7.7</v>
      </c>
      <c r="R1855" s="2" t="s">
        <v>4215</v>
      </c>
      <c r="S1855" s="2"/>
      <c r="U1855" s="2" t="s">
        <v>4216</v>
      </c>
      <c r="V1855">
        <f ca="1" t="shared" si="57"/>
        <v>6.8</v>
      </c>
      <c r="AC1855" s="2"/>
      <c r="AD1855" t="str">
        <f>IFERROR(__xludf.DUMMYFUNCTION("""COMPUTED_VALUE"""),"Freddy vs. Jason ")</f>
        <v>Freddy vs. Jason </v>
      </c>
      <c r="AE1855">
        <f t="shared" si="58"/>
        <v>82163220</v>
      </c>
    </row>
    <row r="1856" customHeight="1" spans="1:31">
      <c r="A1856" s="2" t="s">
        <v>1139</v>
      </c>
      <c r="B1856" s="2">
        <v>137</v>
      </c>
      <c r="C1856" s="2">
        <v>717753</v>
      </c>
      <c r="D1856" s="2" t="s">
        <v>2943</v>
      </c>
      <c r="E1856" s="2" t="s">
        <v>13</v>
      </c>
      <c r="F1856" t="s">
        <v>30</v>
      </c>
      <c r="G1856" t="s">
        <v>40</v>
      </c>
      <c r="N1856" s="2" t="s">
        <v>18</v>
      </c>
      <c r="O1856" s="2" t="s">
        <v>707</v>
      </c>
      <c r="P1856" s="2">
        <v>25000000</v>
      </c>
      <c r="Q1856" s="2">
        <v>6.1</v>
      </c>
      <c r="R1856" s="2" t="s">
        <v>4217</v>
      </c>
      <c r="S1856" s="2"/>
      <c r="U1856" s="2" t="s">
        <v>4218</v>
      </c>
      <c r="V1856">
        <f ca="1" t="shared" si="57"/>
        <v>7.5</v>
      </c>
      <c r="AC1856" s="2"/>
      <c r="AD1856" t="str">
        <f>IFERROR(__xludf.DUMMYFUNCTION("""COMPUTED_VALUE"""),"Jimmy Neutron: Boy Genius ")</f>
        <v>Jimmy Neutron: Boy Genius </v>
      </c>
      <c r="AE1856">
        <f t="shared" si="58"/>
        <v>80920866</v>
      </c>
    </row>
    <row r="1857" customHeight="1" spans="1:31">
      <c r="A1857" s="2" t="s">
        <v>2109</v>
      </c>
      <c r="B1857" s="2">
        <v>119</v>
      </c>
      <c r="C1857" s="2">
        <v>109713132</v>
      </c>
      <c r="D1857" s="2" t="s">
        <v>690</v>
      </c>
      <c r="E1857" s="2" t="s">
        <v>13</v>
      </c>
      <c r="F1857" t="s">
        <v>17</v>
      </c>
      <c r="G1857" t="s">
        <v>56</v>
      </c>
      <c r="N1857" s="2" t="s">
        <v>18</v>
      </c>
      <c r="O1857" s="2" t="s">
        <v>19</v>
      </c>
      <c r="P1857" s="2">
        <v>25000000</v>
      </c>
      <c r="Q1857" s="2">
        <v>7.3</v>
      </c>
      <c r="R1857" s="2" t="s">
        <v>4219</v>
      </c>
      <c r="S1857" s="2"/>
      <c r="U1857" s="2" t="s">
        <v>4220</v>
      </c>
      <c r="V1857">
        <f ca="1" t="shared" si="57"/>
        <v>7.3</v>
      </c>
      <c r="AC1857" s="2"/>
      <c r="AD1857" t="str">
        <f>IFERROR(__xludf.DUMMYFUNCTION("""COMPUTED_VALUE"""),"Cloverfield ")</f>
        <v>Cloverfield </v>
      </c>
      <c r="AE1857">
        <f t="shared" si="58"/>
        <v>80034217</v>
      </c>
    </row>
    <row r="1858" customHeight="1" spans="1:31">
      <c r="A1858" s="2" t="s">
        <v>786</v>
      </c>
      <c r="B1858" s="2">
        <v>139</v>
      </c>
      <c r="C1858" s="2">
        <v>70269171</v>
      </c>
      <c r="D1858" s="2" t="s">
        <v>1527</v>
      </c>
      <c r="E1858" s="2" t="s">
        <v>30</v>
      </c>
      <c r="F1858" t="s">
        <v>13</v>
      </c>
      <c r="G1858" t="s">
        <v>30</v>
      </c>
      <c r="N1858" s="2" t="s">
        <v>18</v>
      </c>
      <c r="O1858" s="2" t="s">
        <v>19</v>
      </c>
      <c r="P1858" s="2">
        <v>24000000</v>
      </c>
      <c r="Q1858" s="2">
        <v>7.2</v>
      </c>
      <c r="R1858" s="2" t="s">
        <v>4221</v>
      </c>
      <c r="S1858" s="2"/>
      <c r="U1858" s="2" t="s">
        <v>4222</v>
      </c>
      <c r="V1858">
        <f ca="1" t="shared" si="57"/>
        <v>5.6</v>
      </c>
      <c r="AC1858" s="2"/>
      <c r="AD1858" t="str">
        <f>IFERROR(__xludf.DUMMYFUNCTION("""COMPUTED_VALUE"""),"Teenage Mutant Ninja Turtles II: The Secret of the Ooze ")</f>
        <v>Teenage Mutant Ninja Turtles II: The Secret of the Ooze </v>
      </c>
      <c r="AE1858">
        <f t="shared" si="58"/>
        <v>78656725</v>
      </c>
    </row>
    <row r="1859" customHeight="1" spans="1:31">
      <c r="A1859" s="2" t="s">
        <v>1502</v>
      </c>
      <c r="B1859" s="2">
        <v>120</v>
      </c>
      <c r="C1859" s="2">
        <v>101334374</v>
      </c>
      <c r="D1859" s="2" t="s">
        <v>2613</v>
      </c>
      <c r="E1859" s="2" t="s">
        <v>72</v>
      </c>
      <c r="F1859" t="s">
        <v>40</v>
      </c>
      <c r="G1859" t="s">
        <v>28</v>
      </c>
      <c r="N1859" s="2" t="s">
        <v>18</v>
      </c>
      <c r="O1859" s="2" t="s">
        <v>19</v>
      </c>
      <c r="P1859" s="2">
        <v>24000000</v>
      </c>
      <c r="Q1859" s="2">
        <v>6.1</v>
      </c>
      <c r="R1859" s="2" t="s">
        <v>4223</v>
      </c>
      <c r="S1859" s="2"/>
      <c r="U1859" s="2" t="s">
        <v>4224</v>
      </c>
      <c r="V1859">
        <f ca="1" t="shared" si="57"/>
        <v>6.6</v>
      </c>
      <c r="AC1859" s="2"/>
      <c r="AD1859" t="str">
        <f>IFERROR(__xludf.DUMMYFUNCTION("""COMPUTED_VALUE"""),"The Untouchables ")</f>
        <v>The Untouchables </v>
      </c>
      <c r="AE1859">
        <f t="shared" si="58"/>
        <v>76270335</v>
      </c>
    </row>
    <row r="1860" customHeight="1" spans="1:31">
      <c r="A1860" s="2" t="s">
        <v>1887</v>
      </c>
      <c r="B1860" s="2">
        <v>98</v>
      </c>
      <c r="C1860" s="2">
        <v>1512815</v>
      </c>
      <c r="D1860" s="2" t="s">
        <v>4225</v>
      </c>
      <c r="E1860" s="2" t="s">
        <v>12</v>
      </c>
      <c r="F1860" t="s">
        <v>13</v>
      </c>
      <c r="G1860" t="s">
        <v>24</v>
      </c>
      <c r="N1860" s="2" t="s">
        <v>18</v>
      </c>
      <c r="O1860" s="2" t="s">
        <v>19</v>
      </c>
      <c r="P1860" s="2">
        <v>25000000</v>
      </c>
      <c r="Q1860" s="2">
        <v>5.8</v>
      </c>
      <c r="R1860" s="2" t="s">
        <v>4226</v>
      </c>
      <c r="S1860" s="2"/>
      <c r="U1860" s="2" t="s">
        <v>4227</v>
      </c>
      <c r="V1860">
        <f ca="1" t="shared" si="57"/>
        <v>7.5</v>
      </c>
      <c r="AC1860" s="2"/>
      <c r="AD1860" t="str">
        <f>IFERROR(__xludf.DUMMYFUNCTION("""COMPUTED_VALUE"""),"No Country for Old Men ")</f>
        <v>No Country for Old Men </v>
      </c>
      <c r="AE1860">
        <f t="shared" si="58"/>
        <v>74273383</v>
      </c>
    </row>
    <row r="1861" customHeight="1" spans="1:31">
      <c r="A1861" s="2" t="s">
        <v>497</v>
      </c>
      <c r="B1861" s="2">
        <v>106</v>
      </c>
      <c r="C1861" s="2">
        <v>65182182</v>
      </c>
      <c r="D1861" s="2" t="s">
        <v>607</v>
      </c>
      <c r="E1861" s="2" t="s">
        <v>40</v>
      </c>
      <c r="F1861" t="s">
        <v>39</v>
      </c>
      <c r="G1861" t="s">
        <v>17</v>
      </c>
      <c r="N1861" s="2" t="s">
        <v>18</v>
      </c>
      <c r="O1861" s="2" t="s">
        <v>19</v>
      </c>
      <c r="P1861" s="2">
        <v>24000000</v>
      </c>
      <c r="Q1861" s="2">
        <v>5.7</v>
      </c>
      <c r="R1861" s="2" t="s">
        <v>4228</v>
      </c>
      <c r="S1861" s="2"/>
      <c r="U1861" s="2" t="s">
        <v>4229</v>
      </c>
      <c r="V1861">
        <f ca="1" t="shared" si="57"/>
        <v>4.1</v>
      </c>
      <c r="AC1861" s="2"/>
      <c r="AD1861" t="str">
        <f>IFERROR(__xludf.DUMMYFUNCTION("""COMPUTED_VALUE"""),"Ride Along ")</f>
        <v>Ride Along </v>
      </c>
      <c r="AE1861">
        <f t="shared" si="58"/>
        <v>134141431</v>
      </c>
    </row>
    <row r="1862" customHeight="1" spans="1:31">
      <c r="A1862" s="2" t="s">
        <v>1601</v>
      </c>
      <c r="B1862" s="2">
        <v>98</v>
      </c>
      <c r="C1862" s="2">
        <v>57262492</v>
      </c>
      <c r="D1862" s="2" t="s">
        <v>383</v>
      </c>
      <c r="E1862" s="2" t="s">
        <v>40</v>
      </c>
      <c r="F1862" t="s">
        <v>30</v>
      </c>
      <c r="G1862" t="s">
        <v>16</v>
      </c>
      <c r="N1862" s="2" t="s">
        <v>18</v>
      </c>
      <c r="O1862" s="2" t="s">
        <v>19</v>
      </c>
      <c r="P1862" s="2">
        <v>24000000</v>
      </c>
      <c r="Q1862" s="2">
        <v>6.7</v>
      </c>
      <c r="R1862" s="2" t="s">
        <v>4230</v>
      </c>
      <c r="S1862" s="2"/>
      <c r="U1862" s="2" t="s">
        <v>4231</v>
      </c>
      <c r="V1862">
        <f ca="1" t="shared" si="57"/>
        <v>7.8</v>
      </c>
      <c r="AC1862" s="2"/>
      <c r="AD1862" t="str">
        <f>IFERROR(__xludf.DUMMYFUNCTION("""COMPUTED_VALUE"""),"Bridget Jones's Diary ")</f>
        <v>Bridget Jones's Diary </v>
      </c>
      <c r="AE1862">
        <f t="shared" si="58"/>
        <v>71500459</v>
      </c>
    </row>
    <row r="1863" customHeight="1" spans="1:31">
      <c r="A1863" s="2" t="s">
        <v>2111</v>
      </c>
      <c r="B1863" s="2">
        <v>107</v>
      </c>
      <c r="C1863" s="2">
        <v>80000000</v>
      </c>
      <c r="D1863" s="2" t="s">
        <v>3280</v>
      </c>
      <c r="E1863" s="2" t="s">
        <v>30</v>
      </c>
      <c r="F1863" t="s">
        <v>56</v>
      </c>
      <c r="G1863" t="s">
        <v>17</v>
      </c>
      <c r="N1863" s="2" t="s">
        <v>18</v>
      </c>
      <c r="O1863" s="2" t="s">
        <v>19</v>
      </c>
      <c r="P1863" s="2">
        <v>8200000</v>
      </c>
      <c r="Q1863" s="2">
        <v>6.5</v>
      </c>
      <c r="R1863" s="2" t="s">
        <v>4232</v>
      </c>
      <c r="S1863" s="2"/>
      <c r="U1863" s="2" t="s">
        <v>4233</v>
      </c>
      <c r="V1863">
        <f ca="1" t="shared" si="57"/>
        <v>7.3</v>
      </c>
      <c r="AC1863" s="2"/>
      <c r="AD1863" t="str">
        <f>IFERROR(__xludf.DUMMYFUNCTION("""COMPUTED_VALUE"""),"Chocolat ")</f>
        <v>Chocolat </v>
      </c>
      <c r="AE1863">
        <f t="shared" si="58"/>
        <v>71309639</v>
      </c>
    </row>
    <row r="1864" customHeight="1" spans="1:31">
      <c r="A1864" s="2" t="s">
        <v>788</v>
      </c>
      <c r="B1864" s="2">
        <v>88</v>
      </c>
      <c r="C1864" s="2">
        <v>74608545</v>
      </c>
      <c r="D1864" s="2" t="s">
        <v>40</v>
      </c>
      <c r="E1864" s="2" t="s">
        <v>40</v>
      </c>
      <c r="F1864" t="s">
        <v>56</v>
      </c>
      <c r="G1864" t="s">
        <v>24</v>
      </c>
      <c r="N1864" s="2" t="s">
        <v>18</v>
      </c>
      <c r="O1864" s="2" t="s">
        <v>19</v>
      </c>
      <c r="P1864" s="2">
        <v>24000000</v>
      </c>
      <c r="Q1864" s="2">
        <v>7.2</v>
      </c>
      <c r="R1864" s="2" t="s">
        <v>4234</v>
      </c>
      <c r="S1864" s="2"/>
      <c r="U1864" s="2" t="s">
        <v>4235</v>
      </c>
      <c r="V1864">
        <f ca="1" t="shared" si="57"/>
        <v>6.1</v>
      </c>
      <c r="AC1864" s="2"/>
      <c r="AD1864" t="str">
        <f>IFERROR(__xludf.DUMMYFUNCTION("""COMPUTED_VALUE"""),"Legally Blonde 2: Red, White &amp; Blonde ")</f>
        <v>Legally Blonde 2: Red, White &amp; Blonde </v>
      </c>
      <c r="AE1864">
        <f t="shared" si="58"/>
        <v>89808277</v>
      </c>
    </row>
    <row r="1865" customHeight="1" spans="1:31">
      <c r="A1865" s="2" t="s">
        <v>836</v>
      </c>
      <c r="B1865" s="2">
        <v>137</v>
      </c>
      <c r="C1865" s="2">
        <v>41895491</v>
      </c>
      <c r="D1865" s="2" t="s">
        <v>3310</v>
      </c>
      <c r="E1865" s="2" t="s">
        <v>40</v>
      </c>
      <c r="F1865" t="s">
        <v>30</v>
      </c>
      <c r="G1865" t="s">
        <v>56</v>
      </c>
      <c r="N1865" s="2" t="s">
        <v>18</v>
      </c>
      <c r="O1865" s="2" t="s">
        <v>19</v>
      </c>
      <c r="P1865" s="2">
        <v>24000000</v>
      </c>
      <c r="Q1865" s="2">
        <v>7.6</v>
      </c>
      <c r="R1865" s="2" t="s">
        <v>4236</v>
      </c>
      <c r="S1865" s="2"/>
      <c r="U1865" s="2" t="s">
        <v>4237</v>
      </c>
      <c r="V1865">
        <f ca="1" t="shared" si="57"/>
        <v>7.4</v>
      </c>
      <c r="AC1865" s="2"/>
      <c r="AD1865" t="str">
        <f>IFERROR(__xludf.DUMMYFUNCTION("""COMPUTED_VALUE"""),"Parental Guidance ")</f>
        <v>Parental Guidance </v>
      </c>
      <c r="AE1865">
        <f t="shared" si="58"/>
        <v>77264821</v>
      </c>
    </row>
    <row r="1866" customHeight="1" spans="1:31">
      <c r="A1866" s="2" t="s">
        <v>1737</v>
      </c>
      <c r="B1866" s="2">
        <v>100</v>
      </c>
      <c r="C1866" s="2">
        <v>39989008</v>
      </c>
      <c r="D1866" s="2" t="s">
        <v>2613</v>
      </c>
      <c r="E1866" s="2" t="s">
        <v>72</v>
      </c>
      <c r="F1866" t="s">
        <v>15</v>
      </c>
      <c r="G1866" t="s">
        <v>23</v>
      </c>
      <c r="N1866" s="2" t="s">
        <v>18</v>
      </c>
      <c r="O1866" s="2" t="s">
        <v>19</v>
      </c>
      <c r="P1866" s="2">
        <v>24000000</v>
      </c>
      <c r="Q1866" s="2">
        <v>4.6</v>
      </c>
      <c r="R1866" s="2" t="s">
        <v>4238</v>
      </c>
      <c r="S1866" s="2"/>
      <c r="U1866" s="2" t="s">
        <v>4239</v>
      </c>
      <c r="V1866">
        <f ca="1" t="shared" si="57"/>
        <v>7</v>
      </c>
      <c r="AC1866" s="2"/>
      <c r="AD1866" t="str">
        <f>IFERROR(__xludf.DUMMYFUNCTION("""COMPUTED_VALUE"""),"No Strings Attached ")</f>
        <v>No Strings Attached </v>
      </c>
      <c r="AE1866">
        <f t="shared" si="58"/>
        <v>70625878</v>
      </c>
    </row>
    <row r="1867" customHeight="1" spans="1:31">
      <c r="A1867" s="2" t="s">
        <v>2113</v>
      </c>
      <c r="B1867" s="2">
        <v>115</v>
      </c>
      <c r="C1867" s="2">
        <v>32662299</v>
      </c>
      <c r="D1867" s="2" t="s">
        <v>521</v>
      </c>
      <c r="E1867" s="2" t="s">
        <v>40</v>
      </c>
      <c r="F1867" t="s">
        <v>30</v>
      </c>
      <c r="G1867" t="s">
        <v>29</v>
      </c>
      <c r="N1867" s="2" t="s">
        <v>18</v>
      </c>
      <c r="O1867" s="2" t="s">
        <v>19</v>
      </c>
      <c r="P1867" s="2">
        <v>24000000</v>
      </c>
      <c r="Q1867" s="2">
        <v>6.9</v>
      </c>
      <c r="R1867" s="2" t="s">
        <v>4240</v>
      </c>
      <c r="S1867" s="2"/>
      <c r="U1867" s="2" t="s">
        <v>4241</v>
      </c>
      <c r="V1867">
        <f ca="1" t="shared" si="57"/>
        <v>6.3</v>
      </c>
      <c r="AC1867" s="2"/>
      <c r="AD1867" t="str">
        <f>IFERROR(__xludf.DUMMYFUNCTION("""COMPUTED_VALUE"""),"Tombstone ")</f>
        <v>Tombstone </v>
      </c>
      <c r="AE1867">
        <f t="shared" si="58"/>
        <v>56504931</v>
      </c>
    </row>
    <row r="1868" customHeight="1" spans="1:31">
      <c r="A1868" s="2" t="s">
        <v>1632</v>
      </c>
      <c r="B1868" s="2">
        <v>101</v>
      </c>
      <c r="C1868" s="2">
        <v>31452765</v>
      </c>
      <c r="D1868" s="2" t="s">
        <v>607</v>
      </c>
      <c r="E1868" s="2" t="s">
        <v>40</v>
      </c>
      <c r="F1868" t="s">
        <v>30</v>
      </c>
      <c r="G1868" t="s">
        <v>23</v>
      </c>
      <c r="N1868" s="2" t="s">
        <v>18</v>
      </c>
      <c r="O1868" s="2" t="s">
        <v>19</v>
      </c>
      <c r="P1868" s="2">
        <v>24000000</v>
      </c>
      <c r="Q1868" s="2">
        <v>6.6</v>
      </c>
      <c r="R1868" s="2" t="s">
        <v>4242</v>
      </c>
      <c r="S1868" s="2"/>
      <c r="U1868" s="2" t="s">
        <v>4243</v>
      </c>
      <c r="V1868">
        <f ca="1" t="shared" si="57"/>
        <v>6.9</v>
      </c>
      <c r="AC1868" s="2"/>
      <c r="AD1868" t="str">
        <f>IFERROR(__xludf.DUMMYFUNCTION("""COMPUTED_VALUE"""),"Romeo Must Die ")</f>
        <v>Romeo Must Die </v>
      </c>
      <c r="AE1868">
        <f t="shared" si="58"/>
        <v>55973221</v>
      </c>
    </row>
    <row r="1869" customHeight="1" spans="1:31">
      <c r="A1869" s="2" t="s">
        <v>2116</v>
      </c>
      <c r="B1869" s="2">
        <v>110</v>
      </c>
      <c r="C1869" s="2">
        <v>25167270</v>
      </c>
      <c r="D1869" s="2" t="s">
        <v>3855</v>
      </c>
      <c r="E1869" s="2" t="s">
        <v>40</v>
      </c>
      <c r="F1869" t="s">
        <v>17</v>
      </c>
      <c r="G1869" t="s">
        <v>24</v>
      </c>
      <c r="N1869" s="2" t="s">
        <v>18</v>
      </c>
      <c r="O1869" s="2" t="s">
        <v>293</v>
      </c>
      <c r="P1869" s="2">
        <v>24000000</v>
      </c>
      <c r="Q1869" s="2">
        <v>6.3</v>
      </c>
      <c r="R1869" s="2" t="s">
        <v>4244</v>
      </c>
      <c r="S1869" s="2"/>
      <c r="AC1869" s="2"/>
      <c r="AD1869" t="str">
        <f>IFERROR(__xludf.DUMMYFUNCTION("""COMPUTED_VALUE"""),"Final Destination 3 ")</f>
        <v>Final Destination 3 </v>
      </c>
      <c r="AE1869">
        <f t="shared" si="58"/>
        <v>54097965</v>
      </c>
    </row>
    <row r="1870" customHeight="1" spans="1:31">
      <c r="A1870" s="2" t="s">
        <v>2118</v>
      </c>
      <c r="B1870" s="2">
        <v>94</v>
      </c>
      <c r="C1870" s="2">
        <v>32416109</v>
      </c>
      <c r="D1870" s="2" t="s">
        <v>4245</v>
      </c>
      <c r="E1870" s="2" t="s">
        <v>40</v>
      </c>
      <c r="F1870" t="s">
        <v>28</v>
      </c>
      <c r="G1870" t="s">
        <v>56</v>
      </c>
      <c r="N1870" s="2" t="s">
        <v>18</v>
      </c>
      <c r="O1870" s="2" t="s">
        <v>19</v>
      </c>
      <c r="P1870" s="2">
        <v>25000000</v>
      </c>
      <c r="Q1870" s="2">
        <v>6.2</v>
      </c>
      <c r="R1870" s="2" t="s">
        <v>4246</v>
      </c>
      <c r="S1870" s="2"/>
      <c r="AC1870" s="2"/>
      <c r="AD1870" t="str">
        <f>IFERROR(__xludf.DUMMYFUNCTION("""COMPUTED_VALUE"""),"The Lucky One ")</f>
        <v>The Lucky One </v>
      </c>
      <c r="AE1870">
        <f t="shared" si="58"/>
        <v>60443136</v>
      </c>
    </row>
    <row r="1871" customHeight="1" spans="1:31">
      <c r="A1871" s="2" t="s">
        <v>2120</v>
      </c>
      <c r="B1871" s="2">
        <v>88</v>
      </c>
      <c r="C1871" s="2">
        <v>20218</v>
      </c>
      <c r="D1871" s="2" t="s">
        <v>174</v>
      </c>
      <c r="E1871" s="2" t="s">
        <v>12</v>
      </c>
      <c r="F1871" t="s">
        <v>30</v>
      </c>
      <c r="G1871" t="s">
        <v>40</v>
      </c>
      <c r="N1871" s="2" t="s">
        <v>18</v>
      </c>
      <c r="O1871" s="2" t="s">
        <v>19</v>
      </c>
      <c r="P1871" s="2">
        <v>24000000</v>
      </c>
      <c r="Q1871" s="2">
        <v>5.3</v>
      </c>
      <c r="R1871" s="2" t="s">
        <v>4247</v>
      </c>
      <c r="S1871" s="2"/>
      <c r="AC1871" s="2"/>
      <c r="AD1871" t="str">
        <f>IFERROR(__xludf.DUMMYFUNCTION("""COMPUTED_VALUE"""),"Bridge to Terabithia ")</f>
        <v>Bridge to Terabithia </v>
      </c>
      <c r="AE1871">
        <f t="shared" si="58"/>
        <v>82234043</v>
      </c>
    </row>
    <row r="1872" customHeight="1" spans="1:31">
      <c r="A1872" s="2" t="s">
        <v>523</v>
      </c>
      <c r="B1872" s="2">
        <v>127</v>
      </c>
      <c r="C1872" s="2">
        <v>28871190</v>
      </c>
      <c r="D1872" s="2" t="s">
        <v>562</v>
      </c>
      <c r="E1872" s="2" t="s">
        <v>59</v>
      </c>
      <c r="F1872" t="s">
        <v>16</v>
      </c>
      <c r="G1872" t="s">
        <v>15</v>
      </c>
      <c r="N1872" s="2" t="s">
        <v>18</v>
      </c>
      <c r="O1872" s="2" t="s">
        <v>19</v>
      </c>
      <c r="P1872" s="2">
        <v>24000000</v>
      </c>
      <c r="Q1872" s="2">
        <v>7.3</v>
      </c>
      <c r="R1872" s="2" t="s">
        <v>4248</v>
      </c>
      <c r="S1872" s="2"/>
      <c r="AC1872" s="2"/>
      <c r="AD1872" t="str">
        <f>IFERROR(__xludf.DUMMYFUNCTION("""COMPUTED_VALUE"""),"Finding Neverland ")</f>
        <v>Finding Neverland </v>
      </c>
      <c r="AE1872">
        <f t="shared" si="58"/>
        <v>51676505</v>
      </c>
    </row>
    <row r="1873" customHeight="1" spans="1:31">
      <c r="A1873" s="2" t="s">
        <v>884</v>
      </c>
      <c r="B1873" s="2">
        <v>95</v>
      </c>
      <c r="C1873" s="2">
        <v>16964743</v>
      </c>
      <c r="D1873" s="2" t="s">
        <v>607</v>
      </c>
      <c r="E1873" s="2" t="s">
        <v>40</v>
      </c>
      <c r="F1873" t="s">
        <v>15</v>
      </c>
      <c r="G1873" t="s">
        <v>17</v>
      </c>
      <c r="N1873" s="2" t="s">
        <v>18</v>
      </c>
      <c r="O1873" s="2" t="s">
        <v>19</v>
      </c>
      <c r="P1873" s="2">
        <v>24000000</v>
      </c>
      <c r="Q1873" s="2">
        <v>5.6</v>
      </c>
      <c r="R1873" s="2" t="s">
        <v>4249</v>
      </c>
      <c r="S1873" s="2"/>
      <c r="AC1873" s="2"/>
      <c r="AD1873" t="str">
        <f>IFERROR(__xludf.DUMMYFUNCTION("""COMPUTED_VALUE"""),"A Madea Christmas ")</f>
        <v>A Madea Christmas </v>
      </c>
      <c r="AE1873">
        <f t="shared" si="58"/>
        <v>52528230</v>
      </c>
    </row>
    <row r="1874" customHeight="1" spans="1:31">
      <c r="A1874" s="2" t="s">
        <v>1041</v>
      </c>
      <c r="B1874" s="2">
        <v>87</v>
      </c>
      <c r="C1874" s="2">
        <v>16290976</v>
      </c>
      <c r="D1874" s="2" t="s">
        <v>4250</v>
      </c>
      <c r="E1874" s="2" t="s">
        <v>13</v>
      </c>
      <c r="F1874" t="s">
        <v>13</v>
      </c>
      <c r="G1874" t="s">
        <v>30</v>
      </c>
      <c r="N1874" s="2" t="s">
        <v>18</v>
      </c>
      <c r="O1874" s="2" t="s">
        <v>19</v>
      </c>
      <c r="P1874" s="2">
        <v>24000000</v>
      </c>
      <c r="Q1874" s="2">
        <v>6.2</v>
      </c>
      <c r="R1874" s="2" t="s">
        <v>4251</v>
      </c>
      <c r="S1874" s="2"/>
      <c r="AC1874" s="2"/>
      <c r="AD1874" t="str">
        <f>IFERROR(__xludf.DUMMYFUNCTION("""COMPUTED_VALUE"""),"The Grey ")</f>
        <v>The Grey </v>
      </c>
      <c r="AE1874">
        <f t="shared" si="58"/>
        <v>51533491</v>
      </c>
    </row>
    <row r="1875" customHeight="1" spans="1:31">
      <c r="A1875" s="2" t="s">
        <v>2122</v>
      </c>
      <c r="B1875" s="2">
        <v>118</v>
      </c>
      <c r="C1875" s="2">
        <v>13000000</v>
      </c>
      <c r="D1875" s="2" t="s">
        <v>4252</v>
      </c>
      <c r="E1875" s="2" t="s">
        <v>13</v>
      </c>
      <c r="F1875" t="s">
        <v>40</v>
      </c>
      <c r="G1875" t="s">
        <v>83</v>
      </c>
      <c r="N1875" s="2" t="s">
        <v>18</v>
      </c>
      <c r="O1875" s="2" t="s">
        <v>19</v>
      </c>
      <c r="P1875" s="2">
        <v>24000000</v>
      </c>
      <c r="Q1875" s="2">
        <v>5.2</v>
      </c>
      <c r="R1875" s="2" t="s">
        <v>4253</v>
      </c>
      <c r="S1875" s="2"/>
      <c r="AC1875" s="2"/>
      <c r="AD1875" t="str">
        <f>IFERROR(__xludf.DUMMYFUNCTION("""COMPUTED_VALUE"""),"Hide and Seek ")</f>
        <v>Hide and Seek </v>
      </c>
      <c r="AE1875">
        <f t="shared" si="58"/>
        <v>51097563</v>
      </c>
    </row>
    <row r="1876" customHeight="1" spans="1:31">
      <c r="A1876" s="2" t="s">
        <v>1070</v>
      </c>
      <c r="B1876" s="2">
        <v>107</v>
      </c>
      <c r="C1876" s="2">
        <v>12372410</v>
      </c>
      <c r="D1876" s="2" t="s">
        <v>1581</v>
      </c>
      <c r="E1876" s="2" t="s">
        <v>40</v>
      </c>
      <c r="F1876" t="s">
        <v>15</v>
      </c>
      <c r="G1876" t="s">
        <v>40</v>
      </c>
      <c r="N1876" s="2" t="s">
        <v>18</v>
      </c>
      <c r="O1876" s="2" t="s">
        <v>19</v>
      </c>
      <c r="P1876" s="2">
        <v>24000000</v>
      </c>
      <c r="Q1876" s="2">
        <v>5.3</v>
      </c>
      <c r="R1876" s="2" t="s">
        <v>4254</v>
      </c>
      <c r="S1876" s="2"/>
      <c r="AC1876" s="2"/>
      <c r="AD1876" t="str">
        <f>IFERROR(__xludf.DUMMYFUNCTION("""COMPUTED_VALUE"""),"Anchorman: The Legend of Ron Burgundy ")</f>
        <v>Anchorman: The Legend of Ron Burgundy </v>
      </c>
      <c r="AE1876">
        <f t="shared" si="58"/>
        <v>84136811</v>
      </c>
    </row>
    <row r="1877" customHeight="1" spans="1:31">
      <c r="A1877" s="2" t="s">
        <v>900</v>
      </c>
      <c r="B1877" s="2">
        <v>124</v>
      </c>
      <c r="C1877" s="2">
        <v>8427204</v>
      </c>
      <c r="D1877" s="2" t="s">
        <v>2602</v>
      </c>
      <c r="E1877" s="2" t="s">
        <v>40</v>
      </c>
      <c r="F1877" t="s">
        <v>72</v>
      </c>
      <c r="G1877" t="s">
        <v>24</v>
      </c>
      <c r="N1877" s="2" t="s">
        <v>18</v>
      </c>
      <c r="O1877" s="2" t="s">
        <v>19</v>
      </c>
      <c r="P1877" s="2">
        <v>24000000</v>
      </c>
      <c r="Q1877" s="2">
        <v>5.4</v>
      </c>
      <c r="R1877" s="2" t="s">
        <v>4255</v>
      </c>
      <c r="S1877" s="2"/>
      <c r="AC1877" s="2"/>
      <c r="AD1877" t="str">
        <f>IFERROR(__xludf.DUMMYFUNCTION("""COMPUTED_VALUE"""),"Goodfellas ")</f>
        <v>Goodfellas </v>
      </c>
      <c r="AE1877">
        <f t="shared" si="58"/>
        <v>46836248</v>
      </c>
    </row>
    <row r="1878" customHeight="1" spans="1:31">
      <c r="A1878" s="2" t="s">
        <v>2125</v>
      </c>
      <c r="B1878" s="2">
        <v>89</v>
      </c>
      <c r="C1878" s="2">
        <v>9639242</v>
      </c>
      <c r="D1878" s="2" t="s">
        <v>607</v>
      </c>
      <c r="E1878" s="2" t="s">
        <v>40</v>
      </c>
      <c r="F1878" t="s">
        <v>40</v>
      </c>
      <c r="G1878" t="s">
        <v>17</v>
      </c>
      <c r="N1878" s="2" t="s">
        <v>18</v>
      </c>
      <c r="O1878" s="2" t="s">
        <v>19</v>
      </c>
      <c r="P1878" s="2">
        <v>24000000</v>
      </c>
      <c r="Q1878" s="2">
        <v>4.9</v>
      </c>
      <c r="R1878" s="2" t="s">
        <v>4256</v>
      </c>
      <c r="S1878" s="2"/>
      <c r="AC1878" s="2"/>
      <c r="AD1878" t="str">
        <f>IFERROR(__xludf.DUMMYFUNCTION("""COMPUTED_VALUE"""),"Agent Cody Banks ")</f>
        <v>Agent Cody Banks </v>
      </c>
      <c r="AE1878">
        <f t="shared" si="58"/>
        <v>47285397</v>
      </c>
    </row>
    <row r="1879" customHeight="1" spans="1:31">
      <c r="A1879" s="2" t="s">
        <v>1677</v>
      </c>
      <c r="B1879" s="2">
        <v>88</v>
      </c>
      <c r="C1879" s="2">
        <v>25003072</v>
      </c>
      <c r="D1879" s="2" t="s">
        <v>3178</v>
      </c>
      <c r="E1879" s="2" t="s">
        <v>40</v>
      </c>
      <c r="F1879" t="s">
        <v>30</v>
      </c>
      <c r="G1879" t="s">
        <v>14</v>
      </c>
      <c r="N1879" s="2" t="s">
        <v>18</v>
      </c>
      <c r="O1879" s="2" t="s">
        <v>19</v>
      </c>
      <c r="P1879" s="2">
        <v>24000000</v>
      </c>
      <c r="Q1879" s="2">
        <v>5.5</v>
      </c>
      <c r="R1879" s="2" t="s">
        <v>4257</v>
      </c>
      <c r="S1879" s="2"/>
      <c r="AC1879" s="2"/>
      <c r="AD1879" t="str">
        <f>IFERROR(__xludf.DUMMYFUNCTION("""COMPUTED_VALUE"""),"Nanny McPhee ")</f>
        <v>Nanny McPhee </v>
      </c>
      <c r="AE1879">
        <f t="shared" si="58"/>
        <v>47124303</v>
      </c>
    </row>
    <row r="1880" customHeight="1" spans="1:31">
      <c r="A1880" s="2" t="s">
        <v>2127</v>
      </c>
      <c r="B1880" s="2">
        <v>118</v>
      </c>
      <c r="C1880" s="2">
        <v>6144806</v>
      </c>
      <c r="D1880" s="2" t="s">
        <v>2708</v>
      </c>
      <c r="E1880" s="2" t="s">
        <v>59</v>
      </c>
      <c r="F1880" t="s">
        <v>83</v>
      </c>
      <c r="G1880" t="s">
        <v>24</v>
      </c>
      <c r="N1880" s="2" t="s">
        <v>18</v>
      </c>
      <c r="O1880" s="2" t="s">
        <v>19</v>
      </c>
      <c r="P1880" s="2">
        <v>23000000</v>
      </c>
      <c r="Q1880" s="2">
        <v>6.7</v>
      </c>
      <c r="R1880" s="2" t="s">
        <v>4258</v>
      </c>
      <c r="S1880" s="2"/>
      <c r="AC1880" s="2"/>
      <c r="AD1880" t="str">
        <f>IFERROR(__xludf.DUMMYFUNCTION("""COMPUTED_VALUE"""),"Scarface ")</f>
        <v>Scarface </v>
      </c>
      <c r="AE1880">
        <f t="shared" si="58"/>
        <v>44699858</v>
      </c>
    </row>
    <row r="1881" customHeight="1" spans="1:31">
      <c r="A1881" s="2" t="s">
        <v>2129</v>
      </c>
      <c r="B1881" s="2">
        <v>93</v>
      </c>
      <c r="C1881" s="2">
        <v>4308981</v>
      </c>
      <c r="D1881" s="2" t="s">
        <v>1201</v>
      </c>
      <c r="E1881" s="2" t="s">
        <v>40</v>
      </c>
      <c r="F1881" t="s">
        <v>40</v>
      </c>
      <c r="G1881" t="s">
        <v>23</v>
      </c>
      <c r="N1881" s="2" t="s">
        <v>18</v>
      </c>
      <c r="O1881" s="2" t="s">
        <v>19</v>
      </c>
      <c r="P1881" s="2">
        <v>24000000</v>
      </c>
      <c r="Q1881" s="2">
        <v>3.9</v>
      </c>
      <c r="R1881" s="2" t="s">
        <v>4259</v>
      </c>
      <c r="S1881" s="2"/>
      <c r="AC1881" s="2"/>
      <c r="AD1881" t="str">
        <f>IFERROR(__xludf.DUMMYFUNCTION("""COMPUTED_VALUE"""),"Nothing to Lose ")</f>
        <v>Nothing to Lose </v>
      </c>
      <c r="AE1881">
        <f t="shared" si="58"/>
        <v>44455560</v>
      </c>
    </row>
    <row r="1882" customHeight="1" spans="1:31">
      <c r="A1882" s="2" t="s">
        <v>2131</v>
      </c>
      <c r="B1882" s="2">
        <v>80</v>
      </c>
      <c r="C1882" s="2">
        <v>669276</v>
      </c>
      <c r="D1882" s="2" t="s">
        <v>4260</v>
      </c>
      <c r="E1882" s="2" t="s">
        <v>12</v>
      </c>
      <c r="F1882" t="s">
        <v>72</v>
      </c>
      <c r="G1882" t="s">
        <v>17</v>
      </c>
      <c r="N1882" s="2" t="s">
        <v>18</v>
      </c>
      <c r="O1882" s="2" t="s">
        <v>31</v>
      </c>
      <c r="P1882" s="2">
        <v>28000000</v>
      </c>
      <c r="Q1882" s="2">
        <v>7.2</v>
      </c>
      <c r="R1882" s="2" t="s">
        <v>4261</v>
      </c>
      <c r="S1882" s="2"/>
      <c r="AC1882" s="2"/>
      <c r="AD1882" t="str">
        <f>IFERROR(__xludf.DUMMYFUNCTION("""COMPUTED_VALUE"""),"The Last Emperor ")</f>
        <v>The Last Emperor </v>
      </c>
      <c r="AE1882">
        <f t="shared" si="58"/>
        <v>43984011</v>
      </c>
    </row>
    <row r="1883" customHeight="1" spans="1:31">
      <c r="A1883" s="2" t="s">
        <v>2133</v>
      </c>
      <c r="B1883" s="2">
        <v>120</v>
      </c>
      <c r="C1883" s="2">
        <v>42880</v>
      </c>
      <c r="D1883" s="2" t="s">
        <v>103</v>
      </c>
      <c r="E1883" s="2" t="s">
        <v>30</v>
      </c>
      <c r="F1883" t="s">
        <v>40</v>
      </c>
      <c r="G1883" t="s">
        <v>24</v>
      </c>
      <c r="N1883" s="2" t="s">
        <v>18</v>
      </c>
      <c r="O1883" s="2" t="s">
        <v>31</v>
      </c>
      <c r="P1883" s="2">
        <v>24000000</v>
      </c>
      <c r="Q1883" s="2">
        <v>5.1</v>
      </c>
      <c r="R1883" s="2" t="s">
        <v>4262</v>
      </c>
      <c r="S1883" s="2"/>
      <c r="AC1883" s="2"/>
      <c r="AD1883" t="str">
        <f>IFERROR(__xludf.DUMMYFUNCTION("""COMPUTED_VALUE"""),"Contraband ")</f>
        <v>Contraband </v>
      </c>
      <c r="AE1883">
        <f t="shared" si="58"/>
        <v>66489316</v>
      </c>
    </row>
    <row r="1884" customHeight="1" spans="1:31">
      <c r="A1884" s="2" t="s">
        <v>1718</v>
      </c>
      <c r="B1884" s="2">
        <v>98</v>
      </c>
      <c r="C1884" s="2">
        <v>23225911</v>
      </c>
      <c r="D1884" s="2" t="s">
        <v>186</v>
      </c>
      <c r="E1884" s="2" t="s">
        <v>12</v>
      </c>
      <c r="F1884" t="s">
        <v>28</v>
      </c>
      <c r="G1884" t="s">
        <v>14</v>
      </c>
      <c r="N1884" s="2" t="s">
        <v>18</v>
      </c>
      <c r="O1884" s="2" t="s">
        <v>19</v>
      </c>
      <c r="P1884" s="2">
        <v>24000000</v>
      </c>
      <c r="Q1884" s="2">
        <v>6.5</v>
      </c>
      <c r="R1884" s="2" t="s">
        <v>4263</v>
      </c>
      <c r="S1884" s="2"/>
      <c r="AC1884" s="2"/>
      <c r="AD1884" t="str">
        <f>IFERROR(__xludf.DUMMYFUNCTION("""COMPUTED_VALUE"""),"Money Talks ")</f>
        <v>Money Talks </v>
      </c>
      <c r="AE1884">
        <f t="shared" si="58"/>
        <v>41067301</v>
      </c>
    </row>
    <row r="1885" customHeight="1" spans="1:31">
      <c r="A1885" s="2" t="s">
        <v>1715</v>
      </c>
      <c r="B1885" s="2">
        <v>119</v>
      </c>
      <c r="C1885" s="2">
        <v>4710455</v>
      </c>
      <c r="D1885" s="2" t="s">
        <v>250</v>
      </c>
      <c r="E1885" s="2" t="s">
        <v>13</v>
      </c>
      <c r="F1885" t="s">
        <v>40</v>
      </c>
      <c r="G1885" t="s">
        <v>17</v>
      </c>
      <c r="N1885" s="2" t="s">
        <v>3256</v>
      </c>
      <c r="O1885" s="2" t="s">
        <v>1160</v>
      </c>
      <c r="P1885" s="2">
        <v>24000000</v>
      </c>
      <c r="Q1885" s="2">
        <v>8.2</v>
      </c>
      <c r="R1885" s="2" t="s">
        <v>4264</v>
      </c>
      <c r="S1885" s="2"/>
      <c r="AC1885" s="2"/>
      <c r="AD1885" t="str">
        <f>IFERROR(__xludf.DUMMYFUNCTION("""COMPUTED_VALUE"""),"There Will Be Blood ")</f>
        <v>There Will Be Blood </v>
      </c>
      <c r="AE1885">
        <f t="shared" si="58"/>
        <v>40218745</v>
      </c>
    </row>
    <row r="1886" customHeight="1" spans="1:31">
      <c r="A1886" s="2" t="s">
        <v>1106</v>
      </c>
      <c r="B1886" s="2">
        <v>88</v>
      </c>
      <c r="C1886" s="2">
        <v>75590286</v>
      </c>
      <c r="D1886" s="2" t="s">
        <v>4265</v>
      </c>
      <c r="E1886" s="2" t="s">
        <v>13</v>
      </c>
      <c r="F1886" t="s">
        <v>83</v>
      </c>
      <c r="G1886" t="s">
        <v>30</v>
      </c>
      <c r="N1886" s="2" t="s">
        <v>18</v>
      </c>
      <c r="O1886" s="2" t="s">
        <v>19</v>
      </c>
      <c r="P1886" s="2">
        <v>23600000</v>
      </c>
      <c r="Q1886" s="2">
        <v>7.7</v>
      </c>
      <c r="R1886" s="2" t="s">
        <v>4266</v>
      </c>
      <c r="S1886" s="2"/>
      <c r="AC1886" s="2"/>
      <c r="AD1886" t="str">
        <f>IFERROR(__xludf.DUMMYFUNCTION("""COMPUTED_VALUE"""),"The Wild Thornberrys Movie ")</f>
        <v>The Wild Thornberrys Movie </v>
      </c>
      <c r="AE1886">
        <f t="shared" si="58"/>
        <v>39880391</v>
      </c>
    </row>
    <row r="1887" customHeight="1" spans="1:31">
      <c r="A1887" s="2" t="s">
        <v>588</v>
      </c>
      <c r="B1887" s="2">
        <v>90</v>
      </c>
      <c r="C1887" s="2">
        <v>161487252</v>
      </c>
      <c r="D1887" s="2" t="s">
        <v>1581</v>
      </c>
      <c r="E1887" s="2" t="s">
        <v>40</v>
      </c>
      <c r="F1887" t="s">
        <v>13</v>
      </c>
      <c r="G1887" t="s">
        <v>72</v>
      </c>
      <c r="N1887" s="2" t="s">
        <v>18</v>
      </c>
      <c r="O1887" s="2" t="s">
        <v>19</v>
      </c>
      <c r="P1887" s="2">
        <v>20000000</v>
      </c>
      <c r="Q1887" s="2">
        <v>6.1</v>
      </c>
      <c r="R1887" s="2" t="s">
        <v>4267</v>
      </c>
      <c r="S1887" s="2"/>
      <c r="AC1887" s="2"/>
      <c r="AD1887" t="str">
        <f>IFERROR(__xludf.DUMMYFUNCTION("""COMPUTED_VALUE"""),"Rugrats Go Wild ")</f>
        <v>Rugrats Go Wild </v>
      </c>
      <c r="AE1887">
        <f t="shared" si="58"/>
        <v>39399670</v>
      </c>
    </row>
    <row r="1888" customHeight="1" spans="1:31">
      <c r="A1888" s="2" t="s">
        <v>1638</v>
      </c>
      <c r="B1888" s="2">
        <v>127</v>
      </c>
      <c r="C1888" s="2">
        <v>290158751</v>
      </c>
      <c r="D1888" s="2" t="s">
        <v>11</v>
      </c>
      <c r="E1888" s="2" t="s">
        <v>12</v>
      </c>
      <c r="F1888" t="s">
        <v>56</v>
      </c>
      <c r="G1888" t="s">
        <v>23</v>
      </c>
      <c r="N1888" s="2" t="s">
        <v>18</v>
      </c>
      <c r="O1888" s="2" t="s">
        <v>19</v>
      </c>
      <c r="P1888" s="2">
        <v>18000000</v>
      </c>
      <c r="Q1888" s="2">
        <v>8.8</v>
      </c>
      <c r="R1888" s="2" t="s">
        <v>4268</v>
      </c>
      <c r="S1888" s="2"/>
      <c r="AC1888" s="2"/>
      <c r="AD1888" t="str">
        <f>IFERROR(__xludf.DUMMYFUNCTION("""COMPUTED_VALUE"""),"Undercover Brother ")</f>
        <v>Undercover Brother </v>
      </c>
      <c r="AE1888">
        <f t="shared" si="58"/>
        <v>38230349</v>
      </c>
    </row>
    <row r="1889" customHeight="1" spans="1:31">
      <c r="A1889" s="2" t="s">
        <v>126</v>
      </c>
      <c r="B1889" s="2">
        <v>119</v>
      </c>
      <c r="C1889" s="2">
        <v>65807024</v>
      </c>
      <c r="D1889" s="2" t="s">
        <v>1425</v>
      </c>
      <c r="E1889" s="2" t="s">
        <v>12</v>
      </c>
      <c r="F1889" t="s">
        <v>30</v>
      </c>
      <c r="G1889" t="s">
        <v>24</v>
      </c>
      <c r="N1889" s="2" t="s">
        <v>18</v>
      </c>
      <c r="O1889" s="2" t="s">
        <v>19</v>
      </c>
      <c r="P1889" s="2">
        <v>19000000</v>
      </c>
      <c r="Q1889" s="2">
        <v>6.8</v>
      </c>
      <c r="R1889" s="2" t="s">
        <v>4269</v>
      </c>
      <c r="S1889" s="2"/>
      <c r="AC1889" s="2"/>
      <c r="AD1889" t="str">
        <f>IFERROR(__xludf.DUMMYFUNCTION("""COMPUTED_VALUE"""),"The Sisterhood of the Traveling Pants ")</f>
        <v>The Sisterhood of the Traveling Pants </v>
      </c>
      <c r="AE1889">
        <f t="shared" si="58"/>
        <v>39008622</v>
      </c>
    </row>
    <row r="1890" customHeight="1" spans="1:31">
      <c r="A1890" s="2" t="s">
        <v>1385</v>
      </c>
      <c r="B1890" s="2">
        <v>85</v>
      </c>
      <c r="C1890" s="2">
        <v>86930411</v>
      </c>
      <c r="D1890" s="2" t="s">
        <v>383</v>
      </c>
      <c r="E1890" s="2" t="s">
        <v>40</v>
      </c>
      <c r="F1890" t="s">
        <v>40</v>
      </c>
      <c r="G1890" t="s">
        <v>17</v>
      </c>
      <c r="N1890" s="2" t="s">
        <v>18</v>
      </c>
      <c r="O1890" s="2" t="s">
        <v>19</v>
      </c>
      <c r="P1890" s="2">
        <v>23000000</v>
      </c>
      <c r="Q1890" s="2">
        <v>6.8</v>
      </c>
      <c r="R1890" s="2" t="s">
        <v>4270</v>
      </c>
      <c r="S1890" s="2"/>
      <c r="AC1890" s="2"/>
      <c r="AD1890" t="str">
        <f>IFERROR(__xludf.DUMMYFUNCTION("""COMPUTED_VALUE"""),"Kiss of the Dragon ")</f>
        <v>Kiss of the Dragon </v>
      </c>
      <c r="AE1890">
        <f t="shared" si="58"/>
        <v>36833375</v>
      </c>
    </row>
    <row r="1891" customHeight="1" spans="1:31">
      <c r="A1891" s="2" t="s">
        <v>1365</v>
      </c>
      <c r="B1891" s="2">
        <v>98</v>
      </c>
      <c r="C1891" s="2">
        <v>53302314</v>
      </c>
      <c r="D1891" s="2" t="s">
        <v>2781</v>
      </c>
      <c r="E1891" s="2" t="s">
        <v>72</v>
      </c>
      <c r="F1891" t="s">
        <v>23</v>
      </c>
      <c r="G1891" t="s">
        <v>24</v>
      </c>
      <c r="N1891" s="2" t="s">
        <v>18</v>
      </c>
      <c r="O1891" s="2" t="s">
        <v>19</v>
      </c>
      <c r="P1891" s="2">
        <v>23000000</v>
      </c>
      <c r="Q1891" s="2">
        <v>6.7</v>
      </c>
      <c r="R1891" s="2" t="s">
        <v>4271</v>
      </c>
      <c r="S1891" s="2"/>
      <c r="AC1891" s="2"/>
      <c r="AD1891" t="str">
        <f>IFERROR(__xludf.DUMMYFUNCTION("""COMPUTED_VALUE"""),"The House Bunny ")</f>
        <v>The House Bunny </v>
      </c>
      <c r="AE1891">
        <f t="shared" si="58"/>
        <v>48237292</v>
      </c>
    </row>
    <row r="1892" customHeight="1" spans="1:31">
      <c r="A1892" s="2" t="s">
        <v>936</v>
      </c>
      <c r="B1892" s="2">
        <v>101</v>
      </c>
      <c r="C1892" s="2">
        <v>40962534</v>
      </c>
      <c r="D1892" s="2" t="s">
        <v>30</v>
      </c>
      <c r="E1892" s="2" t="s">
        <v>30</v>
      </c>
      <c r="F1892" t="s">
        <v>30</v>
      </c>
      <c r="G1892" t="s">
        <v>17</v>
      </c>
      <c r="N1892" s="2" t="s">
        <v>18</v>
      </c>
      <c r="O1892" s="2" t="s">
        <v>19</v>
      </c>
      <c r="P1892" s="2">
        <v>12500000</v>
      </c>
      <c r="Q1892" s="2">
        <v>7.1</v>
      </c>
      <c r="R1892" s="2" t="s">
        <v>4272</v>
      </c>
      <c r="S1892" s="2"/>
      <c r="AC1892" s="2"/>
      <c r="AD1892" t="str">
        <f>IFERROR(__xludf.DUMMYFUNCTION("""COMPUTED_VALUE"""),"Million Dollar Arm ")</f>
        <v>Million Dollar Arm </v>
      </c>
      <c r="AE1892">
        <f t="shared" si="58"/>
        <v>36447835</v>
      </c>
    </row>
    <row r="1893" customHeight="1" spans="1:31">
      <c r="A1893" s="2" t="s">
        <v>513</v>
      </c>
      <c r="B1893" s="2">
        <v>112</v>
      </c>
      <c r="C1893" s="2">
        <v>39235088</v>
      </c>
      <c r="D1893" s="2" t="s">
        <v>4273</v>
      </c>
      <c r="E1893" s="2" t="s">
        <v>72</v>
      </c>
      <c r="F1893" t="s">
        <v>30</v>
      </c>
      <c r="G1893" t="s">
        <v>30</v>
      </c>
      <c r="N1893" s="2" t="s">
        <v>18</v>
      </c>
      <c r="O1893" s="2" t="s">
        <v>19</v>
      </c>
      <c r="P1893" s="2">
        <v>23000000</v>
      </c>
      <c r="Q1893" s="2">
        <v>7.1</v>
      </c>
      <c r="R1893" s="2" t="s">
        <v>4274</v>
      </c>
      <c r="S1893" s="2"/>
      <c r="AC1893" s="2"/>
      <c r="AD1893" t="str">
        <f>IFERROR(__xludf.DUMMYFUNCTION("""COMPUTED_VALUE"""),"The Giver ")</f>
        <v>The Giver </v>
      </c>
      <c r="AE1893">
        <f t="shared" si="58"/>
        <v>45088951</v>
      </c>
    </row>
    <row r="1894" customHeight="1" spans="1:31">
      <c r="A1894" s="2" t="s">
        <v>2135</v>
      </c>
      <c r="B1894" s="2">
        <v>97</v>
      </c>
      <c r="C1894" s="2">
        <v>27338033</v>
      </c>
      <c r="D1894" s="2" t="s">
        <v>607</v>
      </c>
      <c r="E1894" s="2" t="s">
        <v>40</v>
      </c>
      <c r="F1894" t="s">
        <v>30</v>
      </c>
      <c r="G1894" t="s">
        <v>83</v>
      </c>
      <c r="N1894" s="2" t="s">
        <v>18</v>
      </c>
      <c r="O1894" s="2" t="s">
        <v>19</v>
      </c>
      <c r="P1894" s="2">
        <v>23000000</v>
      </c>
      <c r="Q1894" s="2">
        <v>6.1</v>
      </c>
      <c r="R1894" s="2" t="s">
        <v>4275</v>
      </c>
      <c r="S1894" s="2"/>
      <c r="AC1894" s="2"/>
      <c r="AD1894" t="str">
        <f>IFERROR(__xludf.DUMMYFUNCTION("""COMPUTED_VALUE"""),"What a Girl Wants ")</f>
        <v>What a Girl Wants </v>
      </c>
      <c r="AE1894">
        <f t="shared" si="58"/>
        <v>35990400</v>
      </c>
    </row>
    <row r="1895" customHeight="1" spans="1:31">
      <c r="A1895" s="2" t="s">
        <v>640</v>
      </c>
      <c r="B1895" s="2">
        <v>126</v>
      </c>
      <c r="C1895" s="2">
        <v>25556065</v>
      </c>
      <c r="D1895" s="2" t="s">
        <v>4041</v>
      </c>
      <c r="E1895" s="2" t="s">
        <v>30</v>
      </c>
      <c r="F1895" t="s">
        <v>17</v>
      </c>
      <c r="G1895" t="s">
        <v>15</v>
      </c>
      <c r="N1895" s="2" t="s">
        <v>18</v>
      </c>
      <c r="O1895" s="2" t="s">
        <v>19</v>
      </c>
      <c r="P1895" s="2">
        <v>23000000</v>
      </c>
      <c r="Q1895" s="2">
        <v>8</v>
      </c>
      <c r="R1895" s="2" t="s">
        <v>4276</v>
      </c>
      <c r="S1895" s="2"/>
      <c r="AC1895" s="2"/>
      <c r="AD1895" t="str">
        <f>IFERROR(__xludf.DUMMYFUNCTION("""COMPUTED_VALUE"""),"Jeepers Creepers II ")</f>
        <v>Jeepers Creepers II </v>
      </c>
      <c r="AE1895">
        <f t="shared" si="58"/>
        <v>35143228</v>
      </c>
    </row>
    <row r="1896" customHeight="1" spans="1:31">
      <c r="A1896" s="2" t="s">
        <v>1148</v>
      </c>
      <c r="B1896" s="2">
        <v>97</v>
      </c>
      <c r="C1896" s="2">
        <v>21973182</v>
      </c>
      <c r="D1896" s="2" t="s">
        <v>328</v>
      </c>
      <c r="E1896" s="2" t="s">
        <v>28</v>
      </c>
      <c r="F1896" t="s">
        <v>17</v>
      </c>
      <c r="G1896" t="s">
        <v>17</v>
      </c>
      <c r="N1896" s="2" t="s">
        <v>18</v>
      </c>
      <c r="O1896" s="2" t="s">
        <v>19</v>
      </c>
      <c r="P1896" s="2">
        <v>23000000</v>
      </c>
      <c r="Q1896" s="2">
        <v>6.6</v>
      </c>
      <c r="R1896" s="2" t="s">
        <v>4277</v>
      </c>
      <c r="S1896" s="2"/>
      <c r="AC1896" s="2"/>
      <c r="AD1896" t="str">
        <f>IFERROR(__xludf.DUMMYFUNCTION("""COMPUTED_VALUE"""),"Good Luck Chuck ")</f>
        <v>Good Luck Chuck </v>
      </c>
      <c r="AE1896">
        <f t="shared" si="58"/>
        <v>35000528</v>
      </c>
    </row>
    <row r="1897" customHeight="1" spans="1:31">
      <c r="A1897" s="2" t="s">
        <v>2137</v>
      </c>
      <c r="B1897" s="2">
        <v>100</v>
      </c>
      <c r="C1897" s="2">
        <v>4756</v>
      </c>
      <c r="D1897" s="2" t="s">
        <v>99</v>
      </c>
      <c r="E1897" s="2" t="s">
        <v>13</v>
      </c>
      <c r="F1897" t="s">
        <v>56</v>
      </c>
      <c r="G1897" t="s">
        <v>72</v>
      </c>
      <c r="N1897" s="2" t="s">
        <v>18</v>
      </c>
      <c r="O1897" s="2" t="s">
        <v>31</v>
      </c>
      <c r="P1897" s="2">
        <v>25000000</v>
      </c>
      <c r="Q1897" s="2">
        <v>5.4</v>
      </c>
      <c r="R1897" s="2" t="s">
        <v>4278</v>
      </c>
      <c r="S1897" s="2"/>
      <c r="AC1897" s="2"/>
      <c r="AD1897" t="str">
        <f>IFERROR(__xludf.DUMMYFUNCTION("""COMPUTED_VALUE"""),"Cradle 2 the Grave ")</f>
        <v>Cradle 2 the Grave </v>
      </c>
      <c r="AE1897">
        <f t="shared" si="58"/>
        <v>34603953</v>
      </c>
    </row>
    <row r="1898" customHeight="1" spans="1:31">
      <c r="A1898" s="2" t="s">
        <v>1176</v>
      </c>
      <c r="B1898" s="2">
        <v>114</v>
      </c>
      <c r="C1898" s="2">
        <v>18653615</v>
      </c>
      <c r="D1898" s="2" t="s">
        <v>975</v>
      </c>
      <c r="E1898" s="2" t="s">
        <v>40</v>
      </c>
      <c r="F1898" t="s">
        <v>17</v>
      </c>
      <c r="G1898" t="s">
        <v>24</v>
      </c>
      <c r="N1898" s="2" t="s">
        <v>18</v>
      </c>
      <c r="O1898" s="2" t="s">
        <v>19</v>
      </c>
      <c r="P1898" s="2">
        <v>23000000</v>
      </c>
      <c r="Q1898" s="2">
        <v>6.1</v>
      </c>
      <c r="R1898" s="2" t="s">
        <v>4279</v>
      </c>
      <c r="S1898" s="2"/>
      <c r="AC1898" s="2"/>
      <c r="AD1898" t="str">
        <f>IFERROR(__xludf.DUMMYFUNCTION("""COMPUTED_VALUE"""),"The Hours ")</f>
        <v>The Hours </v>
      </c>
      <c r="AE1898">
        <f t="shared" si="58"/>
        <v>41597716</v>
      </c>
    </row>
    <row r="1899" customHeight="1" spans="1:31">
      <c r="A1899" s="2" t="s">
        <v>2139</v>
      </c>
      <c r="B1899" s="2">
        <v>88</v>
      </c>
      <c r="C1899" s="2">
        <v>13019253</v>
      </c>
      <c r="D1899" s="2" t="s">
        <v>383</v>
      </c>
      <c r="E1899" s="2" t="s">
        <v>40</v>
      </c>
      <c r="F1899" t="s">
        <v>35</v>
      </c>
      <c r="G1899" t="s">
        <v>17</v>
      </c>
      <c r="N1899" s="2" t="s">
        <v>18</v>
      </c>
      <c r="O1899" s="2" t="s">
        <v>19</v>
      </c>
      <c r="P1899" s="2">
        <v>23000000</v>
      </c>
      <c r="Q1899" s="2">
        <v>5.6</v>
      </c>
      <c r="R1899" s="2" t="s">
        <v>4280</v>
      </c>
      <c r="S1899" s="2"/>
      <c r="AC1899" s="2"/>
      <c r="AD1899" t="str">
        <f>IFERROR(__xludf.DUMMYFUNCTION("""COMPUTED_VALUE"""),"She's the Man ")</f>
        <v>She's the Man </v>
      </c>
      <c r="AE1899">
        <f t="shared" si="58"/>
        <v>33687525</v>
      </c>
    </row>
    <row r="1900" customHeight="1" spans="1:31">
      <c r="A1900" s="2" t="s">
        <v>556</v>
      </c>
      <c r="B1900" s="2">
        <v>93</v>
      </c>
      <c r="C1900" s="2">
        <v>18934858</v>
      </c>
      <c r="D1900" s="2" t="s">
        <v>34</v>
      </c>
      <c r="E1900" s="2" t="s">
        <v>12</v>
      </c>
      <c r="F1900" t="s">
        <v>30</v>
      </c>
      <c r="G1900" t="s">
        <v>15</v>
      </c>
      <c r="N1900" s="2" t="s">
        <v>18</v>
      </c>
      <c r="O1900" s="2" t="s">
        <v>3349</v>
      </c>
      <c r="P1900" s="2">
        <v>23000000</v>
      </c>
      <c r="Q1900" s="2">
        <v>5.8</v>
      </c>
      <c r="R1900" s="2" t="s">
        <v>4281</v>
      </c>
      <c r="S1900" s="2"/>
      <c r="AC1900" s="2"/>
      <c r="AD1900" t="str">
        <f>IFERROR(__xludf.DUMMYFUNCTION("""COMPUTED_VALUE"""),"Mr. Bean's Holiday ")</f>
        <v>Mr. Bean's Holiday </v>
      </c>
      <c r="AE1900">
        <f t="shared" si="58"/>
        <v>32553120</v>
      </c>
    </row>
    <row r="1901" customHeight="1" spans="1:31">
      <c r="A1901" s="2" t="s">
        <v>2141</v>
      </c>
      <c r="B1901" s="2">
        <v>92</v>
      </c>
      <c r="C1901" s="2">
        <v>20763013</v>
      </c>
      <c r="D1901" s="2" t="s">
        <v>3619</v>
      </c>
      <c r="E1901" s="2" t="s">
        <v>13</v>
      </c>
      <c r="F1901" t="s">
        <v>35</v>
      </c>
      <c r="G1901" t="s">
        <v>17</v>
      </c>
      <c r="N1901" s="2" t="s">
        <v>18</v>
      </c>
      <c r="O1901" s="2" t="s">
        <v>19</v>
      </c>
      <c r="P1901" s="2">
        <v>23000000</v>
      </c>
      <c r="Q1901" s="2">
        <v>2.8</v>
      </c>
      <c r="R1901" s="2" t="s">
        <v>4282</v>
      </c>
      <c r="S1901" s="2"/>
      <c r="AC1901" s="2"/>
      <c r="AD1901" t="str">
        <f>IFERROR(__xludf.DUMMYFUNCTION("""COMPUTED_VALUE"""),"Anacondas: The Hunt for the Blood Orchid ")</f>
        <v>Anacondas: The Hunt for the Blood Orchid </v>
      </c>
      <c r="AE1901">
        <f t="shared" si="58"/>
        <v>31526296</v>
      </c>
    </row>
    <row r="1902" customHeight="1" spans="1:31">
      <c r="A1902" s="2" t="s">
        <v>2143</v>
      </c>
      <c r="B1902" s="2">
        <v>98</v>
      </c>
      <c r="C1902" s="2">
        <v>12782508</v>
      </c>
      <c r="D1902" s="2" t="s">
        <v>30</v>
      </c>
      <c r="E1902" s="2" t="s">
        <v>30</v>
      </c>
      <c r="F1902" t="s">
        <v>72</v>
      </c>
      <c r="G1902" t="s">
        <v>23</v>
      </c>
      <c r="N1902" s="2" t="s">
        <v>18</v>
      </c>
      <c r="O1902" s="2" t="s">
        <v>19</v>
      </c>
      <c r="P1902" s="2">
        <v>23000000</v>
      </c>
      <c r="Q1902" s="2">
        <v>6.7</v>
      </c>
      <c r="R1902" s="2" t="s">
        <v>4283</v>
      </c>
      <c r="S1902" s="2"/>
      <c r="AC1902" s="2"/>
      <c r="AD1902" t="str">
        <f>IFERROR(__xludf.DUMMYFUNCTION("""COMPUTED_VALUE"""),"Blood Ties ")</f>
        <v>Blood Ties </v>
      </c>
      <c r="AE1902">
        <f t="shared" si="58"/>
        <v>41085</v>
      </c>
    </row>
    <row r="1903" customHeight="1" spans="1:31">
      <c r="A1903" s="2" t="s">
        <v>2145</v>
      </c>
      <c r="B1903" s="2">
        <v>94</v>
      </c>
      <c r="C1903" s="2">
        <v>11508423</v>
      </c>
      <c r="D1903" s="2" t="s">
        <v>4284</v>
      </c>
      <c r="E1903" s="2" t="s">
        <v>59</v>
      </c>
      <c r="F1903" t="s">
        <v>28</v>
      </c>
      <c r="G1903" t="s">
        <v>17</v>
      </c>
      <c r="N1903" s="2" t="s">
        <v>18</v>
      </c>
      <c r="O1903" s="2" t="s">
        <v>19</v>
      </c>
      <c r="P1903" s="2">
        <v>23000000</v>
      </c>
      <c r="Q1903" s="2">
        <v>5.1</v>
      </c>
      <c r="R1903" s="2" t="s">
        <v>4285</v>
      </c>
      <c r="S1903" s="2"/>
      <c r="AC1903" s="2"/>
      <c r="AD1903" t="str">
        <f>IFERROR(__xludf.DUMMYFUNCTION("""COMPUTED_VALUE"""),"August Rush ")</f>
        <v>August Rush </v>
      </c>
      <c r="AE1903">
        <f t="shared" si="58"/>
        <v>31654977</v>
      </c>
    </row>
    <row r="1904" customHeight="1" spans="1:31">
      <c r="A1904" s="2" t="s">
        <v>1255</v>
      </c>
      <c r="B1904" s="2">
        <v>102</v>
      </c>
      <c r="C1904" s="2">
        <v>10660147</v>
      </c>
      <c r="D1904" s="2" t="s">
        <v>103</v>
      </c>
      <c r="E1904" s="2" t="s">
        <v>30</v>
      </c>
      <c r="F1904" t="s">
        <v>40</v>
      </c>
      <c r="G1904" t="s">
        <v>24</v>
      </c>
      <c r="N1904" s="2" t="s">
        <v>18</v>
      </c>
      <c r="O1904" s="2" t="s">
        <v>31</v>
      </c>
      <c r="P1904" s="2">
        <v>23000000</v>
      </c>
      <c r="Q1904" s="2">
        <v>7.2</v>
      </c>
      <c r="R1904" s="2" t="s">
        <v>4286</v>
      </c>
      <c r="S1904" s="2"/>
      <c r="AC1904" s="2"/>
      <c r="AD1904" t="str">
        <f>IFERROR(__xludf.DUMMYFUNCTION("""COMPUTED_VALUE"""),"Elizabeth ")</f>
        <v>Elizabeth </v>
      </c>
      <c r="AE1904">
        <f t="shared" si="58"/>
        <v>30012866</v>
      </c>
    </row>
    <row r="1905" customHeight="1" spans="1:31">
      <c r="A1905" s="2" t="s">
        <v>1429</v>
      </c>
      <c r="B1905" s="2">
        <v>98</v>
      </c>
      <c r="C1905" s="2">
        <v>7434726</v>
      </c>
      <c r="D1905" s="2" t="s">
        <v>4287</v>
      </c>
      <c r="E1905" s="2" t="s">
        <v>12</v>
      </c>
      <c r="F1905" t="s">
        <v>23</v>
      </c>
      <c r="G1905" t="s">
        <v>24</v>
      </c>
      <c r="N1905" s="2" t="s">
        <v>18</v>
      </c>
      <c r="O1905" s="2" t="s">
        <v>19</v>
      </c>
      <c r="P1905" s="2">
        <v>23000000</v>
      </c>
      <c r="Q1905" s="2">
        <v>6</v>
      </c>
      <c r="R1905" s="2" t="s">
        <v>4288</v>
      </c>
      <c r="S1905" s="2"/>
      <c r="AC1905" s="2"/>
      <c r="AD1905" t="str">
        <f>IFERROR(__xludf.DUMMYFUNCTION("""COMPUTED_VALUE"""),"Bride of Chucky ")</f>
        <v>Bride of Chucky </v>
      </c>
      <c r="AE1905">
        <f t="shared" si="58"/>
        <v>32368871</v>
      </c>
    </row>
    <row r="1906" customHeight="1" spans="1:31">
      <c r="A1906" s="2" t="s">
        <v>2147</v>
      </c>
      <c r="B1906" s="2">
        <v>111</v>
      </c>
      <c r="C1906" s="2">
        <v>6109075</v>
      </c>
      <c r="D1906" s="2" t="s">
        <v>562</v>
      </c>
      <c r="E1906" s="2" t="s">
        <v>59</v>
      </c>
      <c r="F1906" t="s">
        <v>40</v>
      </c>
      <c r="G1906" t="s">
        <v>24</v>
      </c>
      <c r="N1906" s="2" t="s">
        <v>1125</v>
      </c>
      <c r="O1906" s="2" t="s">
        <v>707</v>
      </c>
      <c r="P1906" s="2">
        <v>19430000</v>
      </c>
      <c r="Q1906" s="2">
        <v>6.7</v>
      </c>
      <c r="R1906" s="2" t="s">
        <v>4289</v>
      </c>
      <c r="S1906" s="2"/>
      <c r="AC1906" s="2"/>
      <c r="AD1906" t="str">
        <f>IFERROR(__xludf.DUMMYFUNCTION("""COMPUTED_VALUE"""),"Tora! Tora! Tora! ")</f>
        <v>Tora! Tora! Tora! </v>
      </c>
      <c r="AE1906">
        <f t="shared" si="58"/>
        <v>14499840</v>
      </c>
    </row>
    <row r="1907" customHeight="1" spans="1:31">
      <c r="A1907" s="2" t="s">
        <v>1377</v>
      </c>
      <c r="B1907" s="2">
        <v>100</v>
      </c>
      <c r="C1907" s="2">
        <v>2708188</v>
      </c>
      <c r="D1907" s="2" t="s">
        <v>521</v>
      </c>
      <c r="E1907" s="2" t="s">
        <v>40</v>
      </c>
      <c r="F1907" t="s">
        <v>56</v>
      </c>
      <c r="G1907" t="s">
        <v>29</v>
      </c>
      <c r="N1907" s="2" t="s">
        <v>18</v>
      </c>
      <c r="O1907" s="2" t="s">
        <v>31</v>
      </c>
      <c r="P1907" s="2">
        <v>23000000</v>
      </c>
      <c r="Q1907" s="2">
        <v>6.2</v>
      </c>
      <c r="R1907" s="2" t="s">
        <v>4290</v>
      </c>
      <c r="S1907" s="2"/>
      <c r="AC1907" s="2"/>
      <c r="AD1907" t="str">
        <f>IFERROR(__xludf.DUMMYFUNCTION("""COMPUTED_VALUE"""),"Spice World ")</f>
        <v>Spice World </v>
      </c>
      <c r="AE1907">
        <f t="shared" si="58"/>
        <v>29247312</v>
      </c>
    </row>
    <row r="1908" customHeight="1" spans="1:31">
      <c r="A1908" s="2" t="s">
        <v>2150</v>
      </c>
      <c r="B1908" s="2">
        <v>141</v>
      </c>
      <c r="C1908" s="2">
        <v>16123851</v>
      </c>
      <c r="D1908" s="2" t="s">
        <v>30</v>
      </c>
      <c r="E1908" s="2" t="s">
        <v>30</v>
      </c>
      <c r="F1908" t="s">
        <v>30</v>
      </c>
      <c r="G1908" t="s">
        <v>29</v>
      </c>
      <c r="N1908" s="2" t="s">
        <v>18</v>
      </c>
      <c r="O1908" s="2" t="s">
        <v>19</v>
      </c>
      <c r="P1908" s="2">
        <v>23000000</v>
      </c>
      <c r="Q1908" s="2">
        <v>6.2</v>
      </c>
      <c r="R1908" s="2" t="s">
        <v>4291</v>
      </c>
      <c r="S1908" s="2"/>
      <c r="AC1908" s="2"/>
      <c r="AD1908" t="str">
        <f>IFERROR(__xludf.DUMMYFUNCTION("""COMPUTED_VALUE"""),"Dance Flick ")</f>
        <v>Dance Flick </v>
      </c>
      <c r="AE1908">
        <f t="shared" si="58"/>
        <v>25615704</v>
      </c>
    </row>
    <row r="1909" customHeight="1" spans="1:31">
      <c r="A1909" s="2" t="s">
        <v>964</v>
      </c>
      <c r="B1909" s="2">
        <v>114</v>
      </c>
      <c r="C1909" s="2">
        <v>71975611</v>
      </c>
      <c r="D1909" s="2" t="s">
        <v>3112</v>
      </c>
      <c r="E1909" s="2" t="s">
        <v>14</v>
      </c>
      <c r="F1909" t="s">
        <v>24</v>
      </c>
      <c r="G1909" t="s">
        <v>29</v>
      </c>
      <c r="N1909" s="2" t="s">
        <v>18</v>
      </c>
      <c r="O1909" s="2" t="s">
        <v>19</v>
      </c>
      <c r="P1909" s="2">
        <v>25000000</v>
      </c>
      <c r="Q1909" s="2">
        <v>6.8</v>
      </c>
      <c r="R1909" s="2" t="s">
        <v>4292</v>
      </c>
      <c r="S1909" s="2"/>
      <c r="AC1909" s="2"/>
      <c r="AD1909" t="str">
        <f>IFERROR(__xludf.DUMMYFUNCTION("""COMPUTED_VALUE"""),"The Shawshank Redemption ")</f>
        <v>The Shawshank Redemption </v>
      </c>
      <c r="AE1909">
        <f t="shared" si="58"/>
        <v>28341327</v>
      </c>
    </row>
    <row r="1910" customHeight="1" spans="1:31">
      <c r="A1910" s="2" t="s">
        <v>2152</v>
      </c>
      <c r="B1910" s="2">
        <v>96</v>
      </c>
      <c r="C1910" s="2">
        <v>38119483</v>
      </c>
      <c r="D1910" s="2" t="s">
        <v>690</v>
      </c>
      <c r="E1910" s="2" t="s">
        <v>13</v>
      </c>
      <c r="F1910" t="s">
        <v>30</v>
      </c>
      <c r="G1910" t="s">
        <v>72</v>
      </c>
      <c r="N1910" s="2" t="s">
        <v>18</v>
      </c>
      <c r="O1910" s="2" t="s">
        <v>19</v>
      </c>
      <c r="P1910" s="2">
        <v>22700000</v>
      </c>
      <c r="Q1910" s="2">
        <v>7.1</v>
      </c>
      <c r="R1910" s="2" t="s">
        <v>4293</v>
      </c>
      <c r="S1910" s="2"/>
      <c r="AC1910" s="2"/>
      <c r="AD1910" t="str">
        <f>IFERROR(__xludf.DUMMYFUNCTION("""COMPUTED_VALUE"""),"Crocodile Dundee in Los Angeles ")</f>
        <v>Crocodile Dundee in Los Angeles </v>
      </c>
      <c r="AE1910">
        <f t="shared" si="58"/>
        <v>25590027</v>
      </c>
    </row>
    <row r="1911" customHeight="1" spans="1:31">
      <c r="A1911" s="2" t="s">
        <v>2154</v>
      </c>
      <c r="B1911" s="2">
        <v>111</v>
      </c>
      <c r="C1911" s="2">
        <v>4190530</v>
      </c>
      <c r="D1911" s="2" t="s">
        <v>1354</v>
      </c>
      <c r="E1911" s="2" t="s">
        <v>30</v>
      </c>
      <c r="F1911" t="s">
        <v>40</v>
      </c>
      <c r="G1911" t="s">
        <v>14</v>
      </c>
      <c r="N1911" s="2" t="s">
        <v>18</v>
      </c>
      <c r="O1911" s="2" t="s">
        <v>159</v>
      </c>
      <c r="P1911" s="2">
        <v>22500000</v>
      </c>
      <c r="Q1911" s="2">
        <v>7.1</v>
      </c>
      <c r="R1911" s="2" t="s">
        <v>4294</v>
      </c>
      <c r="S1911" s="2"/>
      <c r="AC1911" s="2"/>
      <c r="AD1911" t="str">
        <f>IFERROR(__xludf.DUMMYFUNCTION("""COMPUTED_VALUE"""),"Kingpin ")</f>
        <v>Kingpin </v>
      </c>
      <c r="AE1911">
        <f t="shared" ref="AE1911:AE1974" si="59">C1795-B1795</f>
        <v>24944096</v>
      </c>
    </row>
    <row r="1912" customHeight="1" spans="1:31">
      <c r="A1912" s="2" t="s">
        <v>892</v>
      </c>
      <c r="B1912" s="2">
        <v>127</v>
      </c>
      <c r="C1912" s="2">
        <v>217631306</v>
      </c>
      <c r="D1912" s="2" t="s">
        <v>4295</v>
      </c>
      <c r="E1912" s="2" t="s">
        <v>30</v>
      </c>
      <c r="F1912" t="s">
        <v>30</v>
      </c>
      <c r="G1912" t="s">
        <v>29</v>
      </c>
      <c r="N1912" s="2" t="s">
        <v>18</v>
      </c>
      <c r="O1912" s="2" t="s">
        <v>19</v>
      </c>
      <c r="P1912" s="2">
        <v>22000000</v>
      </c>
      <c r="Q1912" s="2">
        <v>7</v>
      </c>
      <c r="R1912" s="2" t="s">
        <v>4296</v>
      </c>
      <c r="S1912" s="2"/>
      <c r="AC1912" s="2"/>
      <c r="AD1912" t="str">
        <f>IFERROR(__xludf.DUMMYFUNCTION("""COMPUTED_VALUE"""),"The Gambler ")</f>
        <v>The Gambler </v>
      </c>
      <c r="AE1912">
        <f t="shared" si="59"/>
        <v>33631110</v>
      </c>
    </row>
    <row r="1913" customHeight="1" spans="1:31">
      <c r="A1913" s="2" t="s">
        <v>956</v>
      </c>
      <c r="B1913" s="2">
        <v>107</v>
      </c>
      <c r="C1913" s="2">
        <v>176483808</v>
      </c>
      <c r="D1913" s="2" t="s">
        <v>607</v>
      </c>
      <c r="E1913" s="2" t="s">
        <v>40</v>
      </c>
      <c r="F1913" t="s">
        <v>30</v>
      </c>
      <c r="G1913" t="s">
        <v>23</v>
      </c>
      <c r="N1913" s="2" t="s">
        <v>18</v>
      </c>
      <c r="O1913" s="2" t="s">
        <v>19</v>
      </c>
      <c r="P1913" s="2">
        <v>23000000</v>
      </c>
      <c r="Q1913" s="2">
        <v>7.1</v>
      </c>
      <c r="R1913" s="2" t="s">
        <v>4297</v>
      </c>
      <c r="S1913" s="2"/>
      <c r="AC1913" s="2"/>
      <c r="AD1913" t="str">
        <f>IFERROR(__xludf.DUMMYFUNCTION("""COMPUTED_VALUE"""),"August: Osage County ")</f>
        <v>August: Osage County </v>
      </c>
      <c r="AE1913">
        <f t="shared" si="59"/>
        <v>37738279</v>
      </c>
    </row>
    <row r="1914" customHeight="1" spans="1:31">
      <c r="A1914" s="2" t="s">
        <v>1104</v>
      </c>
      <c r="B1914" s="2">
        <v>97</v>
      </c>
      <c r="C1914" s="2">
        <v>144833357</v>
      </c>
      <c r="D1914" s="2" t="s">
        <v>1961</v>
      </c>
      <c r="E1914" s="2" t="s">
        <v>40</v>
      </c>
      <c r="F1914" t="s">
        <v>30</v>
      </c>
      <c r="G1914" t="s">
        <v>39</v>
      </c>
      <c r="N1914" s="2" t="s">
        <v>18</v>
      </c>
      <c r="O1914" s="2" t="s">
        <v>19</v>
      </c>
      <c r="P1914" s="2">
        <v>22000000</v>
      </c>
      <c r="Q1914" s="2">
        <v>6.4</v>
      </c>
      <c r="R1914" s="2" t="s">
        <v>4298</v>
      </c>
      <c r="S1914" s="2"/>
      <c r="AC1914" s="2"/>
      <c r="AD1914" t="str">
        <f>IFERROR(__xludf.DUMMYFUNCTION("""COMPUTED_VALUE"""),"A Lot Like Love ")</f>
        <v>A Lot Like Love </v>
      </c>
      <c r="AE1914">
        <f t="shared" si="59"/>
        <v>21835677</v>
      </c>
    </row>
    <row r="1915" customHeight="1" spans="1:31">
      <c r="A1915" s="2" t="s">
        <v>705</v>
      </c>
      <c r="B1915" s="2">
        <v>127</v>
      </c>
      <c r="C1915" s="2">
        <v>75597042</v>
      </c>
      <c r="D1915" s="2" t="s">
        <v>3339</v>
      </c>
      <c r="E1915" s="2" t="s">
        <v>30</v>
      </c>
      <c r="F1915" t="s">
        <v>30</v>
      </c>
      <c r="G1915" t="s">
        <v>83</v>
      </c>
      <c r="N1915" s="2" t="s">
        <v>18</v>
      </c>
      <c r="O1915" s="2" t="s">
        <v>19</v>
      </c>
      <c r="P1915" s="2">
        <v>20000000</v>
      </c>
      <c r="Q1915" s="2">
        <v>7</v>
      </c>
      <c r="R1915" s="2" t="s">
        <v>4299</v>
      </c>
      <c r="S1915" s="2"/>
      <c r="AC1915" s="2"/>
      <c r="AD1915" t="str">
        <f>IFERROR(__xludf.DUMMYFUNCTION("""COMPUTED_VALUE"""),"Eddie the Eagle ")</f>
        <v>Eddie the Eagle </v>
      </c>
      <c r="AE1915">
        <f t="shared" si="59"/>
        <v>15785526</v>
      </c>
    </row>
    <row r="1916" customHeight="1" spans="1:31">
      <c r="A1916" s="2" t="s">
        <v>1276</v>
      </c>
      <c r="B1916" s="2">
        <v>110</v>
      </c>
      <c r="C1916" s="2">
        <v>90636983</v>
      </c>
      <c r="D1916" s="2" t="s">
        <v>3313</v>
      </c>
      <c r="E1916" s="2" t="s">
        <v>40</v>
      </c>
      <c r="F1916" t="s">
        <v>28</v>
      </c>
      <c r="G1916" t="s">
        <v>24</v>
      </c>
      <c r="N1916" s="2" t="s">
        <v>18</v>
      </c>
      <c r="O1916" s="2" t="s">
        <v>19</v>
      </c>
      <c r="P1916" s="2">
        <v>22000000</v>
      </c>
      <c r="Q1916" s="2">
        <v>6.2</v>
      </c>
      <c r="R1916" s="2" t="s">
        <v>4300</v>
      </c>
      <c r="S1916" s="2"/>
      <c r="AC1916" s="2"/>
      <c r="AD1916" t="str">
        <f>IFERROR(__xludf.DUMMYFUNCTION("""COMPUTED_VALUE"""),"He Got Game ")</f>
        <v>He Got Game </v>
      </c>
      <c r="AE1916">
        <f t="shared" si="59"/>
        <v>21554449</v>
      </c>
    </row>
    <row r="1917" customHeight="1" spans="1:31">
      <c r="A1917" s="2" t="s">
        <v>1000</v>
      </c>
      <c r="B1917" s="2">
        <v>135</v>
      </c>
      <c r="C1917" s="2">
        <v>70960517</v>
      </c>
      <c r="D1917" s="2" t="s">
        <v>103</v>
      </c>
      <c r="E1917" s="2" t="s">
        <v>30</v>
      </c>
      <c r="F1917" t="s">
        <v>40</v>
      </c>
      <c r="G1917" t="s">
        <v>24</v>
      </c>
      <c r="N1917" s="2" t="s">
        <v>18</v>
      </c>
      <c r="O1917" s="2" t="s">
        <v>19</v>
      </c>
      <c r="P1917" s="2">
        <v>35000000</v>
      </c>
      <c r="Q1917" s="2">
        <v>7.5</v>
      </c>
      <c r="R1917" s="2" t="s">
        <v>4301</v>
      </c>
      <c r="S1917" s="2"/>
      <c r="AC1917" s="2"/>
      <c r="AD1917" t="str">
        <f>IFERROR(__xludf.DUMMYFUNCTION("""COMPUTED_VALUE"""),"Don Juan DeMarco ")</f>
        <v>Don Juan DeMarco </v>
      </c>
      <c r="AE1917">
        <f t="shared" si="59"/>
        <v>22199903</v>
      </c>
    </row>
    <row r="1918" customHeight="1" spans="1:31">
      <c r="A1918" s="2" t="s">
        <v>1670</v>
      </c>
      <c r="B1918" s="2">
        <v>84</v>
      </c>
      <c r="C1918" s="2">
        <v>55762229</v>
      </c>
      <c r="D1918" s="2" t="s">
        <v>2261</v>
      </c>
      <c r="E1918" s="2" t="s">
        <v>40</v>
      </c>
      <c r="F1918" t="s">
        <v>24</v>
      </c>
      <c r="G1918" t="s">
        <v>55</v>
      </c>
      <c r="N1918" s="2" t="s">
        <v>18</v>
      </c>
      <c r="O1918" s="2" t="s">
        <v>19</v>
      </c>
      <c r="P1918" s="2">
        <v>22000000</v>
      </c>
      <c r="Q1918" s="2">
        <v>4.8</v>
      </c>
      <c r="R1918" s="2" t="s">
        <v>4302</v>
      </c>
      <c r="S1918" s="2"/>
      <c r="AC1918" s="2"/>
      <c r="AD1918" t="str">
        <f>IFERROR(__xludf.DUMMYFUNCTION("""COMPUTED_VALUE"""),"Dear John ")</f>
        <v>Dear John </v>
      </c>
      <c r="AE1918">
        <f t="shared" si="59"/>
        <v>80014734</v>
      </c>
    </row>
    <row r="1919" customHeight="1" spans="1:31">
      <c r="A1919" s="2" t="s">
        <v>1698</v>
      </c>
      <c r="B1919" s="2">
        <v>122</v>
      </c>
      <c r="C1919" s="2">
        <v>54235441</v>
      </c>
      <c r="D1919" s="2" t="s">
        <v>975</v>
      </c>
      <c r="E1919" s="2" t="s">
        <v>40</v>
      </c>
      <c r="F1919" t="s">
        <v>30</v>
      </c>
      <c r="G1919" t="s">
        <v>72</v>
      </c>
      <c r="N1919" s="2" t="s">
        <v>18</v>
      </c>
      <c r="O1919" s="2" t="s">
        <v>19</v>
      </c>
      <c r="P1919" s="2">
        <v>22000000</v>
      </c>
      <c r="Q1919" s="2">
        <v>7.3</v>
      </c>
      <c r="R1919" s="2" t="s">
        <v>4303</v>
      </c>
      <c r="S1919" s="2"/>
      <c r="AC1919" s="2"/>
      <c r="AD1919" t="str">
        <f>IFERROR(__xludf.DUMMYFUNCTION("""COMPUTED_VALUE"""),"The Losers ")</f>
        <v>The Losers </v>
      </c>
      <c r="AE1919">
        <f t="shared" si="59"/>
        <v>23527858</v>
      </c>
    </row>
    <row r="1920" customHeight="1" spans="1:31">
      <c r="A1920" s="2" t="s">
        <v>1551</v>
      </c>
      <c r="B1920" s="2">
        <v>114</v>
      </c>
      <c r="C1920" s="2">
        <v>50728000</v>
      </c>
      <c r="D1920" s="2" t="s">
        <v>915</v>
      </c>
      <c r="E1920" s="2" t="s">
        <v>12</v>
      </c>
      <c r="F1920" t="s">
        <v>30</v>
      </c>
      <c r="G1920" t="s">
        <v>55</v>
      </c>
      <c r="N1920" s="2" t="s">
        <v>18</v>
      </c>
      <c r="O1920" s="2" t="s">
        <v>19</v>
      </c>
      <c r="P1920" s="2">
        <v>22000000</v>
      </c>
      <c r="Q1920" s="2">
        <v>5.8</v>
      </c>
      <c r="R1920" s="2" t="s">
        <v>4304</v>
      </c>
      <c r="S1920" s="2"/>
      <c r="AC1920" s="2"/>
      <c r="AD1920" t="str">
        <f>IFERROR(__xludf.DUMMYFUNCTION("""COMPUTED_VALUE"""),"Don't Be Afraid of the Dark ")</f>
        <v>Don't Be Afraid of the Dark </v>
      </c>
      <c r="AE1920">
        <f t="shared" si="59"/>
        <v>24042391</v>
      </c>
    </row>
    <row r="1921" customHeight="1" spans="1:31">
      <c r="A1921" s="2" t="s">
        <v>2156</v>
      </c>
      <c r="B1921" s="2">
        <v>132</v>
      </c>
      <c r="C1921" s="2">
        <v>40270895</v>
      </c>
      <c r="D1921" s="2" t="s">
        <v>30</v>
      </c>
      <c r="E1921" s="2" t="s">
        <v>30</v>
      </c>
      <c r="F1921" t="s">
        <v>13</v>
      </c>
      <c r="G1921" t="s">
        <v>17</v>
      </c>
      <c r="N1921" s="2" t="s">
        <v>18</v>
      </c>
      <c r="O1921" s="2" t="s">
        <v>19</v>
      </c>
      <c r="P1921" s="2">
        <v>22000000</v>
      </c>
      <c r="Q1921" s="2">
        <v>7.6</v>
      </c>
      <c r="R1921" s="2" t="s">
        <v>4305</v>
      </c>
      <c r="S1921" s="2"/>
      <c r="AC1921" s="2"/>
      <c r="AD1921" t="str">
        <f>IFERROR(__xludf.DUMMYFUNCTION("""COMPUTED_VALUE"""),"War ")</f>
        <v>War </v>
      </c>
      <c r="AE1921">
        <f t="shared" si="59"/>
        <v>22466891</v>
      </c>
    </row>
    <row r="1922" customHeight="1" spans="1:31">
      <c r="A1922" s="2" t="s">
        <v>2158</v>
      </c>
      <c r="B1922" s="2">
        <v>170</v>
      </c>
      <c r="C1922" s="2">
        <v>59696176</v>
      </c>
      <c r="D1922" s="2" t="s">
        <v>2457</v>
      </c>
      <c r="E1922" s="2" t="s">
        <v>59</v>
      </c>
      <c r="F1922" t="s">
        <v>40</v>
      </c>
      <c r="G1922" t="s">
        <v>17</v>
      </c>
      <c r="N1922" s="2" t="s">
        <v>18</v>
      </c>
      <c r="O1922" s="2" t="s">
        <v>19</v>
      </c>
      <c r="P1922" s="2">
        <v>22000000</v>
      </c>
      <c r="Q1922" s="2">
        <v>5.6</v>
      </c>
      <c r="R1922" s="2" t="s">
        <v>4306</v>
      </c>
      <c r="S1922" s="2"/>
      <c r="AC1922" s="2"/>
      <c r="AD1922" t="str">
        <f>IFERROR(__xludf.DUMMYFUNCTION("""COMPUTED_VALUE"""),"Punch-Drunk Love ")</f>
        <v>Punch-Drunk Love </v>
      </c>
      <c r="AE1922">
        <f t="shared" si="59"/>
        <v>17790936</v>
      </c>
    </row>
    <row r="1923" customHeight="1" spans="1:31">
      <c r="A1923" s="2" t="s">
        <v>585</v>
      </c>
      <c r="B1923" s="2">
        <v>133</v>
      </c>
      <c r="C1923" s="2">
        <v>51483949</v>
      </c>
      <c r="D1923" s="2" t="s">
        <v>502</v>
      </c>
      <c r="E1923" s="2" t="s">
        <v>12</v>
      </c>
      <c r="F1923" t="s">
        <v>30</v>
      </c>
      <c r="G1923" t="s">
        <v>24</v>
      </c>
      <c r="N1923" s="2" t="s">
        <v>18</v>
      </c>
      <c r="O1923" s="2" t="s">
        <v>31</v>
      </c>
      <c r="P1923" s="2">
        <v>22000000</v>
      </c>
      <c r="Q1923" s="2">
        <v>7</v>
      </c>
      <c r="R1923" s="2" t="s">
        <v>4307</v>
      </c>
      <c r="S1923" s="2"/>
      <c r="AC1923" s="2"/>
      <c r="AD1923" t="str">
        <f>IFERROR(__xludf.DUMMYFUNCTION("""COMPUTED_VALUE"""),"EuroTrip ")</f>
        <v>EuroTrip </v>
      </c>
      <c r="AE1923">
        <f t="shared" si="59"/>
        <v>17718130</v>
      </c>
    </row>
    <row r="1924" customHeight="1" spans="1:31">
      <c r="A1924" s="2" t="s">
        <v>964</v>
      </c>
      <c r="B1924" s="2">
        <v>112</v>
      </c>
      <c r="C1924" s="2">
        <v>36020063</v>
      </c>
      <c r="D1924" s="2" t="s">
        <v>1655</v>
      </c>
      <c r="E1924" s="2" t="s">
        <v>30</v>
      </c>
      <c r="F1924" t="s">
        <v>24</v>
      </c>
      <c r="G1924" t="s">
        <v>17</v>
      </c>
      <c r="N1924" s="2" t="s">
        <v>18</v>
      </c>
      <c r="O1924" s="2" t="s">
        <v>19</v>
      </c>
      <c r="P1924" s="2">
        <v>22000000</v>
      </c>
      <c r="Q1924" s="2">
        <v>6.6</v>
      </c>
      <c r="R1924" s="2" t="s">
        <v>4308</v>
      </c>
      <c r="S1924" s="2"/>
      <c r="AC1924" s="2"/>
      <c r="AD1924" t="str">
        <f>IFERROR(__xludf.DUMMYFUNCTION("""COMPUTED_VALUE"""),"Half Past Dead ")</f>
        <v>Half Past Dead </v>
      </c>
      <c r="AE1924">
        <f t="shared" si="59"/>
        <v>15361439</v>
      </c>
    </row>
    <row r="1925" customHeight="1" spans="1:31">
      <c r="A1925" s="2" t="s">
        <v>556</v>
      </c>
      <c r="B1925" s="2">
        <v>108</v>
      </c>
      <c r="C1925" s="2">
        <v>33313582</v>
      </c>
      <c r="D1925" s="2" t="s">
        <v>2186</v>
      </c>
      <c r="E1925" s="2" t="s">
        <v>40</v>
      </c>
      <c r="F1925" t="s">
        <v>30</v>
      </c>
      <c r="G1925" t="s">
        <v>83</v>
      </c>
      <c r="N1925" s="2" t="s">
        <v>18</v>
      </c>
      <c r="O1925" s="2" t="s">
        <v>19</v>
      </c>
      <c r="P1925" s="2">
        <v>21000000</v>
      </c>
      <c r="Q1925" s="2">
        <v>6.5</v>
      </c>
      <c r="R1925" s="2" t="s">
        <v>4309</v>
      </c>
      <c r="S1925" s="2"/>
      <c r="AC1925" s="2"/>
      <c r="AD1925" t="str">
        <f>IFERROR(__xludf.DUMMYFUNCTION("""COMPUTED_VALUE"""),"Unaccompanied Minors ")</f>
        <v>Unaccompanied Minors </v>
      </c>
      <c r="AE1925">
        <f t="shared" si="59"/>
        <v>16647294</v>
      </c>
    </row>
    <row r="1926" customHeight="1" spans="1:31">
      <c r="A1926" s="2" t="s">
        <v>1925</v>
      </c>
      <c r="B1926" s="2">
        <v>115</v>
      </c>
      <c r="C1926" s="2">
        <v>25842000</v>
      </c>
      <c r="D1926" s="2" t="s">
        <v>2624</v>
      </c>
      <c r="E1926" s="2" t="s">
        <v>59</v>
      </c>
      <c r="F1926" t="s">
        <v>28</v>
      </c>
      <c r="G1926" t="s">
        <v>28</v>
      </c>
      <c r="N1926" s="2" t="s">
        <v>18</v>
      </c>
      <c r="O1926" s="2" t="s">
        <v>31</v>
      </c>
      <c r="P1926" s="2">
        <v>22000000</v>
      </c>
      <c r="Q1926" s="2">
        <v>7.4</v>
      </c>
      <c r="R1926" s="2" t="s">
        <v>4310</v>
      </c>
      <c r="S1926" s="2"/>
      <c r="AC1926" s="2"/>
      <c r="AD1926" t="str">
        <f>IFERROR(__xludf.DUMMYFUNCTION("""COMPUTED_VALUE"""),"Bright Lights, Big City ")</f>
        <v>Bright Lights, Big City </v>
      </c>
      <c r="AE1926">
        <f t="shared" si="59"/>
        <v>16117970</v>
      </c>
    </row>
    <row r="1927" customHeight="1" spans="1:31">
      <c r="A1927" s="2" t="s">
        <v>2160</v>
      </c>
      <c r="B1927" s="2">
        <v>83</v>
      </c>
      <c r="C1927" s="2">
        <v>22264487</v>
      </c>
      <c r="D1927" s="2" t="s">
        <v>40</v>
      </c>
      <c r="E1927" s="2" t="s">
        <v>40</v>
      </c>
      <c r="F1927" t="s">
        <v>30</v>
      </c>
      <c r="G1927" t="s">
        <v>24</v>
      </c>
      <c r="N1927" s="2" t="s">
        <v>18</v>
      </c>
      <c r="O1927" s="2" t="s">
        <v>19</v>
      </c>
      <c r="P1927" s="2">
        <v>22000000</v>
      </c>
      <c r="Q1927" s="2">
        <v>4.6</v>
      </c>
      <c r="R1927" s="2" t="s">
        <v>4311</v>
      </c>
      <c r="S1927" s="2"/>
      <c r="AC1927" s="2"/>
      <c r="AD1927" t="str">
        <f>IFERROR(__xludf.DUMMYFUNCTION("""COMPUTED_VALUE"""),"The Adventures of Pinocchio ")</f>
        <v>The Adventures of Pinocchio </v>
      </c>
      <c r="AE1927">
        <f t="shared" si="59"/>
        <v>15091452</v>
      </c>
    </row>
    <row r="1928" customHeight="1" spans="1:31">
      <c r="A1928" s="2" t="s">
        <v>1711</v>
      </c>
      <c r="B1928" s="2">
        <v>105</v>
      </c>
      <c r="C1928" s="2">
        <v>30659817</v>
      </c>
      <c r="D1928" s="2" t="s">
        <v>975</v>
      </c>
      <c r="E1928" s="2" t="s">
        <v>40</v>
      </c>
      <c r="F1928" t="s">
        <v>30</v>
      </c>
      <c r="G1928" t="s">
        <v>15</v>
      </c>
      <c r="N1928" s="2" t="s">
        <v>18</v>
      </c>
      <c r="O1928" s="2" t="s">
        <v>19</v>
      </c>
      <c r="P1928" s="2">
        <v>26000000</v>
      </c>
      <c r="Q1928" s="2">
        <v>6.4</v>
      </c>
      <c r="R1928" s="2" t="s">
        <v>4312</v>
      </c>
      <c r="S1928" s="2"/>
      <c r="AC1928" s="2"/>
      <c r="AD1928" t="str">
        <f>IFERROR(__xludf.DUMMYFUNCTION("""COMPUTED_VALUE"""),"The Box ")</f>
        <v>The Box </v>
      </c>
      <c r="AE1928">
        <f t="shared" si="59"/>
        <v>15045561</v>
      </c>
    </row>
    <row r="1929" customHeight="1" spans="1:31">
      <c r="A1929" s="2" t="s">
        <v>724</v>
      </c>
      <c r="B1929" s="2">
        <v>96</v>
      </c>
      <c r="C1929" s="2">
        <v>19351569</v>
      </c>
      <c r="D1929" s="2" t="s">
        <v>1733</v>
      </c>
      <c r="E1929" s="2" t="s">
        <v>40</v>
      </c>
      <c r="F1929" t="s">
        <v>14</v>
      </c>
      <c r="G1929" t="s">
        <v>17</v>
      </c>
      <c r="N1929" s="2" t="s">
        <v>18</v>
      </c>
      <c r="O1929" s="2" t="s">
        <v>19</v>
      </c>
      <c r="P1929" s="2">
        <v>22000000</v>
      </c>
      <c r="Q1929" s="2">
        <v>5.9</v>
      </c>
      <c r="R1929" s="2" t="s">
        <v>4313</v>
      </c>
      <c r="S1929" s="2"/>
      <c r="AC1929" s="2"/>
      <c r="AD1929" t="str">
        <f>IFERROR(__xludf.DUMMYFUNCTION("""COMPUTED_VALUE"""),"The Ruins ")</f>
        <v>The Ruins </v>
      </c>
      <c r="AE1929">
        <f t="shared" si="59"/>
        <v>17427833</v>
      </c>
    </row>
    <row r="1930" customHeight="1" spans="1:31">
      <c r="A1930" s="2" t="s">
        <v>359</v>
      </c>
      <c r="B1930" s="2">
        <v>94</v>
      </c>
      <c r="C1930" s="2">
        <v>49002815</v>
      </c>
      <c r="D1930" s="2" t="s">
        <v>1201</v>
      </c>
      <c r="E1930" s="2" t="s">
        <v>40</v>
      </c>
      <c r="F1930" t="s">
        <v>23</v>
      </c>
      <c r="G1930" t="s">
        <v>29</v>
      </c>
      <c r="N1930" s="2" t="s">
        <v>18</v>
      </c>
      <c r="O1930" s="2" t="s">
        <v>19</v>
      </c>
      <c r="P1930" s="2">
        <v>22000000</v>
      </c>
      <c r="Q1930" s="2">
        <v>6.4</v>
      </c>
      <c r="R1930" s="2" t="s">
        <v>4314</v>
      </c>
      <c r="S1930" s="2"/>
      <c r="AC1930" s="2"/>
      <c r="AD1930" t="str">
        <f>IFERROR(__xludf.DUMMYFUNCTION("""COMPUTED_VALUE"""),"The Next Best Thing ")</f>
        <v>The Next Best Thing </v>
      </c>
      <c r="AE1930">
        <f t="shared" si="59"/>
        <v>14983473</v>
      </c>
    </row>
    <row r="1931" customHeight="1" spans="1:31">
      <c r="A1931" s="2" t="s">
        <v>1259</v>
      </c>
      <c r="B1931" s="2">
        <v>142</v>
      </c>
      <c r="C1931" s="2">
        <v>19283782</v>
      </c>
      <c r="D1931" s="2" t="s">
        <v>2171</v>
      </c>
      <c r="E1931" s="2" t="s">
        <v>56</v>
      </c>
      <c r="F1931" t="s">
        <v>56</v>
      </c>
      <c r="G1931" t="s">
        <v>29</v>
      </c>
      <c r="N1931" s="2" t="s">
        <v>18</v>
      </c>
      <c r="O1931" s="2" t="s">
        <v>19</v>
      </c>
      <c r="P1931" s="2">
        <v>22000000</v>
      </c>
      <c r="Q1931" s="2">
        <v>6.6</v>
      </c>
      <c r="R1931" s="2" t="s">
        <v>4315</v>
      </c>
      <c r="S1931" s="2"/>
      <c r="AC1931" s="2"/>
      <c r="AD1931" t="str">
        <f>IFERROR(__xludf.DUMMYFUNCTION("""COMPUTED_VALUE"""),"My Soul to Take ")</f>
        <v>My Soul to Take </v>
      </c>
      <c r="AE1931">
        <f t="shared" si="59"/>
        <v>14637383</v>
      </c>
    </row>
    <row r="1932" customHeight="1" spans="1:31">
      <c r="A1932" s="2" t="s">
        <v>1632</v>
      </c>
      <c r="B1932" s="2">
        <v>104</v>
      </c>
      <c r="C1932" s="2">
        <v>30059386</v>
      </c>
      <c r="D1932" s="2" t="s">
        <v>40</v>
      </c>
      <c r="E1932" s="2" t="s">
        <v>40</v>
      </c>
      <c r="F1932" t="s">
        <v>40</v>
      </c>
      <c r="G1932" t="s">
        <v>15</v>
      </c>
      <c r="N1932" s="2" t="s">
        <v>18</v>
      </c>
      <c r="O1932" s="2" t="s">
        <v>19</v>
      </c>
      <c r="P1932" s="2">
        <v>22000000</v>
      </c>
      <c r="Q1932" s="2">
        <v>6.9</v>
      </c>
      <c r="R1932" s="2" t="s">
        <v>4316</v>
      </c>
      <c r="S1932" s="2"/>
      <c r="AC1932" s="2"/>
      <c r="AD1932" t="str">
        <f>IFERROR(__xludf.DUMMYFUNCTION("""COMPUTED_VALUE"""),"The Girl Next Door ")</f>
        <v>The Girl Next Door </v>
      </c>
      <c r="AE1932">
        <f t="shared" si="59"/>
        <v>14589334</v>
      </c>
    </row>
    <row r="1933" customHeight="1" spans="1:31">
      <c r="A1933" s="2" t="s">
        <v>2162</v>
      </c>
      <c r="B1933" s="2">
        <v>106</v>
      </c>
      <c r="C1933" s="2">
        <v>17951431</v>
      </c>
      <c r="D1933" s="2" t="s">
        <v>814</v>
      </c>
      <c r="E1933" s="2" t="s">
        <v>56</v>
      </c>
      <c r="F1933" t="s">
        <v>56</v>
      </c>
      <c r="G1933" t="s">
        <v>28</v>
      </c>
      <c r="N1933" s="2" t="s">
        <v>18</v>
      </c>
      <c r="O1933" s="2" t="s">
        <v>19</v>
      </c>
      <c r="P1933" s="2">
        <v>30000000</v>
      </c>
      <c r="Q1933" s="2">
        <v>5.8</v>
      </c>
      <c r="R1933" s="2" t="s">
        <v>4317</v>
      </c>
      <c r="S1933" s="2"/>
      <c r="AC1933" s="2"/>
      <c r="AD1933" t="str">
        <f>IFERROR(__xludf.DUMMYFUNCTION("""COMPUTED_VALUE"""),"Maximum Risk ")</f>
        <v>Maximum Risk </v>
      </c>
      <c r="AE1933">
        <f t="shared" si="59"/>
        <v>14095202</v>
      </c>
    </row>
    <row r="1934" customHeight="1" spans="1:31">
      <c r="A1934" s="2" t="s">
        <v>1628</v>
      </c>
      <c r="B1934" s="2">
        <v>106</v>
      </c>
      <c r="C1934" s="2">
        <v>29997095</v>
      </c>
      <c r="D1934" s="2" t="s">
        <v>4318</v>
      </c>
      <c r="E1934" s="2" t="s">
        <v>40</v>
      </c>
      <c r="F1934" t="s">
        <v>72</v>
      </c>
      <c r="G1934" t="s">
        <v>17</v>
      </c>
      <c r="N1934" s="2" t="s">
        <v>18</v>
      </c>
      <c r="O1934" s="2" t="s">
        <v>31</v>
      </c>
      <c r="P1934" s="2">
        <v>22000000</v>
      </c>
      <c r="Q1934" s="2">
        <v>6.4</v>
      </c>
      <c r="R1934" s="2" t="s">
        <v>4319</v>
      </c>
      <c r="S1934" s="2"/>
      <c r="AC1934" s="2"/>
      <c r="AD1934" t="str">
        <f>IFERROR(__xludf.DUMMYFUNCTION("""COMPUTED_VALUE"""),"Stealing Harvard ")</f>
        <v>Stealing Harvard </v>
      </c>
      <c r="AE1934">
        <f t="shared" si="59"/>
        <v>13973447</v>
      </c>
    </row>
    <row r="1935" customHeight="1" spans="1:31">
      <c r="A1935" s="2" t="s">
        <v>2164</v>
      </c>
      <c r="B1935" s="2">
        <v>98</v>
      </c>
      <c r="C1935" s="2">
        <v>14252830</v>
      </c>
      <c r="D1935" s="2" t="s">
        <v>3198</v>
      </c>
      <c r="E1935" s="2" t="s">
        <v>40</v>
      </c>
      <c r="F1935" t="s">
        <v>17</v>
      </c>
      <c r="G1935" t="s">
        <v>23</v>
      </c>
      <c r="N1935" s="2" t="s">
        <v>18</v>
      </c>
      <c r="O1935" s="2" t="s">
        <v>121</v>
      </c>
      <c r="P1935" s="2">
        <v>22000000</v>
      </c>
      <c r="Q1935" s="2">
        <v>5.3</v>
      </c>
      <c r="R1935" s="2" t="s">
        <v>4320</v>
      </c>
      <c r="S1935" s="2"/>
      <c r="AC1935" s="2"/>
      <c r="AD1935" t="str">
        <f>IFERROR(__xludf.DUMMYFUNCTION("""COMPUTED_VALUE"""),"Legend ")</f>
        <v>Legend </v>
      </c>
      <c r="AE1935">
        <f t="shared" si="59"/>
        <v>1865642</v>
      </c>
    </row>
    <row r="1936" customHeight="1" spans="1:31">
      <c r="A1936" s="2" t="s">
        <v>1286</v>
      </c>
      <c r="B1936" s="2">
        <v>100</v>
      </c>
      <c r="C1936" s="2">
        <v>19783777</v>
      </c>
      <c r="D1936" s="2" t="s">
        <v>186</v>
      </c>
      <c r="E1936" s="2" t="s">
        <v>12</v>
      </c>
      <c r="F1936" t="s">
        <v>40</v>
      </c>
      <c r="G1936" t="s">
        <v>24</v>
      </c>
      <c r="N1936" s="2" t="s">
        <v>18</v>
      </c>
      <c r="O1936" s="2" t="s">
        <v>19</v>
      </c>
      <c r="P1936" s="2">
        <v>22000000</v>
      </c>
      <c r="Q1936" s="2">
        <v>6.5</v>
      </c>
      <c r="R1936" s="2" t="s">
        <v>4321</v>
      </c>
      <c r="S1936" s="2"/>
      <c r="AC1936" s="2"/>
      <c r="AD1936" t="str">
        <f>IFERROR(__xludf.DUMMYFUNCTION("""COMPUTED_VALUE"""),"Shark Night 3D ")</f>
        <v>Shark Night 3D </v>
      </c>
      <c r="AE1936">
        <f t="shared" si="59"/>
        <v>18860313</v>
      </c>
    </row>
    <row r="1937" customHeight="1" spans="1:31">
      <c r="A1937" s="2" t="s">
        <v>2166</v>
      </c>
      <c r="B1937" s="2">
        <v>95</v>
      </c>
      <c r="C1937" s="2">
        <v>13555988</v>
      </c>
      <c r="D1937" s="2" t="s">
        <v>301</v>
      </c>
      <c r="E1937" s="2" t="s">
        <v>13</v>
      </c>
      <c r="F1937" t="s">
        <v>24</v>
      </c>
      <c r="G1937" t="s">
        <v>83</v>
      </c>
      <c r="N1937" s="2" t="s">
        <v>18</v>
      </c>
      <c r="O1937" s="2" t="s">
        <v>293</v>
      </c>
      <c r="P1937" s="2">
        <v>22000000</v>
      </c>
      <c r="Q1937" s="2">
        <v>5.7</v>
      </c>
      <c r="R1937" s="2" t="s">
        <v>4322</v>
      </c>
      <c r="S1937" s="2"/>
      <c r="AC1937" s="2"/>
      <c r="AD1937" t="str">
        <f>IFERROR(__xludf.DUMMYFUNCTION("""COMPUTED_VALUE"""),"Angela's Ashes ")</f>
        <v>Angela's Ashes </v>
      </c>
      <c r="AE1937">
        <f t="shared" si="59"/>
        <v>13038515</v>
      </c>
    </row>
    <row r="1938" customHeight="1" spans="1:31">
      <c r="A1938" s="2" t="s">
        <v>1091</v>
      </c>
      <c r="B1938" s="2">
        <v>107</v>
      </c>
      <c r="C1938" s="2">
        <v>12784713</v>
      </c>
      <c r="D1938" s="2" t="s">
        <v>40</v>
      </c>
      <c r="E1938" s="2" t="s">
        <v>40</v>
      </c>
      <c r="F1938" t="s">
        <v>13</v>
      </c>
      <c r="G1938" t="s">
        <v>16</v>
      </c>
      <c r="N1938" s="2" t="s">
        <v>18</v>
      </c>
      <c r="O1938" s="2" t="s">
        <v>19</v>
      </c>
      <c r="P1938" s="2">
        <v>22000000</v>
      </c>
      <c r="Q1938" s="2">
        <v>6.7</v>
      </c>
      <c r="R1938" s="2" t="s">
        <v>4323</v>
      </c>
      <c r="S1938" s="2"/>
      <c r="AC1938" s="2"/>
      <c r="AD1938" t="str">
        <f>IFERROR(__xludf.DUMMYFUNCTION("""COMPUTED_VALUE"""),"Draft Day ")</f>
        <v>Draft Day </v>
      </c>
      <c r="AE1938">
        <f t="shared" si="59"/>
        <v>28831035</v>
      </c>
    </row>
    <row r="1939" customHeight="1" spans="1:31">
      <c r="A1939" s="2" t="s">
        <v>2168</v>
      </c>
      <c r="B1939" s="2">
        <v>104</v>
      </c>
      <c r="C1939" s="2">
        <v>10696210</v>
      </c>
      <c r="D1939" s="2" t="s">
        <v>516</v>
      </c>
      <c r="E1939" s="2" t="s">
        <v>12</v>
      </c>
      <c r="F1939" t="s">
        <v>35</v>
      </c>
      <c r="G1939" t="s">
        <v>23</v>
      </c>
      <c r="N1939" s="2" t="s">
        <v>18</v>
      </c>
      <c r="O1939" s="2" t="s">
        <v>19</v>
      </c>
      <c r="P1939" s="2">
        <v>23500000</v>
      </c>
      <c r="Q1939" s="2">
        <v>3.9</v>
      </c>
      <c r="R1939" s="2" t="s">
        <v>4324</v>
      </c>
      <c r="S1939" s="2"/>
      <c r="AC1939" s="2"/>
      <c r="AD1939" t="str">
        <f>IFERROR(__xludf.DUMMYFUNCTION("""COMPUTED_VALUE"""),"The Conspirator ")</f>
        <v>The Conspirator </v>
      </c>
      <c r="AE1939">
        <f t="shared" si="59"/>
        <v>11538082</v>
      </c>
    </row>
    <row r="1940" customHeight="1" spans="1:31">
      <c r="A1940" s="2" t="s">
        <v>2170</v>
      </c>
      <c r="B1940" s="2">
        <v>104</v>
      </c>
      <c r="C1940" s="2">
        <v>5974653</v>
      </c>
      <c r="D1940" s="2" t="s">
        <v>120</v>
      </c>
      <c r="E1940" s="2" t="s">
        <v>12</v>
      </c>
      <c r="F1940" t="s">
        <v>14</v>
      </c>
      <c r="G1940" t="s">
        <v>15</v>
      </c>
      <c r="N1940" s="2" t="s">
        <v>18</v>
      </c>
      <c r="O1940" s="2" t="s">
        <v>19</v>
      </c>
      <c r="P1940" s="2">
        <v>22000000</v>
      </c>
      <c r="Q1940" s="2">
        <v>4.1</v>
      </c>
      <c r="R1940" s="2" t="s">
        <v>4325</v>
      </c>
      <c r="S1940" s="2"/>
      <c r="AC1940" s="2"/>
      <c r="AD1940" t="str">
        <f>IFERROR(__xludf.DUMMYFUNCTION("""COMPUTED_VALUE"""),"Lords of Dogtown ")</f>
        <v>Lords of Dogtown </v>
      </c>
      <c r="AE1940">
        <f t="shared" si="59"/>
        <v>11008325</v>
      </c>
    </row>
    <row r="1941" customHeight="1" spans="1:31">
      <c r="A1941" s="2" t="s">
        <v>2173</v>
      </c>
      <c r="B1941" s="2">
        <v>143</v>
      </c>
      <c r="C1941" s="2">
        <v>5000000</v>
      </c>
      <c r="D1941" s="2" t="s">
        <v>4326</v>
      </c>
      <c r="E1941" s="2" t="s">
        <v>40</v>
      </c>
      <c r="F1941" t="s">
        <v>23</v>
      </c>
      <c r="G1941" t="s">
        <v>24</v>
      </c>
      <c r="N1941" s="2" t="s">
        <v>18</v>
      </c>
      <c r="O1941" s="2" t="s">
        <v>19</v>
      </c>
      <c r="P1941" s="2">
        <v>25000000</v>
      </c>
      <c r="Q1941" s="2">
        <v>6.2</v>
      </c>
      <c r="R1941" s="2" t="s">
        <v>4327</v>
      </c>
      <c r="S1941" s="2"/>
      <c r="AC1941" s="2"/>
      <c r="AD1941" t="str">
        <f>IFERROR(__xludf.DUMMYFUNCTION("""COMPUTED_VALUE"""),"The 33 ")</f>
        <v>The 33 </v>
      </c>
      <c r="AE1941">
        <f t="shared" si="59"/>
        <v>12188515</v>
      </c>
    </row>
    <row r="1942" customHeight="1" spans="1:31">
      <c r="A1942" s="2" t="s">
        <v>1681</v>
      </c>
      <c r="B1942" s="2">
        <v>77</v>
      </c>
      <c r="C1942" s="2">
        <v>9694105</v>
      </c>
      <c r="D1942" s="2" t="s">
        <v>1061</v>
      </c>
      <c r="E1942" s="2" t="s">
        <v>40</v>
      </c>
      <c r="F1942" t="s">
        <v>56</v>
      </c>
      <c r="G1942" t="s">
        <v>24</v>
      </c>
      <c r="N1942" s="2" t="s">
        <v>18</v>
      </c>
      <c r="O1942" s="2" t="s">
        <v>19</v>
      </c>
      <c r="P1942" s="2">
        <v>22000000</v>
      </c>
      <c r="Q1942" s="2">
        <v>3.8</v>
      </c>
      <c r="R1942" s="2" t="s">
        <v>4328</v>
      </c>
      <c r="S1942" s="2"/>
      <c r="AC1942" s="2"/>
      <c r="AD1942" t="str">
        <f>IFERROR(__xludf.DUMMYFUNCTION("""COMPUTED_VALUE"""),"Big Trouble in Little China ")</f>
        <v>Big Trouble in Little China </v>
      </c>
      <c r="AE1942">
        <f t="shared" si="59"/>
        <v>11099901</v>
      </c>
    </row>
    <row r="1943" customHeight="1" spans="1:31">
      <c r="A1943" s="2" t="s">
        <v>1949</v>
      </c>
      <c r="B1943" s="2">
        <v>96</v>
      </c>
      <c r="C1943" s="2">
        <v>16027866</v>
      </c>
      <c r="D1943" s="2" t="s">
        <v>150</v>
      </c>
      <c r="E1943" s="2" t="s">
        <v>12</v>
      </c>
      <c r="F1943" t="s">
        <v>56</v>
      </c>
      <c r="G1943" t="s">
        <v>24</v>
      </c>
      <c r="N1943" s="2" t="s">
        <v>18</v>
      </c>
      <c r="O1943" s="2" t="s">
        <v>707</v>
      </c>
      <c r="P1943" s="2">
        <v>25000000</v>
      </c>
      <c r="Q1943" s="2">
        <v>5.1</v>
      </c>
      <c r="R1943" s="2" t="s">
        <v>4329</v>
      </c>
      <c r="S1943" s="2"/>
      <c r="AC1943" s="2"/>
      <c r="AD1943" t="str">
        <f>IFERROR(__xludf.DUMMYFUNCTION("""COMPUTED_VALUE"""),"Warrior ")</f>
        <v>Warrior </v>
      </c>
      <c r="AE1943">
        <f t="shared" si="59"/>
        <v>13651522</v>
      </c>
    </row>
    <row r="1944" customHeight="1" spans="1:31">
      <c r="A1944" s="2" t="s">
        <v>483</v>
      </c>
      <c r="B1944" s="2">
        <v>145</v>
      </c>
      <c r="C1944" s="2">
        <v>4398392</v>
      </c>
      <c r="D1944" s="2" t="s">
        <v>3193</v>
      </c>
      <c r="E1944" s="2" t="s">
        <v>30</v>
      </c>
      <c r="F1944" t="s">
        <v>72</v>
      </c>
      <c r="G1944" t="s">
        <v>30</v>
      </c>
      <c r="N1944" s="2" t="s">
        <v>4330</v>
      </c>
      <c r="O1944" s="2" t="s">
        <v>4331</v>
      </c>
      <c r="P1944" s="2">
        <v>21000000</v>
      </c>
      <c r="Q1944" s="2">
        <v>7.8</v>
      </c>
      <c r="R1944" s="2" t="s">
        <v>4332</v>
      </c>
      <c r="S1944" s="2"/>
      <c r="AC1944" s="2"/>
      <c r="AD1944" t="str">
        <f>IFERROR(__xludf.DUMMYFUNCTION("""COMPUTED_VALUE"""),"Michael Collins ")</f>
        <v>Michael Collins </v>
      </c>
      <c r="AE1944">
        <f t="shared" si="59"/>
        <v>11030830</v>
      </c>
    </row>
    <row r="1945" customHeight="1" spans="1:31">
      <c r="A1945" s="2" t="s">
        <v>2175</v>
      </c>
      <c r="B1945" s="2">
        <v>116</v>
      </c>
      <c r="C1945" s="2">
        <v>1050445</v>
      </c>
      <c r="D1945" s="2" t="s">
        <v>4333</v>
      </c>
      <c r="E1945" s="2" t="s">
        <v>30</v>
      </c>
      <c r="F1945" t="s">
        <v>28</v>
      </c>
      <c r="G1945" t="s">
        <v>83</v>
      </c>
      <c r="N1945" s="2" t="s">
        <v>1125</v>
      </c>
      <c r="O1945" s="2" t="s">
        <v>707</v>
      </c>
      <c r="P1945" s="2">
        <v>22000000</v>
      </c>
      <c r="Q1945" s="2">
        <v>7.8</v>
      </c>
      <c r="R1945" s="2" t="s">
        <v>4334</v>
      </c>
      <c r="S1945" s="2"/>
      <c r="AC1945" s="2"/>
      <c r="AD1945" t="str">
        <f>IFERROR(__xludf.DUMMYFUNCTION("""COMPUTED_VALUE"""),"Gettysburg ")</f>
        <v>Gettysburg </v>
      </c>
      <c r="AE1945">
        <f t="shared" si="59"/>
        <v>10769689</v>
      </c>
    </row>
    <row r="1946" customHeight="1" spans="1:31">
      <c r="A1946" s="2" t="s">
        <v>2177</v>
      </c>
      <c r="B1946" s="2">
        <v>100</v>
      </c>
      <c r="C1946" s="2">
        <v>13746550</v>
      </c>
      <c r="D1946" s="2" t="s">
        <v>524</v>
      </c>
      <c r="E1946" s="2" t="s">
        <v>12</v>
      </c>
      <c r="F1946" t="s">
        <v>17</v>
      </c>
      <c r="G1946" t="s">
        <v>30</v>
      </c>
      <c r="N1946" s="2" t="s">
        <v>18</v>
      </c>
      <c r="O1946" s="2" t="s">
        <v>19</v>
      </c>
      <c r="P1946" s="2">
        <v>2000000</v>
      </c>
      <c r="Q1946" s="2">
        <v>6.1</v>
      </c>
      <c r="R1946" s="2" t="s">
        <v>4335</v>
      </c>
      <c r="S1946" s="2"/>
      <c r="AC1946" s="2"/>
      <c r="AD1946" t="str">
        <f>IFERROR(__xludf.DUMMYFUNCTION("""COMPUTED_VALUE"""),"Stop-Loss ")</f>
        <v>Stop-Loss </v>
      </c>
      <c r="AE1946">
        <f t="shared" si="59"/>
        <v>10911638</v>
      </c>
    </row>
    <row r="1947" customHeight="1" spans="1:31">
      <c r="A1947" s="2" t="s">
        <v>1960</v>
      </c>
      <c r="B1947" s="2">
        <v>104</v>
      </c>
      <c r="C1947" s="2">
        <v>20668843</v>
      </c>
      <c r="D1947" s="2" t="s">
        <v>2471</v>
      </c>
      <c r="E1947" s="2" t="s">
        <v>40</v>
      </c>
      <c r="F1947" t="s">
        <v>17</v>
      </c>
      <c r="G1947" t="s">
        <v>15</v>
      </c>
      <c r="N1947" s="2" t="s">
        <v>18</v>
      </c>
      <c r="O1947" s="2" t="s">
        <v>19</v>
      </c>
      <c r="P1947" s="2">
        <v>22000000</v>
      </c>
      <c r="Q1947" s="2">
        <v>5.8</v>
      </c>
      <c r="R1947" s="2" t="s">
        <v>4336</v>
      </c>
      <c r="S1947" s="2"/>
      <c r="AC1947" s="2"/>
      <c r="AD1947" t="str">
        <f>IFERROR(__xludf.DUMMYFUNCTION("""COMPUTED_VALUE"""),"Abandon ")</f>
        <v>Abandon </v>
      </c>
      <c r="AE1947">
        <f t="shared" si="59"/>
        <v>10719268</v>
      </c>
    </row>
    <row r="1948" customHeight="1" spans="1:31">
      <c r="A1948" s="2" t="s">
        <v>2179</v>
      </c>
      <c r="B1948" s="2">
        <v>92</v>
      </c>
      <c r="C1948" s="2">
        <v>2963012</v>
      </c>
      <c r="D1948" s="2" t="s">
        <v>712</v>
      </c>
      <c r="E1948" s="2" t="s">
        <v>30</v>
      </c>
      <c r="F1948" t="s">
        <v>30</v>
      </c>
      <c r="G1948" t="s">
        <v>56</v>
      </c>
      <c r="N1948" s="2" t="s">
        <v>18</v>
      </c>
      <c r="O1948" s="2" t="s">
        <v>31</v>
      </c>
      <c r="P1948" s="2">
        <v>22000000</v>
      </c>
      <c r="Q1948" s="2">
        <v>6.3</v>
      </c>
      <c r="R1948" s="2" t="s">
        <v>4337</v>
      </c>
      <c r="S1948" s="2"/>
      <c r="AC1948" s="2"/>
      <c r="AD1948" t="str">
        <f>IFERROR(__xludf.DUMMYFUNCTION("""COMPUTED_VALUE"""),"Brokedown Palace ")</f>
        <v>Brokedown Palace </v>
      </c>
      <c r="AE1948">
        <f t="shared" si="59"/>
        <v>10114215</v>
      </c>
    </row>
    <row r="1949" customHeight="1" spans="1:31">
      <c r="A1949" s="2" t="s">
        <v>2181</v>
      </c>
      <c r="B1949" s="2">
        <v>105</v>
      </c>
      <c r="C1949" s="2">
        <v>1796024</v>
      </c>
      <c r="D1949" s="2" t="s">
        <v>1655</v>
      </c>
      <c r="E1949" s="2" t="s">
        <v>30</v>
      </c>
      <c r="F1949" t="s">
        <v>30</v>
      </c>
      <c r="G1949" t="s">
        <v>24</v>
      </c>
      <c r="N1949" s="2" t="s">
        <v>18</v>
      </c>
      <c r="O1949" s="2" t="s">
        <v>19</v>
      </c>
      <c r="P1949" s="2">
        <v>22000000</v>
      </c>
      <c r="Q1949" s="2">
        <v>5.4</v>
      </c>
      <c r="R1949" s="2" t="s">
        <v>4338</v>
      </c>
      <c r="S1949" s="2"/>
      <c r="AC1949" s="2"/>
      <c r="AD1949" t="str">
        <f>IFERROR(__xludf.DUMMYFUNCTION("""COMPUTED_VALUE"""),"The Possession ")</f>
        <v>The Possession </v>
      </c>
      <c r="AE1949">
        <f t="shared" si="59"/>
        <v>49122227</v>
      </c>
    </row>
    <row r="1950" customHeight="1" spans="1:31">
      <c r="A1950" s="2" t="s">
        <v>2183</v>
      </c>
      <c r="B1950" s="2">
        <v>120</v>
      </c>
      <c r="C1950" s="2">
        <v>634277</v>
      </c>
      <c r="D1950" s="2" t="s">
        <v>4339</v>
      </c>
      <c r="E1950" s="2" t="s">
        <v>40</v>
      </c>
      <c r="F1950" t="s">
        <v>59</v>
      </c>
      <c r="G1950" t="s">
        <v>24</v>
      </c>
      <c r="N1950" s="2" t="s">
        <v>1125</v>
      </c>
      <c r="O1950" s="2" t="s">
        <v>707</v>
      </c>
      <c r="P1950" s="2">
        <v>16000000</v>
      </c>
      <c r="Q1950" s="2">
        <v>7.3</v>
      </c>
      <c r="R1950" s="2" t="s">
        <v>4340</v>
      </c>
      <c r="S1950" s="2"/>
      <c r="AC1950" s="2"/>
      <c r="AD1950" t="str">
        <f>IFERROR(__xludf.DUMMYFUNCTION("""COMPUTED_VALUE"""),"Mrs. Winterbourne ")</f>
        <v>Mrs. Winterbourne </v>
      </c>
      <c r="AE1950">
        <f t="shared" si="59"/>
        <v>10069895</v>
      </c>
    </row>
    <row r="1951" customHeight="1" spans="1:31">
      <c r="A1951" s="2" t="s">
        <v>1223</v>
      </c>
      <c r="B1951" s="2">
        <v>116</v>
      </c>
      <c r="C1951" s="2">
        <v>11326836</v>
      </c>
      <c r="D1951" s="2" t="s">
        <v>805</v>
      </c>
      <c r="E1951" s="2" t="s">
        <v>56</v>
      </c>
      <c r="F1951" t="s">
        <v>30</v>
      </c>
      <c r="G1951" t="s">
        <v>24</v>
      </c>
      <c r="N1951" s="2" t="s">
        <v>18</v>
      </c>
      <c r="O1951" s="2" t="s">
        <v>19</v>
      </c>
      <c r="P1951" s="2">
        <v>22000000</v>
      </c>
      <c r="Q1951" s="2">
        <v>6.8</v>
      </c>
      <c r="R1951" s="2" t="s">
        <v>4341</v>
      </c>
      <c r="S1951" s="2"/>
      <c r="AC1951" s="2"/>
      <c r="AD1951" t="str">
        <f>IFERROR(__xludf.DUMMYFUNCTION("""COMPUTED_VALUE"""),"Straw Dogs ")</f>
        <v>Straw Dogs </v>
      </c>
      <c r="AE1951">
        <f t="shared" si="59"/>
        <v>10324331</v>
      </c>
    </row>
    <row r="1952" customHeight="1" spans="1:31">
      <c r="A1952" s="2" t="s">
        <v>488</v>
      </c>
      <c r="B1952" s="2">
        <v>119</v>
      </c>
      <c r="C1952" s="2">
        <v>49024969</v>
      </c>
      <c r="D1952" s="2" t="s">
        <v>814</v>
      </c>
      <c r="E1952" s="2" t="s">
        <v>56</v>
      </c>
      <c r="F1952" t="s">
        <v>14</v>
      </c>
      <c r="G1952" t="s">
        <v>83</v>
      </c>
      <c r="N1952" s="2" t="s">
        <v>18</v>
      </c>
      <c r="O1952" s="2" t="s">
        <v>19</v>
      </c>
      <c r="P1952" s="2">
        <v>25000000</v>
      </c>
      <c r="Q1952" s="2">
        <v>7.3</v>
      </c>
      <c r="R1952" s="2" t="s">
        <v>4342</v>
      </c>
      <c r="S1952" s="2"/>
      <c r="AC1952" s="2"/>
      <c r="AD1952" t="str">
        <f>IFERROR(__xludf.DUMMYFUNCTION("""COMPUTED_VALUE"""),"The Hoax ")</f>
        <v>The Hoax </v>
      </c>
      <c r="AE1952">
        <f t="shared" si="59"/>
        <v>7156817</v>
      </c>
    </row>
    <row r="1953" customHeight="1" spans="1:31">
      <c r="A1953" s="2" t="s">
        <v>781</v>
      </c>
      <c r="B1953" s="2">
        <v>101</v>
      </c>
      <c r="C1953" s="2">
        <v>22294341</v>
      </c>
      <c r="D1953" s="2" t="s">
        <v>1716</v>
      </c>
      <c r="E1953" s="2" t="s">
        <v>13</v>
      </c>
      <c r="F1953" t="s">
        <v>23</v>
      </c>
      <c r="G1953" t="s">
        <v>24</v>
      </c>
      <c r="N1953" s="2" t="s">
        <v>18</v>
      </c>
      <c r="O1953" s="2" t="s">
        <v>19</v>
      </c>
      <c r="P1953" s="2">
        <v>21500000</v>
      </c>
      <c r="Q1953" s="2">
        <v>6.5</v>
      </c>
      <c r="R1953" s="2" t="s">
        <v>4343</v>
      </c>
      <c r="S1953" s="2"/>
      <c r="AC1953" s="2"/>
      <c r="AD1953" t="str">
        <f>IFERROR(__xludf.DUMMYFUNCTION("""COMPUTED_VALUE"""),"Stone Cold ")</f>
        <v>Stone Cold </v>
      </c>
      <c r="AE1953">
        <f t="shared" si="59"/>
        <v>9286226</v>
      </c>
    </row>
    <row r="1954" customHeight="1" spans="1:31">
      <c r="A1954" s="2" t="s">
        <v>1470</v>
      </c>
      <c r="B1954" s="2">
        <v>117</v>
      </c>
      <c r="C1954" s="2">
        <v>24362501</v>
      </c>
      <c r="D1954" s="2" t="s">
        <v>805</v>
      </c>
      <c r="E1954" s="2" t="s">
        <v>56</v>
      </c>
      <c r="F1954" t="s">
        <v>30</v>
      </c>
      <c r="G1954" t="s">
        <v>17</v>
      </c>
      <c r="N1954" s="2" t="s">
        <v>18</v>
      </c>
      <c r="O1954" s="2" t="s">
        <v>19</v>
      </c>
      <c r="P1954" s="2">
        <v>21500000</v>
      </c>
      <c r="Q1954" s="2">
        <v>7.2</v>
      </c>
      <c r="R1954" s="2" t="s">
        <v>4344</v>
      </c>
      <c r="S1954" s="2"/>
      <c r="AC1954" s="2"/>
      <c r="AD1954" t="str">
        <f>IFERROR(__xludf.DUMMYFUNCTION("""COMPUTED_VALUE"""),"The Road ")</f>
        <v>The Road </v>
      </c>
      <c r="AE1954">
        <f t="shared" si="59"/>
        <v>56581</v>
      </c>
    </row>
    <row r="1955" customHeight="1" spans="1:31">
      <c r="A1955" s="2" t="s">
        <v>1814</v>
      </c>
      <c r="B1955" s="2">
        <v>112</v>
      </c>
      <c r="C1955" s="2">
        <v>16684352</v>
      </c>
      <c r="D1955" s="2" t="s">
        <v>607</v>
      </c>
      <c r="E1955" s="2" t="s">
        <v>40</v>
      </c>
      <c r="F1955" t="s">
        <v>40</v>
      </c>
      <c r="G1955" t="s">
        <v>17</v>
      </c>
      <c r="N1955" s="2" t="s">
        <v>18</v>
      </c>
      <c r="O1955" s="2" t="s">
        <v>19</v>
      </c>
      <c r="P1955" s="2">
        <v>17000000</v>
      </c>
      <c r="Q1955" s="2">
        <v>6.3</v>
      </c>
      <c r="R1955" s="2" t="s">
        <v>4345</v>
      </c>
      <c r="S1955" s="2"/>
      <c r="AC1955" s="2"/>
      <c r="AD1955" t="str">
        <f>IFERROR(__xludf.DUMMYFUNCTION("""COMPUTED_VALUE"""),"Underclassman ")</f>
        <v>Underclassman </v>
      </c>
      <c r="AE1955">
        <f t="shared" si="59"/>
        <v>5654682</v>
      </c>
    </row>
    <row r="1956" customHeight="1" spans="1:31">
      <c r="A1956" s="2" t="s">
        <v>1000</v>
      </c>
      <c r="B1956" s="2">
        <v>136</v>
      </c>
      <c r="C1956" s="2">
        <v>46700000</v>
      </c>
      <c r="D1956" s="2" t="s">
        <v>27</v>
      </c>
      <c r="E1956" s="2" t="s">
        <v>12</v>
      </c>
      <c r="F1956" t="s">
        <v>23</v>
      </c>
      <c r="G1956" t="s">
        <v>15</v>
      </c>
      <c r="N1956" s="2" t="s">
        <v>18</v>
      </c>
      <c r="O1956" s="2" t="s">
        <v>19</v>
      </c>
      <c r="P1956" s="2">
        <v>21000000</v>
      </c>
      <c r="Q1956" s="2">
        <v>5.9</v>
      </c>
      <c r="R1956" s="2" t="s">
        <v>4346</v>
      </c>
      <c r="S1956" s="2"/>
      <c r="AC1956" s="2"/>
      <c r="AD1956" t="str">
        <f>IFERROR(__xludf.DUMMYFUNCTION("""COMPUTED_VALUE"""),"Say It Isn't So ")</f>
        <v>Say It Isn't So </v>
      </c>
      <c r="AE1956">
        <f t="shared" si="59"/>
        <v>5516613</v>
      </c>
    </row>
    <row r="1957" customHeight="1" spans="1:31">
      <c r="A1957" s="2" t="s">
        <v>2185</v>
      </c>
      <c r="B1957" s="2">
        <v>81</v>
      </c>
      <c r="C1957" s="2">
        <v>52008288</v>
      </c>
      <c r="D1957" s="2" t="s">
        <v>4347</v>
      </c>
      <c r="E1957" s="2" t="s">
        <v>35</v>
      </c>
      <c r="F1957" t="s">
        <v>56</v>
      </c>
      <c r="G1957" t="s">
        <v>30</v>
      </c>
      <c r="N1957" s="2" t="s">
        <v>18</v>
      </c>
      <c r="O1957" s="2" t="s">
        <v>19</v>
      </c>
      <c r="P1957" s="2">
        <v>21000000</v>
      </c>
      <c r="Q1957" s="2">
        <v>7.8</v>
      </c>
      <c r="R1957" s="2" t="s">
        <v>4348</v>
      </c>
      <c r="S1957" s="2"/>
      <c r="AC1957" s="2"/>
      <c r="AD1957" t="str">
        <f>IFERROR(__xludf.DUMMYFUNCTION("""COMPUTED_VALUE"""),"The World's Fastest Indian ")</f>
        <v>The World's Fastest Indian </v>
      </c>
      <c r="AE1957">
        <f t="shared" si="59"/>
        <v>5127997</v>
      </c>
    </row>
    <row r="1958" customHeight="1" spans="1:31">
      <c r="A1958" s="2" t="s">
        <v>679</v>
      </c>
      <c r="B1958" s="2">
        <v>87</v>
      </c>
      <c r="C1958" s="2">
        <v>8579684</v>
      </c>
      <c r="D1958" s="2" t="s">
        <v>40</v>
      </c>
      <c r="E1958" s="2" t="s">
        <v>40</v>
      </c>
      <c r="F1958" t="s">
        <v>17</v>
      </c>
      <c r="G1958" t="s">
        <v>40</v>
      </c>
      <c r="N1958" s="2" t="s">
        <v>18</v>
      </c>
      <c r="O1958" s="2" t="s">
        <v>19</v>
      </c>
      <c r="P1958" s="2">
        <v>9000000</v>
      </c>
      <c r="Q1958" s="2">
        <v>7.4</v>
      </c>
      <c r="R1958" s="2" t="s">
        <v>4349</v>
      </c>
      <c r="S1958" s="2"/>
      <c r="AC1958" s="2"/>
      <c r="AD1958" t="str">
        <f>IFERROR(__xludf.DUMMYFUNCTION("""COMPUTED_VALUE"""),"Tank Girl ")</f>
        <v>Tank Girl </v>
      </c>
      <c r="AE1958">
        <f t="shared" si="59"/>
        <v>4064229</v>
      </c>
    </row>
    <row r="1959" customHeight="1" spans="1:31">
      <c r="A1959" s="2" t="s">
        <v>2188</v>
      </c>
      <c r="B1959" s="2">
        <v>96</v>
      </c>
      <c r="C1959" s="2">
        <v>42660000</v>
      </c>
      <c r="D1959" s="2" t="s">
        <v>86</v>
      </c>
      <c r="E1959" s="2" t="s">
        <v>12</v>
      </c>
      <c r="F1959" t="s">
        <v>17</v>
      </c>
      <c r="G1959" t="s">
        <v>30</v>
      </c>
      <c r="N1959" s="2" t="s">
        <v>18</v>
      </c>
      <c r="O1959" s="2" t="s">
        <v>19</v>
      </c>
      <c r="P1959" s="2">
        <v>17000000</v>
      </c>
      <c r="Q1959" s="2">
        <v>4.8</v>
      </c>
      <c r="R1959" s="2" t="s">
        <v>4350</v>
      </c>
      <c r="S1959" s="2"/>
      <c r="AC1959" s="2"/>
      <c r="AD1959" t="str">
        <f>IFERROR(__xludf.DUMMYFUNCTION("""COMPUTED_VALUE"""),"King's Ransom ")</f>
        <v>King's Ransom </v>
      </c>
      <c r="AE1959">
        <f t="shared" si="59"/>
        <v>4006811</v>
      </c>
    </row>
    <row r="1960" customHeight="1" spans="1:31">
      <c r="A1960" s="2" t="s">
        <v>1070</v>
      </c>
      <c r="B1960" s="2">
        <v>106</v>
      </c>
      <c r="C1960" s="2">
        <v>40219708</v>
      </c>
      <c r="D1960" s="2" t="s">
        <v>1527</v>
      </c>
      <c r="E1960" s="2" t="s">
        <v>30</v>
      </c>
      <c r="F1960" t="s">
        <v>30</v>
      </c>
      <c r="G1960" t="s">
        <v>24</v>
      </c>
      <c r="N1960" s="2" t="s">
        <v>18</v>
      </c>
      <c r="O1960" s="2" t="s">
        <v>19</v>
      </c>
      <c r="P1960" s="2">
        <v>21000000</v>
      </c>
      <c r="Q1960" s="2">
        <v>6.3</v>
      </c>
      <c r="R1960" s="2" t="s">
        <v>4351</v>
      </c>
      <c r="S1960" s="2"/>
      <c r="AC1960" s="2"/>
      <c r="AD1960" t="str">
        <f>IFERROR(__xludf.DUMMYFUNCTION("""COMPUTED_VALUE"""),"Blindness ")</f>
        <v>Blindness </v>
      </c>
      <c r="AE1960">
        <f t="shared" si="59"/>
        <v>3073271</v>
      </c>
    </row>
    <row r="1961" customHeight="1" spans="1:31">
      <c r="A1961" s="2" t="s">
        <v>1091</v>
      </c>
      <c r="B1961" s="2">
        <v>122</v>
      </c>
      <c r="C1961" s="2">
        <v>132088910</v>
      </c>
      <c r="D1961" s="2" t="s">
        <v>521</v>
      </c>
      <c r="E1961" s="2" t="s">
        <v>40</v>
      </c>
      <c r="F1961" t="s">
        <v>56</v>
      </c>
      <c r="G1961" t="s">
        <v>30</v>
      </c>
      <c r="N1961" s="2" t="s">
        <v>18</v>
      </c>
      <c r="O1961" s="2" t="s">
        <v>19</v>
      </c>
      <c r="P1961" s="2">
        <v>21000000</v>
      </c>
      <c r="Q1961" s="2">
        <v>7.8</v>
      </c>
      <c r="R1961" s="2" t="s">
        <v>4352</v>
      </c>
      <c r="S1961" s="2"/>
      <c r="AC1961" s="2"/>
      <c r="AD1961" t="str">
        <f>IFERROR(__xludf.DUMMYFUNCTION("""COMPUTED_VALUE"""),"BloodRayne ")</f>
        <v>BloodRayne </v>
      </c>
      <c r="AE1961">
        <f t="shared" si="59"/>
        <v>1549908</v>
      </c>
    </row>
    <row r="1962" customHeight="1" spans="1:31">
      <c r="A1962" s="2" t="s">
        <v>1356</v>
      </c>
      <c r="B1962" s="2">
        <v>123</v>
      </c>
      <c r="C1962" s="2">
        <v>36581633</v>
      </c>
      <c r="D1962" s="2" t="s">
        <v>625</v>
      </c>
      <c r="E1962" s="2" t="s">
        <v>59</v>
      </c>
      <c r="F1962" t="s">
        <v>40</v>
      </c>
      <c r="G1962" t="s">
        <v>24</v>
      </c>
      <c r="N1962" s="2" t="s">
        <v>18</v>
      </c>
      <c r="O1962" s="2" t="s">
        <v>293</v>
      </c>
      <c r="P1962" s="2">
        <v>21000000</v>
      </c>
      <c r="Q1962" s="2">
        <v>7.5</v>
      </c>
      <c r="R1962" s="2" t="s">
        <v>4353</v>
      </c>
      <c r="S1962" s="2"/>
      <c r="AC1962" s="2"/>
      <c r="AD1962" t="str">
        <f>IFERROR(__xludf.DUMMYFUNCTION("""COMPUTED_VALUE"""),"Where the Truth Lies ")</f>
        <v>Where the Truth Lies </v>
      </c>
      <c r="AE1962">
        <f t="shared" si="59"/>
        <v>871420</v>
      </c>
    </row>
    <row r="1963" customHeight="1" spans="1:31">
      <c r="A1963" s="2" t="s">
        <v>421</v>
      </c>
      <c r="B1963" s="2">
        <v>92</v>
      </c>
      <c r="C1963" s="2">
        <v>25296447</v>
      </c>
      <c r="D1963" s="2" t="s">
        <v>150</v>
      </c>
      <c r="E1963" s="2" t="s">
        <v>12</v>
      </c>
      <c r="F1963" t="s">
        <v>17</v>
      </c>
      <c r="G1963" t="s">
        <v>17</v>
      </c>
      <c r="N1963" s="2" t="s">
        <v>18</v>
      </c>
      <c r="O1963" s="2" t="s">
        <v>707</v>
      </c>
      <c r="P1963" s="2">
        <v>21000000</v>
      </c>
      <c r="Q1963" s="2">
        <v>6.8</v>
      </c>
      <c r="R1963" s="2" t="s">
        <v>4354</v>
      </c>
      <c r="S1963" s="2"/>
      <c r="AC1963" s="2"/>
      <c r="AD1963" t="str">
        <f>IFERROR(__xludf.DUMMYFUNCTION("""COMPUTED_VALUE"""),"Without Limits ")</f>
        <v>Without Limits </v>
      </c>
      <c r="AE1963">
        <f t="shared" si="59"/>
        <v>777306</v>
      </c>
    </row>
    <row r="1964" customHeight="1" spans="1:31">
      <c r="A1964" s="2" t="s">
        <v>1946</v>
      </c>
      <c r="B1964" s="2">
        <v>110</v>
      </c>
      <c r="C1964" s="2">
        <v>24848292</v>
      </c>
      <c r="D1964" s="2" t="s">
        <v>1294</v>
      </c>
      <c r="E1964" s="2" t="s">
        <v>12</v>
      </c>
      <c r="F1964" t="s">
        <v>13</v>
      </c>
      <c r="G1964" t="s">
        <v>24</v>
      </c>
      <c r="N1964" s="2" t="s">
        <v>18</v>
      </c>
      <c r="O1964" s="2" t="s">
        <v>19</v>
      </c>
      <c r="P1964" s="2">
        <v>20000000</v>
      </c>
      <c r="Q1964" s="2">
        <v>6.6</v>
      </c>
      <c r="R1964" s="2" t="s">
        <v>4355</v>
      </c>
      <c r="S1964" s="2"/>
      <c r="AC1964" s="2"/>
      <c r="AD1964" t="str">
        <f>IFERROR(__xludf.DUMMYFUNCTION("""COMPUTED_VALUE"""),"Me and Orson Welles ")</f>
        <v>Me and Orson Welles </v>
      </c>
      <c r="AE1964">
        <f t="shared" si="59"/>
        <v>1186850</v>
      </c>
    </row>
    <row r="1965" customHeight="1" spans="1:31">
      <c r="A1965" s="2" t="s">
        <v>2190</v>
      </c>
      <c r="B1965" s="2">
        <v>104</v>
      </c>
      <c r="C1965" s="2">
        <v>17757087</v>
      </c>
      <c r="D1965" s="2" t="s">
        <v>1764</v>
      </c>
      <c r="E1965" s="2" t="s">
        <v>72</v>
      </c>
      <c r="F1965" t="s">
        <v>56</v>
      </c>
      <c r="G1965" t="s">
        <v>17</v>
      </c>
      <c r="N1965" s="2" t="s">
        <v>18</v>
      </c>
      <c r="O1965" s="2" t="s">
        <v>19</v>
      </c>
      <c r="P1965" s="2">
        <v>21000000</v>
      </c>
      <c r="Q1965" s="2">
        <v>4.6</v>
      </c>
      <c r="R1965" s="2" t="s">
        <v>4356</v>
      </c>
      <c r="S1965" s="2"/>
      <c r="AC1965" s="2"/>
      <c r="AD1965" t="str">
        <f>IFERROR(__xludf.DUMMYFUNCTION("""COMPUTED_VALUE"""),"The Best Offer ")</f>
        <v>The Best Offer </v>
      </c>
      <c r="AE1965">
        <f t="shared" si="59"/>
        <v>85302</v>
      </c>
    </row>
    <row r="1966" customHeight="1" spans="1:31">
      <c r="A1966" s="2" t="s">
        <v>26</v>
      </c>
      <c r="B1966" s="2">
        <v>98</v>
      </c>
      <c r="C1966" s="2">
        <v>9430988</v>
      </c>
      <c r="D1966" s="2" t="s">
        <v>521</v>
      </c>
      <c r="E1966" s="2" t="s">
        <v>40</v>
      </c>
      <c r="F1966" t="s">
        <v>56</v>
      </c>
      <c r="G1966" t="s">
        <v>30</v>
      </c>
      <c r="N1966" s="2" t="s">
        <v>18</v>
      </c>
      <c r="O1966" s="2" t="s">
        <v>19</v>
      </c>
      <c r="P1966" s="2">
        <v>17000000</v>
      </c>
      <c r="Q1966" s="2">
        <v>7.1</v>
      </c>
      <c r="R1966" s="2" t="s">
        <v>4357</v>
      </c>
      <c r="S1966" s="2"/>
      <c r="AC1966" s="2"/>
      <c r="AD1966" t="str">
        <f>IFERROR(__xludf.DUMMYFUNCTION("""COMPUTED_VALUE"""),"Bad Lieutenant: Port of Call New Orleans ")</f>
        <v>Bad Lieutenant: Port of Call New Orleans </v>
      </c>
      <c r="AE1966">
        <f t="shared" si="59"/>
        <v>1697834</v>
      </c>
    </row>
    <row r="1967" customHeight="1" spans="1:31">
      <c r="A1967" s="2" t="s">
        <v>2193</v>
      </c>
      <c r="B1967" s="2">
        <v>120</v>
      </c>
      <c r="C1967" s="2">
        <v>16284360</v>
      </c>
      <c r="D1967" s="2" t="s">
        <v>975</v>
      </c>
      <c r="E1967" s="2" t="s">
        <v>40</v>
      </c>
      <c r="F1967" t="s">
        <v>30</v>
      </c>
      <c r="G1967" t="s">
        <v>24</v>
      </c>
      <c r="N1967" s="2" t="s">
        <v>18</v>
      </c>
      <c r="O1967" s="2" t="s">
        <v>19</v>
      </c>
      <c r="P1967" s="2">
        <v>21000000</v>
      </c>
      <c r="Q1967" s="2">
        <v>6.1</v>
      </c>
      <c r="R1967" s="2" t="s">
        <v>4358</v>
      </c>
      <c r="S1967" s="2"/>
      <c r="AC1967" s="2"/>
      <c r="AD1967" t="str">
        <f>IFERROR(__xludf.DUMMYFUNCTION("""COMPUTED_VALUE"""),"Little White Lies ")</f>
        <v>Little White Lies </v>
      </c>
      <c r="AE1967">
        <f t="shared" si="59"/>
        <v>183528</v>
      </c>
    </row>
    <row r="1968" customHeight="1" spans="1:31">
      <c r="A1968" s="2" t="s">
        <v>655</v>
      </c>
      <c r="B1968" s="2">
        <v>112</v>
      </c>
      <c r="C1968" s="2">
        <v>6830957</v>
      </c>
      <c r="D1968" s="2" t="s">
        <v>103</v>
      </c>
      <c r="E1968" s="2" t="s">
        <v>30</v>
      </c>
      <c r="F1968" t="s">
        <v>28</v>
      </c>
      <c r="G1968" t="s">
        <v>23</v>
      </c>
      <c r="N1968" s="2" t="s">
        <v>18</v>
      </c>
      <c r="O1968" s="2" t="s">
        <v>19</v>
      </c>
      <c r="P1968" s="2">
        <v>21000000</v>
      </c>
      <c r="Q1968" s="2">
        <v>6.7</v>
      </c>
      <c r="R1968" s="2" t="s">
        <v>4359</v>
      </c>
      <c r="S1968" s="2"/>
      <c r="AC1968" s="2"/>
      <c r="AD1968" t="str">
        <f>IFERROR(__xludf.DUMMYFUNCTION("""COMPUTED_VALUE"""),"Love Ranch ")</f>
        <v>Love Ranch </v>
      </c>
      <c r="AE1968">
        <f t="shared" si="59"/>
        <v>134787</v>
      </c>
    </row>
    <row r="1969" customHeight="1" spans="1:31">
      <c r="A1969" s="2" t="s">
        <v>2195</v>
      </c>
      <c r="B1969" s="2">
        <v>127</v>
      </c>
      <c r="C1969" s="2">
        <v>24104113</v>
      </c>
      <c r="D1969" s="2" t="s">
        <v>712</v>
      </c>
      <c r="E1969" s="2" t="s">
        <v>30</v>
      </c>
      <c r="F1969" t="s">
        <v>30</v>
      </c>
      <c r="G1969" t="s">
        <v>28</v>
      </c>
      <c r="N1969" s="2" t="s">
        <v>18</v>
      </c>
      <c r="O1969" s="2" t="s">
        <v>707</v>
      </c>
      <c r="P1969" s="2">
        <v>20000000</v>
      </c>
      <c r="Q1969" s="2">
        <v>7.1</v>
      </c>
      <c r="R1969" s="2" t="s">
        <v>4360</v>
      </c>
      <c r="S1969" s="2"/>
      <c r="AC1969" s="2"/>
      <c r="AD1969" t="str">
        <f>IFERROR(__xludf.DUMMYFUNCTION("""COMPUTED_VALUE"""),"The Counselor ")</f>
        <v>The Counselor </v>
      </c>
      <c r="AE1969">
        <f t="shared" si="59"/>
        <v>16969252</v>
      </c>
    </row>
    <row r="1970" customHeight="1" spans="1:31">
      <c r="A1970" s="2" t="s">
        <v>2197</v>
      </c>
      <c r="B1970" s="2">
        <v>102</v>
      </c>
      <c r="C1970" s="2">
        <v>15593</v>
      </c>
      <c r="D1970" s="2" t="s">
        <v>521</v>
      </c>
      <c r="E1970" s="2" t="s">
        <v>40</v>
      </c>
      <c r="F1970" t="s">
        <v>56</v>
      </c>
      <c r="G1970" t="s">
        <v>30</v>
      </c>
      <c r="N1970" s="2" t="s">
        <v>18</v>
      </c>
      <c r="O1970" s="2" t="s">
        <v>19</v>
      </c>
      <c r="P1970" s="2">
        <v>21000000</v>
      </c>
      <c r="Q1970" s="2">
        <v>5.8</v>
      </c>
      <c r="R1970" s="2" t="s">
        <v>4361</v>
      </c>
      <c r="S1970" s="2"/>
      <c r="AC1970" s="2"/>
      <c r="AD1970" t="str">
        <f>IFERROR(__xludf.DUMMYFUNCTION("""COMPUTED_VALUE"""),"Kung Fu Killer ")</f>
        <v>Kung Fu Killer </v>
      </c>
      <c r="AE1970">
        <f t="shared" si="59"/>
        <v>129015</v>
      </c>
    </row>
    <row r="1971" customHeight="1" spans="1:31">
      <c r="A1971" s="2" t="s">
        <v>1978</v>
      </c>
      <c r="B1971" s="2">
        <v>91</v>
      </c>
      <c r="C1971" s="2">
        <v>958319</v>
      </c>
      <c r="D1971" s="2" t="s">
        <v>30</v>
      </c>
      <c r="E1971" s="2" t="s">
        <v>30</v>
      </c>
      <c r="F1971" t="s">
        <v>30</v>
      </c>
      <c r="G1971" t="s">
        <v>17</v>
      </c>
      <c r="N1971" s="2" t="s">
        <v>18</v>
      </c>
      <c r="O1971" s="2" t="s">
        <v>19</v>
      </c>
      <c r="P1971" s="2">
        <v>21000000</v>
      </c>
      <c r="Q1971" s="2">
        <v>6.7</v>
      </c>
      <c r="R1971" s="2" t="s">
        <v>4362</v>
      </c>
      <c r="S1971" s="2"/>
      <c r="AC1971" s="2"/>
      <c r="AD1971" t="str">
        <f>IFERROR(__xludf.DUMMYFUNCTION("""COMPUTED_VALUE"""),"Dangerous Liaisons ")</f>
        <v>Dangerous Liaisons </v>
      </c>
      <c r="AE1971">
        <f t="shared" si="59"/>
        <v>34699881</v>
      </c>
    </row>
    <row r="1972" customHeight="1" spans="1:31">
      <c r="A1972" s="2" t="s">
        <v>2199</v>
      </c>
      <c r="B1972" s="2">
        <v>114</v>
      </c>
      <c r="C1972" s="2">
        <v>69700000</v>
      </c>
      <c r="D1972" s="2" t="s">
        <v>2450</v>
      </c>
      <c r="E1972" s="2" t="s">
        <v>40</v>
      </c>
      <c r="F1972" t="s">
        <v>56</v>
      </c>
      <c r="G1972" t="s">
        <v>30</v>
      </c>
      <c r="N1972" s="2" t="s">
        <v>18</v>
      </c>
      <c r="O1972" s="2" t="s">
        <v>19</v>
      </c>
      <c r="P1972" s="2">
        <v>35000000</v>
      </c>
      <c r="Q1972" s="2">
        <v>5.8</v>
      </c>
      <c r="R1972" s="2" t="s">
        <v>4363</v>
      </c>
      <c r="S1972" s="2"/>
      <c r="AC1972" s="2"/>
      <c r="AD1972" t="str">
        <f>IFERROR(__xludf.DUMMYFUNCTION("""COMPUTED_VALUE"""),"On the Road ")</f>
        <v>On the Road </v>
      </c>
      <c r="AE1972">
        <f t="shared" si="59"/>
        <v>717616</v>
      </c>
    </row>
    <row r="1973" customHeight="1" spans="1:31">
      <c r="A1973" s="2" t="s">
        <v>1340</v>
      </c>
      <c r="B1973" s="2">
        <v>115</v>
      </c>
      <c r="C1973" s="2">
        <v>2840417</v>
      </c>
      <c r="D1973" s="2" t="s">
        <v>1764</v>
      </c>
      <c r="E1973" s="2" t="s">
        <v>72</v>
      </c>
      <c r="F1973" t="s">
        <v>14</v>
      </c>
      <c r="G1973" t="s">
        <v>83</v>
      </c>
      <c r="N1973" s="2" t="s">
        <v>18</v>
      </c>
      <c r="O1973" s="2" t="s">
        <v>121</v>
      </c>
      <c r="P1973" s="2">
        <v>31000000</v>
      </c>
      <c r="Q1973" s="2">
        <v>6.8</v>
      </c>
      <c r="R1973" s="2" t="s">
        <v>4364</v>
      </c>
      <c r="S1973" s="2"/>
      <c r="AC1973" s="2"/>
      <c r="AD1973" t="str">
        <f>IFERROR(__xludf.DUMMYFUNCTION("""COMPUTED_VALUE"""),"Star Trek IV: The Voyage Home ")</f>
        <v>Star Trek IV: The Voyage Home </v>
      </c>
      <c r="AE1973">
        <f t="shared" si="59"/>
        <v>109713013</v>
      </c>
    </row>
    <row r="1974" customHeight="1" spans="1:31">
      <c r="A1974" s="2" t="s">
        <v>166</v>
      </c>
      <c r="B1974" s="2">
        <v>115</v>
      </c>
      <c r="C1974" s="2">
        <v>242374454</v>
      </c>
      <c r="D1974" s="2" t="s">
        <v>70</v>
      </c>
      <c r="E1974" s="2" t="s">
        <v>12</v>
      </c>
      <c r="F1974" t="s">
        <v>40</v>
      </c>
      <c r="G1974" t="s">
        <v>15</v>
      </c>
      <c r="N1974" s="2" t="s">
        <v>18</v>
      </c>
      <c r="O1974" s="2" t="s">
        <v>19</v>
      </c>
      <c r="P1974" s="2">
        <v>18000000</v>
      </c>
      <c r="Q1974" s="2">
        <v>8.5</v>
      </c>
      <c r="R1974" s="2" t="s">
        <v>4365</v>
      </c>
      <c r="S1974" s="2"/>
      <c r="AC1974" s="2"/>
      <c r="AD1974" t="str">
        <f>IFERROR(__xludf.DUMMYFUNCTION("""COMPUTED_VALUE"""),"Rocky Balboa ")</f>
        <v>Rocky Balboa </v>
      </c>
      <c r="AE1974">
        <f t="shared" si="59"/>
        <v>70269032</v>
      </c>
    </row>
    <row r="1975" customHeight="1" spans="1:31">
      <c r="A1975" s="2" t="s">
        <v>466</v>
      </c>
      <c r="B1975" s="2">
        <v>120</v>
      </c>
      <c r="C1975" s="2">
        <v>173585516</v>
      </c>
      <c r="D1975" s="2" t="s">
        <v>908</v>
      </c>
      <c r="E1975" s="2" t="s">
        <v>13</v>
      </c>
      <c r="F1975" t="s">
        <v>30</v>
      </c>
      <c r="G1975" t="s">
        <v>30</v>
      </c>
      <c r="N1975" s="2" t="s">
        <v>18</v>
      </c>
      <c r="O1975" s="2" t="s">
        <v>19</v>
      </c>
      <c r="P1975" s="2">
        <v>18000000</v>
      </c>
      <c r="Q1975" s="2">
        <v>6.6</v>
      </c>
      <c r="R1975" s="2" t="s">
        <v>4366</v>
      </c>
      <c r="S1975" s="2"/>
      <c r="AC1975" s="2"/>
      <c r="AD1975" t="str">
        <f>IFERROR(__xludf.DUMMYFUNCTION("""COMPUTED_VALUE"""),"Scream 2 ")</f>
        <v>Scream 2 </v>
      </c>
      <c r="AE1975">
        <f t="shared" ref="AE1975:AE2038" si="60">C1859-B1859</f>
        <v>101334254</v>
      </c>
    </row>
    <row r="1976" customHeight="1" spans="1:31">
      <c r="A1976" s="2" t="s">
        <v>166</v>
      </c>
      <c r="B1976" s="2">
        <v>135</v>
      </c>
      <c r="C1976" s="2">
        <v>128300000</v>
      </c>
      <c r="D1976" s="2" t="s">
        <v>677</v>
      </c>
      <c r="E1976" s="2" t="s">
        <v>30</v>
      </c>
      <c r="F1976" t="s">
        <v>56</v>
      </c>
      <c r="G1976" t="s">
        <v>28</v>
      </c>
      <c r="N1976" s="2" t="s">
        <v>18</v>
      </c>
      <c r="O1976" s="2" t="s">
        <v>19</v>
      </c>
      <c r="P1976" s="2">
        <v>19400870</v>
      </c>
      <c r="Q1976" s="2">
        <v>7.7</v>
      </c>
      <c r="R1976" s="2" t="s">
        <v>4367</v>
      </c>
      <c r="S1976" s="2"/>
      <c r="AC1976" s="2"/>
      <c r="AD1976" t="str">
        <f>IFERROR(__xludf.DUMMYFUNCTION("""COMPUTED_VALUE"""),"Jane Got a Gun ")</f>
        <v>Jane Got a Gun </v>
      </c>
      <c r="AE1976">
        <f t="shared" si="60"/>
        <v>1512717</v>
      </c>
    </row>
    <row r="1977" customHeight="1" spans="1:31">
      <c r="A1977" s="2" t="s">
        <v>2201</v>
      </c>
      <c r="B1977" s="2">
        <v>90</v>
      </c>
      <c r="C1977" s="2">
        <v>20259297</v>
      </c>
      <c r="D1977" s="2" t="s">
        <v>1461</v>
      </c>
      <c r="E1977" s="2" t="s">
        <v>30</v>
      </c>
      <c r="F1977" t="s">
        <v>17</v>
      </c>
      <c r="G1977" t="s">
        <v>24</v>
      </c>
      <c r="N1977" s="2" t="s">
        <v>18</v>
      </c>
      <c r="O1977" s="2" t="s">
        <v>19</v>
      </c>
      <c r="P1977" s="2">
        <v>20000000</v>
      </c>
      <c r="Q1977" s="2">
        <v>4.7</v>
      </c>
      <c r="R1977" s="2" t="s">
        <v>4368</v>
      </c>
      <c r="S1977" s="2"/>
      <c r="AC1977" s="2"/>
      <c r="AD1977" t="str">
        <f>IFERROR(__xludf.DUMMYFUNCTION("""COMPUTED_VALUE"""),"Think Like a Man Too ")</f>
        <v>Think Like a Man Too </v>
      </c>
      <c r="AE1977">
        <f t="shared" si="60"/>
        <v>65182076</v>
      </c>
    </row>
    <row r="1978" customHeight="1" spans="1:31">
      <c r="A1978" s="2" t="s">
        <v>617</v>
      </c>
      <c r="B1978" s="2">
        <v>100</v>
      </c>
      <c r="C1978" s="2">
        <v>153665036</v>
      </c>
      <c r="D1978" s="2" t="s">
        <v>174</v>
      </c>
      <c r="E1978" s="2" t="s">
        <v>12</v>
      </c>
      <c r="F1978" t="s">
        <v>30</v>
      </c>
      <c r="G1978" t="s">
        <v>24</v>
      </c>
      <c r="N1978" s="2" t="s">
        <v>18</v>
      </c>
      <c r="O1978" s="2" t="s">
        <v>19</v>
      </c>
      <c r="P1978" s="2">
        <v>28000000</v>
      </c>
      <c r="Q1978" s="2">
        <v>6.4</v>
      </c>
      <c r="R1978" s="2" t="s">
        <v>4369</v>
      </c>
      <c r="S1978" s="2"/>
      <c r="AC1978" s="2"/>
      <c r="AD1978" t="str">
        <f>IFERROR(__xludf.DUMMYFUNCTION("""COMPUTED_VALUE"""),"The Whole Nine Yards ")</f>
        <v>The Whole Nine Yards </v>
      </c>
      <c r="AE1978">
        <f t="shared" si="60"/>
        <v>57262394</v>
      </c>
    </row>
    <row r="1979" customHeight="1" spans="1:31">
      <c r="A1979" s="2" t="s">
        <v>796</v>
      </c>
      <c r="B1979" s="2">
        <v>105</v>
      </c>
      <c r="C1979" s="2">
        <v>132541238</v>
      </c>
      <c r="D1979" s="2" t="s">
        <v>40</v>
      </c>
      <c r="E1979" s="2" t="s">
        <v>40</v>
      </c>
      <c r="F1979" t="s">
        <v>56</v>
      </c>
      <c r="G1979" t="s">
        <v>39</v>
      </c>
      <c r="N1979" s="2" t="s">
        <v>18</v>
      </c>
      <c r="O1979" s="2" t="s">
        <v>19</v>
      </c>
      <c r="P1979" s="2">
        <v>33000000</v>
      </c>
      <c r="Q1979" s="2">
        <v>5.5</v>
      </c>
      <c r="R1979" s="2" t="s">
        <v>4370</v>
      </c>
      <c r="S1979" s="2"/>
      <c r="AC1979" s="2"/>
      <c r="AD1979" t="str">
        <f>IFERROR(__xludf.DUMMYFUNCTION("""COMPUTED_VALUE"""),"Footloose ")</f>
        <v>Footloose </v>
      </c>
      <c r="AE1979">
        <f t="shared" si="60"/>
        <v>79999893</v>
      </c>
    </row>
    <row r="1980" customHeight="1" spans="1:31">
      <c r="A1980" s="2" t="s">
        <v>826</v>
      </c>
      <c r="B1980" s="2">
        <v>138</v>
      </c>
      <c r="C1980" s="2">
        <v>130727000</v>
      </c>
      <c r="D1980" s="2" t="s">
        <v>2768</v>
      </c>
      <c r="E1980" s="2" t="s">
        <v>56</v>
      </c>
      <c r="F1980" t="s">
        <v>16</v>
      </c>
      <c r="G1980" t="s">
        <v>83</v>
      </c>
      <c r="N1980" s="2" t="s">
        <v>18</v>
      </c>
      <c r="O1980" s="2" t="s">
        <v>19</v>
      </c>
      <c r="P1980" s="2">
        <v>19000000</v>
      </c>
      <c r="Q1980" s="2">
        <v>8.6</v>
      </c>
      <c r="R1980" s="2" t="s">
        <v>4371</v>
      </c>
      <c r="S1980" s="2"/>
      <c r="AC1980" s="2"/>
      <c r="AD1980" t="str">
        <f>IFERROR(__xludf.DUMMYFUNCTION("""COMPUTED_VALUE"""),"Old School ")</f>
        <v>Old School </v>
      </c>
      <c r="AE1980">
        <f t="shared" si="60"/>
        <v>74608457</v>
      </c>
    </row>
    <row r="1981" customHeight="1" spans="1:31">
      <c r="A1981" s="2" t="s">
        <v>2203</v>
      </c>
      <c r="B1981" s="2">
        <v>94</v>
      </c>
      <c r="C1981" s="2">
        <v>121697350</v>
      </c>
      <c r="D1981" s="2" t="s">
        <v>3198</v>
      </c>
      <c r="E1981" s="2" t="s">
        <v>40</v>
      </c>
      <c r="F1981" t="s">
        <v>56</v>
      </c>
      <c r="G1981" t="s">
        <v>24</v>
      </c>
      <c r="N1981" s="2" t="s">
        <v>18</v>
      </c>
      <c r="O1981" s="2" t="s">
        <v>19</v>
      </c>
      <c r="P1981" s="2">
        <v>20000000</v>
      </c>
      <c r="Q1981" s="2">
        <v>7</v>
      </c>
      <c r="R1981" s="2" t="s">
        <v>4372</v>
      </c>
      <c r="S1981" s="2"/>
      <c r="AC1981" s="2"/>
      <c r="AD1981" t="str">
        <f>IFERROR(__xludf.DUMMYFUNCTION("""COMPUTED_VALUE"""),"The Fisher King ")</f>
        <v>The Fisher King </v>
      </c>
      <c r="AE1981">
        <f t="shared" si="60"/>
        <v>41895354</v>
      </c>
    </row>
    <row r="1982" customHeight="1" spans="1:31">
      <c r="A1982" s="2" t="s">
        <v>2205</v>
      </c>
      <c r="B1982" s="2">
        <v>101</v>
      </c>
      <c r="C1982" s="2">
        <v>117224271</v>
      </c>
      <c r="D1982" s="2" t="s">
        <v>4373</v>
      </c>
      <c r="E1982" s="2" t="s">
        <v>12</v>
      </c>
      <c r="F1982" t="s">
        <v>30</v>
      </c>
      <c r="G1982" t="s">
        <v>24</v>
      </c>
      <c r="N1982" s="2" t="s">
        <v>18</v>
      </c>
      <c r="O1982" s="2" t="s">
        <v>19</v>
      </c>
      <c r="P1982" s="2">
        <v>20000000</v>
      </c>
      <c r="Q1982" s="2">
        <v>7.1</v>
      </c>
      <c r="R1982" s="2" t="s">
        <v>4374</v>
      </c>
      <c r="S1982" s="2"/>
      <c r="AC1982" s="2"/>
      <c r="AD1982" t="str">
        <f>IFERROR(__xludf.DUMMYFUNCTION("""COMPUTED_VALUE"""),"I Still Know What You Did Last Summer ")</f>
        <v>I Still Know What You Did Last Summer </v>
      </c>
      <c r="AE1982">
        <f t="shared" si="60"/>
        <v>39988908</v>
      </c>
    </row>
    <row r="1983" customHeight="1" spans="1:31">
      <c r="A1983" s="2" t="s">
        <v>2207</v>
      </c>
      <c r="B1983" s="2">
        <v>131</v>
      </c>
      <c r="C1983" s="2">
        <v>102922376</v>
      </c>
      <c r="D1983" s="2" t="s">
        <v>3619</v>
      </c>
      <c r="E1983" s="2" t="s">
        <v>13</v>
      </c>
      <c r="F1983" t="s">
        <v>23</v>
      </c>
      <c r="G1983" t="s">
        <v>24</v>
      </c>
      <c r="N1983" s="2" t="s">
        <v>18</v>
      </c>
      <c r="O1983" s="2" t="s">
        <v>19</v>
      </c>
      <c r="P1983" s="2">
        <v>20000000</v>
      </c>
      <c r="Q1983" s="2">
        <v>5.7</v>
      </c>
      <c r="R1983" s="2" t="s">
        <v>4375</v>
      </c>
      <c r="S1983" s="2"/>
      <c r="AC1983" s="2"/>
      <c r="AD1983" t="str">
        <f>IFERROR(__xludf.DUMMYFUNCTION("""COMPUTED_VALUE"""),"Return to Me ")</f>
        <v>Return to Me </v>
      </c>
      <c r="AE1983">
        <f t="shared" si="60"/>
        <v>32662184</v>
      </c>
    </row>
    <row r="1984" customHeight="1" spans="1:31">
      <c r="A1984" s="2" t="s">
        <v>571</v>
      </c>
      <c r="B1984" s="2">
        <v>91</v>
      </c>
      <c r="C1984" s="2">
        <v>94497271</v>
      </c>
      <c r="D1984" s="2" t="s">
        <v>4376</v>
      </c>
      <c r="E1984" s="2" t="s">
        <v>13</v>
      </c>
      <c r="F1984" t="s">
        <v>40</v>
      </c>
      <c r="G1984" t="s">
        <v>17</v>
      </c>
      <c r="N1984" s="2" t="s">
        <v>18</v>
      </c>
      <c r="O1984" s="2" t="s">
        <v>19</v>
      </c>
      <c r="P1984" s="2">
        <v>20000000</v>
      </c>
      <c r="Q1984" s="2">
        <v>3.7</v>
      </c>
      <c r="R1984" s="2" t="s">
        <v>4377</v>
      </c>
      <c r="S1984" s="2"/>
      <c r="AC1984" s="2"/>
      <c r="AD1984" t="str">
        <f>IFERROR(__xludf.DUMMYFUNCTION("""COMPUTED_VALUE"""),"Zack and Miri Make a Porno ")</f>
        <v>Zack and Miri Make a Porno </v>
      </c>
      <c r="AE1984">
        <f t="shared" si="60"/>
        <v>31452664</v>
      </c>
    </row>
    <row r="1985" customHeight="1" spans="1:31">
      <c r="A1985" s="2" t="s">
        <v>149</v>
      </c>
      <c r="B1985" s="2">
        <v>112</v>
      </c>
      <c r="C1985" s="2">
        <v>137387272</v>
      </c>
      <c r="D1985" s="2" t="s">
        <v>1189</v>
      </c>
      <c r="E1985" s="2" t="s">
        <v>72</v>
      </c>
      <c r="F1985" t="s">
        <v>40</v>
      </c>
      <c r="G1985" t="s">
        <v>30</v>
      </c>
      <c r="N1985" s="2" t="s">
        <v>18</v>
      </c>
      <c r="O1985" s="2" t="s">
        <v>19</v>
      </c>
      <c r="P1985" s="2">
        <v>20000000</v>
      </c>
      <c r="Q1985" s="2">
        <v>7.5</v>
      </c>
      <c r="R1985" s="2" t="s">
        <v>4378</v>
      </c>
      <c r="S1985" s="2"/>
      <c r="AC1985" s="2"/>
      <c r="AD1985" t="str">
        <f>IFERROR(__xludf.DUMMYFUNCTION("""COMPUTED_VALUE"""),"Nurse Betty ")</f>
        <v>Nurse Betty </v>
      </c>
      <c r="AE1985">
        <f t="shared" si="60"/>
        <v>25167160</v>
      </c>
    </row>
    <row r="1986" customHeight="1" spans="1:31">
      <c r="A1986" s="2" t="s">
        <v>1073</v>
      </c>
      <c r="B1986" s="2">
        <v>95</v>
      </c>
      <c r="C1986" s="2">
        <v>82301521</v>
      </c>
      <c r="D1986" s="2" t="s">
        <v>4113</v>
      </c>
      <c r="E1986" s="2" t="s">
        <v>13</v>
      </c>
      <c r="F1986" t="s">
        <v>56</v>
      </c>
      <c r="G1986" t="s">
        <v>24</v>
      </c>
      <c r="N1986" s="2" t="s">
        <v>18</v>
      </c>
      <c r="O1986" s="2" t="s">
        <v>19</v>
      </c>
      <c r="P1986" s="2">
        <v>32000000</v>
      </c>
      <c r="Q1986" s="2">
        <v>4.6</v>
      </c>
      <c r="R1986" s="2" t="s">
        <v>4379</v>
      </c>
      <c r="S1986" s="2"/>
      <c r="AC1986" s="2"/>
      <c r="AD1986" t="str">
        <f>IFERROR(__xludf.DUMMYFUNCTION("""COMPUTED_VALUE"""),"The Men Who Stare at Goats ")</f>
        <v>The Men Who Stare at Goats </v>
      </c>
      <c r="AE1986">
        <f t="shared" si="60"/>
        <v>32416015</v>
      </c>
    </row>
    <row r="1987" customHeight="1" spans="1:31">
      <c r="A1987" s="2" t="s">
        <v>1923</v>
      </c>
      <c r="B1987" s="2">
        <v>100</v>
      </c>
      <c r="C1987" s="2">
        <v>84518155</v>
      </c>
      <c r="D1987" s="2" t="s">
        <v>40</v>
      </c>
      <c r="E1987" s="2" t="s">
        <v>40</v>
      </c>
      <c r="F1987" t="s">
        <v>56</v>
      </c>
      <c r="G1987" t="s">
        <v>17</v>
      </c>
      <c r="N1987" s="2" t="s">
        <v>18</v>
      </c>
      <c r="O1987" s="2" t="s">
        <v>19</v>
      </c>
      <c r="P1987" s="2">
        <v>20000000</v>
      </c>
      <c r="Q1987" s="2">
        <v>4.9</v>
      </c>
      <c r="R1987" s="2" t="s">
        <v>4380</v>
      </c>
      <c r="S1987" s="2"/>
      <c r="AC1987" s="2"/>
      <c r="AD1987" t="str">
        <f>IFERROR(__xludf.DUMMYFUNCTION("""COMPUTED_VALUE"""),"Double Take ")</f>
        <v>Double Take </v>
      </c>
      <c r="AE1987">
        <f t="shared" si="60"/>
        <v>20130</v>
      </c>
    </row>
    <row r="1988" customHeight="1" spans="1:31">
      <c r="A1988" s="2" t="s">
        <v>1971</v>
      </c>
      <c r="B1988" s="2">
        <v>108</v>
      </c>
      <c r="C1988" s="2">
        <v>81257845</v>
      </c>
      <c r="D1988" s="2" t="s">
        <v>3198</v>
      </c>
      <c r="E1988" s="2" t="s">
        <v>40</v>
      </c>
      <c r="F1988" t="s">
        <v>35</v>
      </c>
      <c r="G1988" t="s">
        <v>24</v>
      </c>
      <c r="N1988" s="2" t="s">
        <v>18</v>
      </c>
      <c r="O1988" s="2" t="s">
        <v>19</v>
      </c>
      <c r="P1988" s="2">
        <v>35000000</v>
      </c>
      <c r="Q1988" s="2">
        <v>7.1</v>
      </c>
      <c r="R1988" s="2" t="s">
        <v>4381</v>
      </c>
      <c r="S1988" s="2"/>
      <c r="AC1988" s="2"/>
      <c r="AD1988" t="str">
        <f>IFERROR(__xludf.DUMMYFUNCTION("""COMPUTED_VALUE"""),"Girl, Interrupted ")</f>
        <v>Girl, Interrupted </v>
      </c>
      <c r="AE1988">
        <f t="shared" si="60"/>
        <v>28871063</v>
      </c>
    </row>
    <row r="1989" customHeight="1" spans="1:31">
      <c r="A1989" s="2" t="s">
        <v>750</v>
      </c>
      <c r="B1989" s="2">
        <v>101</v>
      </c>
      <c r="C1989" s="2">
        <v>70360285</v>
      </c>
      <c r="D1989" s="2" t="s">
        <v>120</v>
      </c>
      <c r="E1989" s="2" t="s">
        <v>12</v>
      </c>
      <c r="F1989" t="s">
        <v>83</v>
      </c>
      <c r="G1989" t="s">
        <v>24</v>
      </c>
      <c r="N1989" s="2" t="s">
        <v>18</v>
      </c>
      <c r="O1989" s="2" t="s">
        <v>19</v>
      </c>
      <c r="P1989" s="2">
        <v>18000000</v>
      </c>
      <c r="Q1989" s="2">
        <v>5.8</v>
      </c>
      <c r="R1989" s="2" t="s">
        <v>4382</v>
      </c>
      <c r="S1989" s="2"/>
      <c r="AC1989" s="2"/>
      <c r="AD1989" t="str">
        <f>IFERROR(__xludf.DUMMYFUNCTION("""COMPUTED_VALUE"""),"Win a Date with Tad Hamilton! ")</f>
        <v>Win a Date with Tad Hamilton! </v>
      </c>
      <c r="AE1989">
        <f t="shared" si="60"/>
        <v>16964648</v>
      </c>
    </row>
    <row r="1990" customHeight="1" spans="1:31">
      <c r="A1990" s="2" t="s">
        <v>1027</v>
      </c>
      <c r="B1990" s="2">
        <v>109</v>
      </c>
      <c r="C1990" s="2">
        <v>69148997</v>
      </c>
      <c r="D1990" s="2" t="s">
        <v>383</v>
      </c>
      <c r="E1990" s="2" t="s">
        <v>40</v>
      </c>
      <c r="F1990" t="s">
        <v>14</v>
      </c>
      <c r="G1990" t="s">
        <v>39</v>
      </c>
      <c r="N1990" s="2" t="s">
        <v>18</v>
      </c>
      <c r="O1990" s="2" t="s">
        <v>19</v>
      </c>
      <c r="P1990" s="2">
        <v>37000000</v>
      </c>
      <c r="Q1990" s="2">
        <v>5.4</v>
      </c>
      <c r="R1990" s="2" t="s">
        <v>4383</v>
      </c>
      <c r="S1990" s="2"/>
      <c r="AC1990" s="2"/>
      <c r="AD1990" t="str">
        <f>IFERROR(__xludf.DUMMYFUNCTION("""COMPUTED_VALUE"""),"Muppets from Space ")</f>
        <v>Muppets from Space </v>
      </c>
      <c r="AE1990">
        <f t="shared" si="60"/>
        <v>16290889</v>
      </c>
    </row>
    <row r="1991" customHeight="1" spans="1:31">
      <c r="A1991" s="2" t="s">
        <v>1796</v>
      </c>
      <c r="B1991" s="2">
        <v>115</v>
      </c>
      <c r="C1991" s="2">
        <v>82624961</v>
      </c>
      <c r="D1991" s="2" t="s">
        <v>975</v>
      </c>
      <c r="E1991" s="2" t="s">
        <v>40</v>
      </c>
      <c r="F1991" t="s">
        <v>40</v>
      </c>
      <c r="G1991" t="s">
        <v>24</v>
      </c>
      <c r="N1991" s="2" t="s">
        <v>18</v>
      </c>
      <c r="O1991" s="2" t="s">
        <v>19</v>
      </c>
      <c r="P1991" s="2">
        <v>20000000</v>
      </c>
      <c r="Q1991" s="2">
        <v>7.3</v>
      </c>
      <c r="R1991" s="2" t="s">
        <v>4384</v>
      </c>
      <c r="S1991" s="2"/>
      <c r="AC1991" s="2"/>
      <c r="AD1991" t="str">
        <f>IFERROR(__xludf.DUMMYFUNCTION("""COMPUTED_VALUE"""),"The Wiz ")</f>
        <v>The Wiz </v>
      </c>
      <c r="AE1991">
        <f t="shared" si="60"/>
        <v>12999882</v>
      </c>
    </row>
    <row r="1992" customHeight="1" spans="1:31">
      <c r="A1992" s="2" t="s">
        <v>771</v>
      </c>
      <c r="B1992" s="2">
        <v>117</v>
      </c>
      <c r="C1992" s="2">
        <v>67325559</v>
      </c>
      <c r="D1992" s="2" t="s">
        <v>4385</v>
      </c>
      <c r="E1992" s="2" t="s">
        <v>13</v>
      </c>
      <c r="F1992" t="s">
        <v>72</v>
      </c>
      <c r="G1992" t="s">
        <v>30</v>
      </c>
      <c r="N1992" s="2" t="s">
        <v>18</v>
      </c>
      <c r="O1992" s="2" t="s">
        <v>19</v>
      </c>
      <c r="P1992" s="2">
        <v>20000000</v>
      </c>
      <c r="Q1992" s="2">
        <v>7.1</v>
      </c>
      <c r="R1992" s="2" t="s">
        <v>4386</v>
      </c>
      <c r="S1992" s="2"/>
      <c r="AC1992" s="2"/>
      <c r="AD1992" t="str">
        <f>IFERROR(__xludf.DUMMYFUNCTION("""COMPUTED_VALUE"""),"Ready to Rumble ")</f>
        <v>Ready to Rumble </v>
      </c>
      <c r="AE1992">
        <f t="shared" si="60"/>
        <v>12372303</v>
      </c>
    </row>
    <row r="1993" customHeight="1" spans="1:31">
      <c r="A1993" s="2" t="s">
        <v>1481</v>
      </c>
      <c r="B1993" s="2">
        <v>107</v>
      </c>
      <c r="C1993" s="2">
        <v>62933793</v>
      </c>
      <c r="D1993" s="2" t="s">
        <v>4387</v>
      </c>
      <c r="E1993" s="2" t="s">
        <v>30</v>
      </c>
      <c r="F1993" t="s">
        <v>40</v>
      </c>
      <c r="G1993" t="s">
        <v>24</v>
      </c>
      <c r="N1993" s="2" t="s">
        <v>18</v>
      </c>
      <c r="O1993" s="2" t="s">
        <v>19</v>
      </c>
      <c r="P1993" s="2">
        <v>20000000</v>
      </c>
      <c r="Q1993" s="2">
        <v>5.8</v>
      </c>
      <c r="R1993" s="2" t="s">
        <v>4388</v>
      </c>
      <c r="S1993" s="2"/>
      <c r="AC1993" s="2"/>
      <c r="AD1993" t="str">
        <f>IFERROR(__xludf.DUMMYFUNCTION("""COMPUTED_VALUE"""),"Play It to the Bone ")</f>
        <v>Play It to the Bone </v>
      </c>
      <c r="AE1993">
        <f t="shared" si="60"/>
        <v>8427080</v>
      </c>
    </row>
    <row r="1994" customHeight="1" spans="1:31">
      <c r="A1994" s="2" t="s">
        <v>2209</v>
      </c>
      <c r="B1994" s="2">
        <v>134</v>
      </c>
      <c r="C1994" s="2">
        <v>56667870</v>
      </c>
      <c r="D1994" s="2" t="s">
        <v>2457</v>
      </c>
      <c r="E1994" s="2" t="s">
        <v>59</v>
      </c>
      <c r="F1994" t="s">
        <v>40</v>
      </c>
      <c r="G1994" t="s">
        <v>29</v>
      </c>
      <c r="N1994" s="2" t="s">
        <v>18</v>
      </c>
      <c r="O1994" s="2" t="s">
        <v>19</v>
      </c>
      <c r="P1994" s="2">
        <v>20000000</v>
      </c>
      <c r="Q1994" s="2">
        <v>8.1</v>
      </c>
      <c r="R1994" s="2" t="s">
        <v>4389</v>
      </c>
      <c r="S1994" s="2"/>
      <c r="AC1994" s="2"/>
      <c r="AD1994" t="str">
        <f>IFERROR(__xludf.DUMMYFUNCTION("""COMPUTED_VALUE"""),"I Don't Know How She Does It ")</f>
        <v>I Don't Know How She Does It </v>
      </c>
      <c r="AE1994">
        <f t="shared" si="60"/>
        <v>9639153</v>
      </c>
    </row>
    <row r="1995" customHeight="1" spans="1:31">
      <c r="A1995" s="2" t="s">
        <v>1868</v>
      </c>
      <c r="B1995" s="2">
        <v>118</v>
      </c>
      <c r="C1995" s="2">
        <v>56398162</v>
      </c>
      <c r="D1995" s="2" t="s">
        <v>2389</v>
      </c>
      <c r="E1995" s="2" t="s">
        <v>40</v>
      </c>
      <c r="F1995" t="s">
        <v>29</v>
      </c>
      <c r="G1995" t="s">
        <v>24</v>
      </c>
      <c r="N1995" s="2" t="s">
        <v>18</v>
      </c>
      <c r="O1995" s="2" t="s">
        <v>19</v>
      </c>
      <c r="P1995" s="2">
        <v>20000000</v>
      </c>
      <c r="Q1995" s="2">
        <v>5.7</v>
      </c>
      <c r="R1995" s="2" t="s">
        <v>4390</v>
      </c>
      <c r="S1995" s="2"/>
      <c r="AC1995" s="2"/>
      <c r="AD1995" t="str">
        <f>IFERROR(__xludf.DUMMYFUNCTION("""COMPUTED_VALUE"""),"Piranha 3D ")</f>
        <v>Piranha 3D </v>
      </c>
      <c r="AE1995">
        <f t="shared" si="60"/>
        <v>25002984</v>
      </c>
    </row>
    <row r="1996" customHeight="1" spans="1:31">
      <c r="A1996" s="2" t="s">
        <v>2006</v>
      </c>
      <c r="B1996" s="2">
        <v>121</v>
      </c>
      <c r="C1996" s="2">
        <v>60072596</v>
      </c>
      <c r="D1996" s="2" t="s">
        <v>521</v>
      </c>
      <c r="E1996" s="2" t="s">
        <v>40</v>
      </c>
      <c r="F1996" t="s">
        <v>30</v>
      </c>
      <c r="G1996" t="s">
        <v>17</v>
      </c>
      <c r="N1996" s="2" t="s">
        <v>18</v>
      </c>
      <c r="O1996" s="2" t="s">
        <v>19</v>
      </c>
      <c r="P1996" s="2">
        <v>20000000</v>
      </c>
      <c r="Q1996" s="2">
        <v>4.4</v>
      </c>
      <c r="R1996" s="2" t="s">
        <v>4391</v>
      </c>
      <c r="S1996" s="2"/>
      <c r="AC1996" s="2"/>
      <c r="AD1996" t="str">
        <f>IFERROR(__xludf.DUMMYFUNCTION("""COMPUTED_VALUE"""),"Beyond the Sea ")</f>
        <v>Beyond the Sea </v>
      </c>
      <c r="AE1996">
        <f t="shared" si="60"/>
        <v>6144688</v>
      </c>
    </row>
    <row r="1997" customHeight="1" spans="1:31">
      <c r="A1997" s="2" t="s">
        <v>117</v>
      </c>
      <c r="B1997" s="2">
        <v>105</v>
      </c>
      <c r="C1997" s="2">
        <v>56362352</v>
      </c>
      <c r="D1997" s="2" t="s">
        <v>4392</v>
      </c>
      <c r="E1997" s="2" t="s">
        <v>14</v>
      </c>
      <c r="F1997" t="s">
        <v>30</v>
      </c>
      <c r="G1997" t="s">
        <v>40</v>
      </c>
      <c r="N1997" s="2" t="s">
        <v>18</v>
      </c>
      <c r="O1997" s="2" t="s">
        <v>19</v>
      </c>
      <c r="P1997" s="2">
        <v>20000000</v>
      </c>
      <c r="Q1997" s="2">
        <v>7.9</v>
      </c>
      <c r="R1997" s="2" t="s">
        <v>4393</v>
      </c>
      <c r="S1997" s="2"/>
      <c r="AC1997" s="2"/>
      <c r="AD1997" t="str">
        <f>IFERROR(__xludf.DUMMYFUNCTION("""COMPUTED_VALUE"""),"Meet the Deedles ")</f>
        <v>Meet the Deedles </v>
      </c>
      <c r="AE1997">
        <f t="shared" si="60"/>
        <v>4308888</v>
      </c>
    </row>
    <row r="1998" customHeight="1" spans="1:31">
      <c r="A1998" s="2" t="s">
        <v>2211</v>
      </c>
      <c r="B1998" s="2">
        <v>110</v>
      </c>
      <c r="C1998" s="2">
        <v>56154094</v>
      </c>
      <c r="D1998" s="2" t="s">
        <v>103</v>
      </c>
      <c r="E1998" s="2" t="s">
        <v>30</v>
      </c>
      <c r="F1998" t="s">
        <v>30</v>
      </c>
      <c r="G1998" t="s">
        <v>24</v>
      </c>
      <c r="N1998" s="2" t="s">
        <v>18</v>
      </c>
      <c r="O1998" s="2" t="s">
        <v>31</v>
      </c>
      <c r="P1998" s="2">
        <v>20000000</v>
      </c>
      <c r="Q1998" s="2">
        <v>7.6</v>
      </c>
      <c r="R1998" s="2" t="s">
        <v>4394</v>
      </c>
      <c r="S1998" s="2"/>
      <c r="AC1998" s="2"/>
      <c r="AD1998" t="str">
        <f>IFERROR(__xludf.DUMMYFUNCTION("""COMPUTED_VALUE"""),"The Princess and the Cobbler ")</f>
        <v>The Princess and the Cobbler </v>
      </c>
      <c r="AE1998">
        <f t="shared" si="60"/>
        <v>669196</v>
      </c>
    </row>
    <row r="1999" customHeight="1" spans="1:31">
      <c r="A1999" s="2" t="s">
        <v>2006</v>
      </c>
      <c r="B1999" s="2">
        <v>114</v>
      </c>
      <c r="C1999" s="2">
        <v>65623128</v>
      </c>
      <c r="D1999" s="2" t="s">
        <v>3855</v>
      </c>
      <c r="E1999" s="2" t="s">
        <v>40</v>
      </c>
      <c r="F1999" t="s">
        <v>15</v>
      </c>
      <c r="G1999" t="s">
        <v>40</v>
      </c>
      <c r="N1999" s="2" t="s">
        <v>18</v>
      </c>
      <c r="O1999" s="2" t="s">
        <v>19</v>
      </c>
      <c r="P1999" s="2">
        <v>20000000</v>
      </c>
      <c r="Q1999" s="2">
        <v>4.8</v>
      </c>
      <c r="R1999" s="2" t="s">
        <v>4395</v>
      </c>
      <c r="S1999" s="2"/>
      <c r="AC1999" s="2"/>
      <c r="AD1999" t="str">
        <f>IFERROR(__xludf.DUMMYFUNCTION("""COMPUTED_VALUE"""),"The Bridge of San Luis Rey ")</f>
        <v>The Bridge of San Luis Rey </v>
      </c>
      <c r="AE1999">
        <f t="shared" si="60"/>
        <v>42760</v>
      </c>
    </row>
    <row r="2000" customHeight="1" spans="1:31">
      <c r="A2000" s="2" t="s">
        <v>2213</v>
      </c>
      <c r="B2000" s="2">
        <v>100</v>
      </c>
      <c r="C2000" s="2">
        <v>55461307</v>
      </c>
      <c r="D2000" s="2" t="s">
        <v>40</v>
      </c>
      <c r="E2000" s="2" t="s">
        <v>40</v>
      </c>
      <c r="F2000" t="s">
        <v>30</v>
      </c>
      <c r="G2000" t="s">
        <v>17</v>
      </c>
      <c r="N2000" s="2" t="s">
        <v>18</v>
      </c>
      <c r="O2000" s="2" t="s">
        <v>19</v>
      </c>
      <c r="P2000" s="2">
        <v>20000000</v>
      </c>
      <c r="Q2000" s="2">
        <v>6.7</v>
      </c>
      <c r="R2000" s="2" t="s">
        <v>4396</v>
      </c>
      <c r="S2000" s="2"/>
      <c r="AC2000" s="2"/>
      <c r="AD2000" t="str">
        <f>IFERROR(__xludf.DUMMYFUNCTION("""COMPUTED_VALUE"""),"Faster ")</f>
        <v>Faster </v>
      </c>
      <c r="AE2000">
        <f t="shared" si="60"/>
        <v>23225813</v>
      </c>
    </row>
    <row r="2001" customHeight="1" spans="1:31">
      <c r="A2001" s="2" t="s">
        <v>2216</v>
      </c>
      <c r="B2001" s="2">
        <v>85</v>
      </c>
      <c r="C2001" s="2">
        <v>48546578</v>
      </c>
      <c r="D2001" s="2" t="s">
        <v>607</v>
      </c>
      <c r="E2001" s="2" t="s">
        <v>40</v>
      </c>
      <c r="F2001" t="s">
        <v>28</v>
      </c>
      <c r="G2001" t="s">
        <v>83</v>
      </c>
      <c r="N2001" s="2" t="s">
        <v>18</v>
      </c>
      <c r="O2001" s="2" t="s">
        <v>19</v>
      </c>
      <c r="P2001" s="2">
        <v>20000000</v>
      </c>
      <c r="Q2001" s="2">
        <v>2.7</v>
      </c>
      <c r="R2001" s="2" t="s">
        <v>4397</v>
      </c>
      <c r="S2001" s="2"/>
      <c r="AC2001" s="2"/>
      <c r="AD2001" t="str">
        <f>IFERROR(__xludf.DUMMYFUNCTION("""COMPUTED_VALUE"""),"Howl's Moving Castle ")</f>
        <v>Howl's Moving Castle </v>
      </c>
      <c r="AE2001">
        <f t="shared" si="60"/>
        <v>4710336</v>
      </c>
    </row>
    <row r="2002" customHeight="1" spans="1:31">
      <c r="A2002" s="2" t="s">
        <v>2219</v>
      </c>
      <c r="B2002" s="2">
        <v>72</v>
      </c>
      <c r="C2002" s="2">
        <v>48423368</v>
      </c>
      <c r="D2002" s="2" t="s">
        <v>250</v>
      </c>
      <c r="E2002" s="2" t="s">
        <v>13</v>
      </c>
      <c r="F2002" t="s">
        <v>56</v>
      </c>
      <c r="G2002" t="s">
        <v>16</v>
      </c>
      <c r="N2002" s="2" t="s">
        <v>18</v>
      </c>
      <c r="O2002" s="2" t="s">
        <v>19</v>
      </c>
      <c r="P2002" s="2">
        <v>20000000</v>
      </c>
      <c r="Q2002" s="2">
        <v>5.8</v>
      </c>
      <c r="R2002" s="2" t="s">
        <v>4398</v>
      </c>
      <c r="S2002" s="2"/>
      <c r="AC2002" s="2"/>
      <c r="AD2002" t="str">
        <f>IFERROR(__xludf.DUMMYFUNCTION("""COMPUTED_VALUE"""),"Zombieland ")</f>
        <v>Zombieland </v>
      </c>
      <c r="AE2002">
        <f t="shared" si="60"/>
        <v>75590198</v>
      </c>
    </row>
    <row r="2003" customHeight="1" spans="1:31">
      <c r="A2003" s="2" t="s">
        <v>2221</v>
      </c>
      <c r="B2003" s="2">
        <v>128</v>
      </c>
      <c r="C2003" s="2">
        <v>52066000</v>
      </c>
      <c r="D2003" s="2" t="s">
        <v>2457</v>
      </c>
      <c r="E2003" s="2" t="s">
        <v>59</v>
      </c>
      <c r="F2003" t="s">
        <v>30</v>
      </c>
      <c r="G2003" t="s">
        <v>24</v>
      </c>
      <c r="N2003" s="2" t="s">
        <v>18</v>
      </c>
      <c r="O2003" s="2" t="s">
        <v>31</v>
      </c>
      <c r="P2003" s="2">
        <v>20000000</v>
      </c>
      <c r="Q2003" s="2">
        <v>7.5</v>
      </c>
      <c r="R2003" s="2" t="s">
        <v>4399</v>
      </c>
      <c r="S2003" s="2"/>
      <c r="AC2003" s="2"/>
      <c r="AD2003" t="str">
        <f>IFERROR(__xludf.DUMMYFUNCTION("""COMPUTED_VALUE"""),"The Waterboy ")</f>
        <v>The Waterboy </v>
      </c>
      <c r="AE2003">
        <f t="shared" si="60"/>
        <v>161487162</v>
      </c>
    </row>
    <row r="2004" customHeight="1" spans="1:31">
      <c r="A2004" s="2" t="s">
        <v>2223</v>
      </c>
      <c r="B2004" s="2">
        <v>72</v>
      </c>
      <c r="C2004" s="2">
        <v>47887943</v>
      </c>
      <c r="D2004" s="2" t="s">
        <v>4400</v>
      </c>
      <c r="E2004" s="2" t="s">
        <v>13</v>
      </c>
      <c r="F2004" t="s">
        <v>30</v>
      </c>
      <c r="G2004" t="s">
        <v>30</v>
      </c>
      <c r="N2004" s="2" t="s">
        <v>18</v>
      </c>
      <c r="O2004" s="2" t="s">
        <v>19</v>
      </c>
      <c r="P2004" s="2">
        <v>20000000</v>
      </c>
      <c r="Q2004" s="2">
        <v>5.4</v>
      </c>
      <c r="R2004" s="2" t="s">
        <v>4401</v>
      </c>
      <c r="S2004" s="2"/>
      <c r="AC2004" s="2"/>
      <c r="AD2004" t="str">
        <f>IFERROR(__xludf.DUMMYFUNCTION("""COMPUTED_VALUE"""),"Star Wars: Episode V - The Empire Strikes Back ")</f>
        <v>Star Wars: Episode V - The Empire Strikes Back </v>
      </c>
      <c r="AE2004">
        <f t="shared" si="60"/>
        <v>290158624</v>
      </c>
    </row>
    <row r="2005" customHeight="1" spans="1:31">
      <c r="A2005" s="2" t="s">
        <v>1558</v>
      </c>
      <c r="B2005" s="2">
        <v>89</v>
      </c>
      <c r="C2005" s="2">
        <v>46363118</v>
      </c>
      <c r="D2005" s="2" t="s">
        <v>2539</v>
      </c>
      <c r="E2005" s="2" t="s">
        <v>30</v>
      </c>
      <c r="F2005" t="s">
        <v>24</v>
      </c>
      <c r="G2005" t="s">
        <v>15</v>
      </c>
      <c r="N2005" s="2" t="s">
        <v>18</v>
      </c>
      <c r="O2005" s="2" t="s">
        <v>19</v>
      </c>
      <c r="P2005" s="2">
        <v>20000000</v>
      </c>
      <c r="Q2005" s="2">
        <v>4.1</v>
      </c>
      <c r="R2005" s="2" t="s">
        <v>4402</v>
      </c>
      <c r="S2005" s="2"/>
      <c r="AC2005" s="2"/>
      <c r="AD2005" t="str">
        <f>IFERROR(__xludf.DUMMYFUNCTION("""COMPUTED_VALUE"""),"Bad Boys ")</f>
        <v>Bad Boys </v>
      </c>
      <c r="AE2005">
        <f t="shared" si="60"/>
        <v>65806905</v>
      </c>
    </row>
    <row r="2006" customHeight="1" spans="1:31">
      <c r="A2006" s="2" t="s">
        <v>2225</v>
      </c>
      <c r="B2006" s="2">
        <v>96</v>
      </c>
      <c r="C2006" s="2">
        <v>47852604</v>
      </c>
      <c r="D2006" s="2" t="s">
        <v>712</v>
      </c>
      <c r="E2006" s="2" t="s">
        <v>30</v>
      </c>
      <c r="F2006" t="s">
        <v>40</v>
      </c>
      <c r="G2006" t="s">
        <v>17</v>
      </c>
      <c r="N2006" s="2" t="s">
        <v>18</v>
      </c>
      <c r="O2006" s="2" t="s">
        <v>19</v>
      </c>
      <c r="P2006" s="2">
        <v>20000000</v>
      </c>
      <c r="Q2006" s="2">
        <v>5.9</v>
      </c>
      <c r="R2006" s="2" t="s">
        <v>4403</v>
      </c>
      <c r="S2006" s="2"/>
      <c r="AC2006" s="2"/>
      <c r="AD2006" t="str">
        <f>IFERROR(__xludf.DUMMYFUNCTION("""COMPUTED_VALUE"""),"The Naked Gun 2½: The Smell of Fear ")</f>
        <v>The Naked Gun 2½: The Smell of Fear </v>
      </c>
      <c r="AE2006">
        <f t="shared" si="60"/>
        <v>86930326</v>
      </c>
    </row>
    <row r="2007" customHeight="1" spans="1:31">
      <c r="A2007" s="2" t="s">
        <v>2227</v>
      </c>
      <c r="B2007" s="2">
        <v>77</v>
      </c>
      <c r="C2007" s="2">
        <v>45542421</v>
      </c>
      <c r="D2007" s="2" t="s">
        <v>4404</v>
      </c>
      <c r="E2007" s="2" t="s">
        <v>35</v>
      </c>
      <c r="F2007" t="s">
        <v>30</v>
      </c>
      <c r="G2007" t="s">
        <v>24</v>
      </c>
      <c r="N2007" s="2" t="s">
        <v>18</v>
      </c>
      <c r="O2007" s="2" t="s">
        <v>19</v>
      </c>
      <c r="P2007" s="2">
        <v>30000000</v>
      </c>
      <c r="Q2007" s="2">
        <v>6.3</v>
      </c>
      <c r="R2007" s="2" t="s">
        <v>4405</v>
      </c>
      <c r="S2007" s="2"/>
      <c r="AC2007" s="2"/>
      <c r="AD2007" t="str">
        <f>IFERROR(__xludf.DUMMYFUNCTION("""COMPUTED_VALUE"""),"Final Destination ")</f>
        <v>Final Destination </v>
      </c>
      <c r="AE2007">
        <f t="shared" si="60"/>
        <v>53302216</v>
      </c>
    </row>
    <row r="2008" customHeight="1" spans="1:31">
      <c r="A2008" s="2" t="s">
        <v>1740</v>
      </c>
      <c r="B2008" s="2">
        <v>111</v>
      </c>
      <c r="C2008" s="2">
        <v>42652003</v>
      </c>
      <c r="D2008" s="2" t="s">
        <v>3927</v>
      </c>
      <c r="E2008" s="2" t="s">
        <v>13</v>
      </c>
      <c r="F2008" t="s">
        <v>35</v>
      </c>
      <c r="G2008" t="s">
        <v>30</v>
      </c>
      <c r="N2008" s="2" t="s">
        <v>18</v>
      </c>
      <c r="O2008" s="2" t="s">
        <v>19</v>
      </c>
      <c r="P2008" s="2">
        <v>20000000</v>
      </c>
      <c r="Q2008" s="2">
        <v>6.8</v>
      </c>
      <c r="R2008" s="2" t="s">
        <v>4406</v>
      </c>
      <c r="S2008" s="2"/>
      <c r="AC2008" s="2"/>
      <c r="AD2008" t="str">
        <f>IFERROR(__xludf.DUMMYFUNCTION("""COMPUTED_VALUE"""),"The Ides of March ")</f>
        <v>The Ides of March </v>
      </c>
      <c r="AE2008">
        <f t="shared" si="60"/>
        <v>40962433</v>
      </c>
    </row>
    <row r="2009" customHeight="1" spans="1:31">
      <c r="A2009" s="2" t="s">
        <v>1834</v>
      </c>
      <c r="B2009" s="2">
        <v>93</v>
      </c>
      <c r="C2009" s="2">
        <v>39737645</v>
      </c>
      <c r="D2009" s="2" t="s">
        <v>1716</v>
      </c>
      <c r="E2009" s="2" t="s">
        <v>13</v>
      </c>
      <c r="F2009" t="s">
        <v>30</v>
      </c>
      <c r="G2009" t="s">
        <v>30</v>
      </c>
      <c r="N2009" s="2" t="s">
        <v>18</v>
      </c>
      <c r="O2009" s="2" t="s">
        <v>19</v>
      </c>
      <c r="P2009" s="2">
        <v>20000000</v>
      </c>
      <c r="Q2009" s="2">
        <v>2.3</v>
      </c>
      <c r="R2009" s="2" t="s">
        <v>4407</v>
      </c>
      <c r="S2009" s="2"/>
      <c r="AC2009" s="2"/>
      <c r="AD2009" t="str">
        <f>IFERROR(__xludf.DUMMYFUNCTION("""COMPUTED_VALUE"""),"Pitch Black ")</f>
        <v>Pitch Black </v>
      </c>
      <c r="AE2009">
        <f t="shared" si="60"/>
        <v>39234976</v>
      </c>
    </row>
    <row r="2010" customHeight="1" spans="1:31">
      <c r="A2010" s="2" t="s">
        <v>2229</v>
      </c>
      <c r="B2010" s="2">
        <v>128</v>
      </c>
      <c r="C2010" s="2">
        <v>44988180</v>
      </c>
      <c r="D2010" s="2" t="s">
        <v>4408</v>
      </c>
      <c r="E2010" s="2" t="s">
        <v>59</v>
      </c>
      <c r="F2010" t="s">
        <v>40</v>
      </c>
      <c r="G2010" t="s">
        <v>39</v>
      </c>
      <c r="N2010" s="2" t="s">
        <v>18</v>
      </c>
      <c r="O2010" s="2" t="s">
        <v>19</v>
      </c>
      <c r="P2010" s="2">
        <v>20000000</v>
      </c>
      <c r="Q2010" s="2">
        <v>8.1</v>
      </c>
      <c r="R2010" s="2" t="s">
        <v>4409</v>
      </c>
      <c r="S2010" s="2"/>
      <c r="AC2010" s="2"/>
      <c r="AD2010" t="str">
        <f>IFERROR(__xludf.DUMMYFUNCTION("""COMPUTED_VALUE"""),"Someone Like You... ")</f>
        <v>Someone Like You... </v>
      </c>
      <c r="AE2010">
        <f t="shared" si="60"/>
        <v>27337936</v>
      </c>
    </row>
    <row r="2011" customHeight="1" spans="1:31">
      <c r="A2011" s="2" t="s">
        <v>2116</v>
      </c>
      <c r="B2011" s="2">
        <v>110</v>
      </c>
      <c r="C2011" s="2">
        <v>39263506</v>
      </c>
      <c r="D2011" s="2" t="s">
        <v>805</v>
      </c>
      <c r="E2011" s="2" t="s">
        <v>56</v>
      </c>
      <c r="F2011" t="s">
        <v>30</v>
      </c>
      <c r="G2011" t="s">
        <v>17</v>
      </c>
      <c r="N2011" s="2" t="s">
        <v>18</v>
      </c>
      <c r="O2011" s="2" t="s">
        <v>19</v>
      </c>
      <c r="P2011" s="2">
        <v>22000000</v>
      </c>
      <c r="Q2011" s="2">
        <v>6.1</v>
      </c>
      <c r="R2011" s="2" t="s">
        <v>4410</v>
      </c>
      <c r="S2011" s="2"/>
      <c r="AC2011" s="2"/>
      <c r="AD2011" t="str">
        <f>IFERROR(__xludf.DUMMYFUNCTION("""COMPUTED_VALUE"""),"Her ")</f>
        <v>Her </v>
      </c>
      <c r="AE2011">
        <f t="shared" si="60"/>
        <v>25555939</v>
      </c>
    </row>
    <row r="2012" customHeight="1" spans="1:31">
      <c r="A2012" s="2" t="s">
        <v>2231</v>
      </c>
      <c r="B2012" s="2">
        <v>137</v>
      </c>
      <c r="C2012" s="2">
        <v>39143839</v>
      </c>
      <c r="D2012" s="2" t="s">
        <v>2781</v>
      </c>
      <c r="E2012" s="2" t="s">
        <v>72</v>
      </c>
      <c r="F2012" t="s">
        <v>30</v>
      </c>
      <c r="G2012" t="s">
        <v>30</v>
      </c>
      <c r="N2012" s="2" t="s">
        <v>18</v>
      </c>
      <c r="O2012" s="2" t="s">
        <v>19</v>
      </c>
      <c r="P2012" s="2">
        <v>20000000</v>
      </c>
      <c r="Q2012" s="2">
        <v>5</v>
      </c>
      <c r="R2012" s="2" t="s">
        <v>4411</v>
      </c>
      <c r="S2012" s="2"/>
      <c r="AC2012" s="2"/>
      <c r="AD2012" t="str">
        <f>IFERROR(__xludf.DUMMYFUNCTION("""COMPUTED_VALUE"""),"Joy Ride ")</f>
        <v>Joy Ride </v>
      </c>
      <c r="AE2012">
        <f t="shared" si="60"/>
        <v>21973085</v>
      </c>
    </row>
    <row r="2013" customHeight="1" spans="1:31">
      <c r="A2013" s="2" t="s">
        <v>1651</v>
      </c>
      <c r="B2013" s="2">
        <v>124</v>
      </c>
      <c r="C2013" s="2">
        <v>37672350</v>
      </c>
      <c r="D2013" s="2" t="s">
        <v>521</v>
      </c>
      <c r="E2013" s="2" t="s">
        <v>40</v>
      </c>
      <c r="F2013" t="s">
        <v>83</v>
      </c>
      <c r="G2013" t="s">
        <v>24</v>
      </c>
      <c r="N2013" s="2" t="s">
        <v>18</v>
      </c>
      <c r="O2013" s="2" t="s">
        <v>19</v>
      </c>
      <c r="P2013" s="2">
        <v>20000000</v>
      </c>
      <c r="Q2013" s="2">
        <v>5.5</v>
      </c>
      <c r="R2013" s="2" t="s">
        <v>4412</v>
      </c>
      <c r="S2013" s="2"/>
      <c r="AC2013" s="2"/>
      <c r="AD2013" t="str">
        <f>IFERROR(__xludf.DUMMYFUNCTION("""COMPUTED_VALUE"""),"The Adventurer: The Curse of the Midas Box ")</f>
        <v>The Adventurer: The Curse of the Midas Box </v>
      </c>
      <c r="AE2013">
        <f t="shared" si="60"/>
        <v>4656</v>
      </c>
    </row>
    <row r="2014" customHeight="1" spans="1:31">
      <c r="A2014" s="2" t="s">
        <v>1266</v>
      </c>
      <c r="B2014" s="2">
        <v>93</v>
      </c>
      <c r="C2014" s="2">
        <v>38037513</v>
      </c>
      <c r="D2014" s="2" t="s">
        <v>4413</v>
      </c>
      <c r="E2014" s="2" t="s">
        <v>13</v>
      </c>
      <c r="F2014" t="s">
        <v>30</v>
      </c>
      <c r="G2014" t="s">
        <v>17</v>
      </c>
      <c r="N2014" s="2" t="s">
        <v>18</v>
      </c>
      <c r="O2014" s="2" t="s">
        <v>19</v>
      </c>
      <c r="P2014" s="2">
        <v>20000000</v>
      </c>
      <c r="Q2014" s="2">
        <v>6.2</v>
      </c>
      <c r="R2014" s="2" t="s">
        <v>4414</v>
      </c>
      <c r="S2014" s="2"/>
      <c r="AC2014" s="2"/>
      <c r="AD2014" t="str">
        <f>IFERROR(__xludf.DUMMYFUNCTION("""COMPUTED_VALUE"""),"Anywhere But Here ")</f>
        <v>Anywhere But Here </v>
      </c>
      <c r="AE2014">
        <f t="shared" si="60"/>
        <v>18653501</v>
      </c>
    </row>
    <row r="2015" customHeight="1" spans="1:31">
      <c r="A2015" s="2" t="s">
        <v>889</v>
      </c>
      <c r="B2015" s="2">
        <v>115</v>
      </c>
      <c r="C2015" s="2">
        <v>37442180</v>
      </c>
      <c r="D2015" s="2" t="s">
        <v>4106</v>
      </c>
      <c r="E2015" s="2" t="s">
        <v>40</v>
      </c>
      <c r="F2015" t="s">
        <v>29</v>
      </c>
      <c r="G2015" t="s">
        <v>24</v>
      </c>
      <c r="N2015" s="2" t="s">
        <v>18</v>
      </c>
      <c r="O2015" s="2" t="s">
        <v>19</v>
      </c>
      <c r="P2015" s="2">
        <v>20000000</v>
      </c>
      <c r="Q2015" s="2">
        <v>6.2</v>
      </c>
      <c r="R2015" s="2" t="s">
        <v>4415</v>
      </c>
      <c r="S2015" s="2"/>
      <c r="AC2015" s="2"/>
      <c r="AD2015" t="str">
        <f>IFERROR(__xludf.DUMMYFUNCTION("""COMPUTED_VALUE"""),"The Crew ")</f>
        <v>The Crew </v>
      </c>
      <c r="AE2015">
        <f t="shared" si="60"/>
        <v>13019165</v>
      </c>
    </row>
    <row r="2016" customHeight="1" spans="1:31">
      <c r="A2016" s="2" t="s">
        <v>2234</v>
      </c>
      <c r="B2016" s="2">
        <v>105</v>
      </c>
      <c r="C2016" s="2">
        <v>35596227</v>
      </c>
      <c r="D2016" s="2" t="s">
        <v>805</v>
      </c>
      <c r="E2016" s="2" t="s">
        <v>56</v>
      </c>
      <c r="F2016" t="s">
        <v>30</v>
      </c>
      <c r="G2016" t="s">
        <v>24</v>
      </c>
      <c r="N2016" s="2" t="s">
        <v>18</v>
      </c>
      <c r="O2016" s="2" t="s">
        <v>19</v>
      </c>
      <c r="P2016" s="2">
        <v>20000000</v>
      </c>
      <c r="Q2016" s="2">
        <v>6.3</v>
      </c>
      <c r="R2016" s="2" t="s">
        <v>4416</v>
      </c>
      <c r="S2016" s="2"/>
      <c r="AC2016" s="2"/>
      <c r="AD2016" t="str">
        <f>IFERROR(__xludf.DUMMYFUNCTION("""COMPUTED_VALUE"""),"Haywire ")</f>
        <v>Haywire </v>
      </c>
      <c r="AE2016">
        <f t="shared" si="60"/>
        <v>18934765</v>
      </c>
    </row>
    <row r="2017" customHeight="1" spans="1:31">
      <c r="A2017" s="2" t="s">
        <v>2236</v>
      </c>
      <c r="B2017" s="2">
        <v>127</v>
      </c>
      <c r="C2017" s="2">
        <v>35422828</v>
      </c>
      <c r="D2017" s="2" t="s">
        <v>1747</v>
      </c>
      <c r="E2017" s="2" t="s">
        <v>59</v>
      </c>
      <c r="F2017" t="s">
        <v>23</v>
      </c>
      <c r="G2017" t="s">
        <v>17</v>
      </c>
      <c r="N2017" s="2" t="s">
        <v>18</v>
      </c>
      <c r="O2017" s="2" t="s">
        <v>19</v>
      </c>
      <c r="P2017" s="2">
        <v>20000000</v>
      </c>
      <c r="Q2017" s="2">
        <v>6.7</v>
      </c>
      <c r="R2017" s="2" t="s">
        <v>4417</v>
      </c>
      <c r="S2017" s="2"/>
      <c r="AC2017" s="2"/>
      <c r="AD2017" t="str">
        <f>IFERROR(__xludf.DUMMYFUNCTION("""COMPUTED_VALUE"""),"Jaws: The Revenge ")</f>
        <v>Jaws: The Revenge </v>
      </c>
      <c r="AE2017">
        <f t="shared" si="60"/>
        <v>20762921</v>
      </c>
    </row>
    <row r="2018" customHeight="1" spans="1:31">
      <c r="A2018" s="2" t="s">
        <v>1834</v>
      </c>
      <c r="B2018" s="2">
        <v>82</v>
      </c>
      <c r="C2018" s="2">
        <v>36658108</v>
      </c>
      <c r="D2018" s="2" t="s">
        <v>40</v>
      </c>
      <c r="E2018" s="2" t="s">
        <v>40</v>
      </c>
      <c r="F2018" t="s">
        <v>17</v>
      </c>
      <c r="G2018" t="s">
        <v>17</v>
      </c>
      <c r="N2018" s="2" t="s">
        <v>18</v>
      </c>
      <c r="O2018" s="2" t="s">
        <v>19</v>
      </c>
      <c r="P2018" s="2">
        <v>20000000</v>
      </c>
      <c r="Q2018" s="2">
        <v>3.5</v>
      </c>
      <c r="R2018" s="2" t="s">
        <v>4418</v>
      </c>
      <c r="S2018" s="2"/>
      <c r="AC2018" s="2"/>
      <c r="AD2018" t="str">
        <f>IFERROR(__xludf.DUMMYFUNCTION("""COMPUTED_VALUE"""),"Marvin's Room ")</f>
        <v>Marvin's Room </v>
      </c>
      <c r="AE2018">
        <f t="shared" si="60"/>
        <v>12782410</v>
      </c>
    </row>
    <row r="2019" customHeight="1" spans="1:31">
      <c r="A2019" s="2" t="s">
        <v>424</v>
      </c>
      <c r="B2019" s="2">
        <v>143</v>
      </c>
      <c r="C2019" s="2">
        <v>34300771</v>
      </c>
      <c r="D2019" s="2" t="s">
        <v>30</v>
      </c>
      <c r="E2019" s="2" t="s">
        <v>30</v>
      </c>
      <c r="F2019" t="s">
        <v>13</v>
      </c>
      <c r="G2019" t="s">
        <v>17</v>
      </c>
      <c r="N2019" s="2" t="s">
        <v>18</v>
      </c>
      <c r="O2019" s="2" t="s">
        <v>707</v>
      </c>
      <c r="P2019" s="2">
        <v>25000000</v>
      </c>
      <c r="Q2019" s="2">
        <v>7.5</v>
      </c>
      <c r="R2019" s="2" t="s">
        <v>4419</v>
      </c>
      <c r="S2019" s="2"/>
      <c r="AC2019" s="2"/>
      <c r="AD2019" t="str">
        <f>IFERROR(__xludf.DUMMYFUNCTION("""COMPUTED_VALUE"""),"The Longshots ")</f>
        <v>The Longshots </v>
      </c>
      <c r="AE2019">
        <f t="shared" si="60"/>
        <v>11508329</v>
      </c>
    </row>
    <row r="2020" customHeight="1" spans="1:31">
      <c r="A2020" s="2" t="s">
        <v>315</v>
      </c>
      <c r="B2020" s="2">
        <v>103</v>
      </c>
      <c r="C2020" s="2">
        <v>34290142</v>
      </c>
      <c r="D2020" s="2" t="s">
        <v>975</v>
      </c>
      <c r="E2020" s="2" t="s">
        <v>40</v>
      </c>
      <c r="F2020" t="s">
        <v>55</v>
      </c>
      <c r="G2020" t="s">
        <v>17</v>
      </c>
      <c r="N2020" s="2" t="s">
        <v>18</v>
      </c>
      <c r="O2020" s="2" t="s">
        <v>19</v>
      </c>
      <c r="P2020" s="2">
        <v>19800000</v>
      </c>
      <c r="Q2020" s="2">
        <v>6.6</v>
      </c>
      <c r="R2020" s="2" t="s">
        <v>4420</v>
      </c>
      <c r="S2020" s="2"/>
      <c r="AC2020" s="2"/>
      <c r="AD2020" t="str">
        <f>IFERROR(__xludf.DUMMYFUNCTION("""COMPUTED_VALUE"""),"The End of the Affair ")</f>
        <v>The End of the Affair </v>
      </c>
      <c r="AE2020">
        <f t="shared" si="60"/>
        <v>10660045</v>
      </c>
    </row>
    <row r="2021" customHeight="1" spans="1:31">
      <c r="A2021" s="2" t="s">
        <v>2238</v>
      </c>
      <c r="B2021" s="2">
        <v>104</v>
      </c>
      <c r="C2021" s="2">
        <v>33422556</v>
      </c>
      <c r="D2021" s="2" t="s">
        <v>3388</v>
      </c>
      <c r="E2021" s="2" t="s">
        <v>30</v>
      </c>
      <c r="F2021" t="s">
        <v>13</v>
      </c>
      <c r="G2021" t="s">
        <v>24</v>
      </c>
      <c r="N2021" s="2" t="s">
        <v>18</v>
      </c>
      <c r="O2021" s="2" t="s">
        <v>19</v>
      </c>
      <c r="P2021" s="2">
        <v>20000000</v>
      </c>
      <c r="Q2021" s="2">
        <v>7.5</v>
      </c>
      <c r="R2021" s="2" t="s">
        <v>4421</v>
      </c>
      <c r="S2021" s="2"/>
      <c r="AC2021" s="2"/>
      <c r="AD2021" t="str">
        <f>IFERROR(__xludf.DUMMYFUNCTION("""COMPUTED_VALUE"""),"Harley Davidson and the Marlboro Man ")</f>
        <v>Harley Davidson and the Marlboro Man </v>
      </c>
      <c r="AE2021">
        <f t="shared" si="60"/>
        <v>7434628</v>
      </c>
    </row>
    <row r="2022" customHeight="1" spans="1:31">
      <c r="A2022" s="2" t="s">
        <v>2185</v>
      </c>
      <c r="B2022" s="2">
        <v>98</v>
      </c>
      <c r="C2022" s="2">
        <v>32774834</v>
      </c>
      <c r="D2022" s="2" t="s">
        <v>811</v>
      </c>
      <c r="E2022" s="2" t="s">
        <v>12</v>
      </c>
      <c r="F2022" t="s">
        <v>23</v>
      </c>
      <c r="G2022" t="s">
        <v>30</v>
      </c>
      <c r="N2022" s="2" t="s">
        <v>18</v>
      </c>
      <c r="O2022" s="2" t="s">
        <v>19</v>
      </c>
      <c r="P2022" s="2">
        <v>30000000</v>
      </c>
      <c r="Q2022" s="2">
        <v>7.2</v>
      </c>
      <c r="R2022" s="2" t="s">
        <v>4422</v>
      </c>
      <c r="S2022" s="2"/>
      <c r="AC2022" s="2"/>
      <c r="AD2022" t="str">
        <f>IFERROR(__xludf.DUMMYFUNCTION("""COMPUTED_VALUE"""),"Coco Before Chanel ")</f>
        <v>Coco Before Chanel </v>
      </c>
      <c r="AE2022">
        <f t="shared" si="60"/>
        <v>6108964</v>
      </c>
    </row>
    <row r="2023" customHeight="1" spans="1:31">
      <c r="A2023" s="2" t="s">
        <v>1752</v>
      </c>
      <c r="B2023" s="2">
        <v>92</v>
      </c>
      <c r="C2023" s="2">
        <v>34334256</v>
      </c>
      <c r="D2023" s="2" t="s">
        <v>2781</v>
      </c>
      <c r="E2023" s="2" t="s">
        <v>72</v>
      </c>
      <c r="F2023" t="s">
        <v>40</v>
      </c>
      <c r="G2023" t="s">
        <v>24</v>
      </c>
      <c r="N2023" s="2" t="s">
        <v>18</v>
      </c>
      <c r="O2023" s="2" t="s">
        <v>19</v>
      </c>
      <c r="P2023" s="2">
        <v>11000000</v>
      </c>
      <c r="Q2023" s="2">
        <v>4.8</v>
      </c>
      <c r="R2023" s="2" t="s">
        <v>4423</v>
      </c>
      <c r="S2023" s="2"/>
      <c r="AC2023" s="2"/>
      <c r="AD2023" t="str">
        <f>IFERROR(__xludf.DUMMYFUNCTION("""COMPUTED_VALUE"""),"Chéri ")</f>
        <v>Chéri </v>
      </c>
      <c r="AE2023">
        <f t="shared" si="60"/>
        <v>2708088</v>
      </c>
    </row>
    <row r="2024" customHeight="1" spans="1:31">
      <c r="A2024" s="2" t="s">
        <v>779</v>
      </c>
      <c r="B2024" s="2">
        <v>123</v>
      </c>
      <c r="C2024" s="2">
        <v>32051917</v>
      </c>
      <c r="D2024" s="2" t="s">
        <v>814</v>
      </c>
      <c r="E2024" s="2" t="s">
        <v>56</v>
      </c>
      <c r="F2024" t="s">
        <v>30</v>
      </c>
      <c r="G2024" t="s">
        <v>15</v>
      </c>
      <c r="N2024" s="2" t="s">
        <v>18</v>
      </c>
      <c r="O2024" s="2" t="s">
        <v>19</v>
      </c>
      <c r="P2024" s="2">
        <v>20000000</v>
      </c>
      <c r="Q2024" s="2">
        <v>6.6</v>
      </c>
      <c r="R2024" s="2" t="s">
        <v>4424</v>
      </c>
      <c r="S2024" s="2"/>
      <c r="AC2024" s="2"/>
      <c r="AD2024" t="str">
        <f>IFERROR(__xludf.DUMMYFUNCTION("""COMPUTED_VALUE"""),"Vanity Fair ")</f>
        <v>Vanity Fair </v>
      </c>
      <c r="AE2024">
        <f t="shared" si="60"/>
        <v>16123710</v>
      </c>
    </row>
    <row r="2025" customHeight="1" spans="1:31">
      <c r="A2025" s="2" t="s">
        <v>1952</v>
      </c>
      <c r="B2025" s="2">
        <v>88</v>
      </c>
      <c r="C2025" s="2">
        <v>32014289</v>
      </c>
      <c r="D2025" s="2" t="s">
        <v>40</v>
      </c>
      <c r="E2025" s="2" t="s">
        <v>40</v>
      </c>
      <c r="F2025" t="s">
        <v>30</v>
      </c>
      <c r="G2025" t="s">
        <v>24</v>
      </c>
      <c r="N2025" s="2" t="s">
        <v>18</v>
      </c>
      <c r="O2025" s="2" t="s">
        <v>19</v>
      </c>
      <c r="P2025" s="2">
        <v>20000000</v>
      </c>
      <c r="Q2025" s="2">
        <v>3.5</v>
      </c>
      <c r="R2025" s="2" t="s">
        <v>4425</v>
      </c>
      <c r="S2025" s="2"/>
      <c r="AC2025" s="2"/>
      <c r="AD2025" t="str">
        <f>IFERROR(__xludf.DUMMYFUNCTION("""COMPUTED_VALUE"""),"1408 ")</f>
        <v>1408 </v>
      </c>
      <c r="AE2025">
        <f t="shared" si="60"/>
        <v>71975497</v>
      </c>
    </row>
    <row r="2026" customHeight="1" spans="1:31">
      <c r="A2026" s="2" t="s">
        <v>1453</v>
      </c>
      <c r="B2026" s="2">
        <v>128</v>
      </c>
      <c r="C2026" s="2">
        <v>31838002</v>
      </c>
      <c r="D2026" s="2" t="s">
        <v>2457</v>
      </c>
      <c r="E2026" s="2" t="s">
        <v>59</v>
      </c>
      <c r="F2026" t="s">
        <v>17</v>
      </c>
      <c r="G2026" t="s">
        <v>24</v>
      </c>
      <c r="N2026" s="2" t="s">
        <v>18</v>
      </c>
      <c r="O2026" s="2" t="s">
        <v>19</v>
      </c>
      <c r="P2026" s="2">
        <v>20000000</v>
      </c>
      <c r="Q2026" s="2">
        <v>7.6</v>
      </c>
      <c r="R2026" s="2" t="s">
        <v>4426</v>
      </c>
      <c r="S2026" s="2"/>
      <c r="AC2026" s="2"/>
      <c r="AD2026" t="str">
        <f>IFERROR(__xludf.DUMMYFUNCTION("""COMPUTED_VALUE"""),"Spaceballs ")</f>
        <v>Spaceballs </v>
      </c>
      <c r="AE2026">
        <f t="shared" si="60"/>
        <v>38119387</v>
      </c>
    </row>
    <row r="2027" customHeight="1" spans="1:31">
      <c r="A2027" s="2" t="s">
        <v>218</v>
      </c>
      <c r="B2027" s="2">
        <v>107</v>
      </c>
      <c r="C2027" s="2">
        <v>36874745</v>
      </c>
      <c r="D2027" s="2" t="s">
        <v>4427</v>
      </c>
      <c r="E2027" s="2" t="s">
        <v>12</v>
      </c>
      <c r="F2027" t="s">
        <v>59</v>
      </c>
      <c r="G2027" t="s">
        <v>23</v>
      </c>
      <c r="N2027" s="2" t="s">
        <v>18</v>
      </c>
      <c r="O2027" s="2" t="s">
        <v>19</v>
      </c>
      <c r="P2027" s="2">
        <v>20000000</v>
      </c>
      <c r="Q2027" s="2">
        <v>6.3</v>
      </c>
      <c r="R2027" s="2" t="s">
        <v>4428</v>
      </c>
      <c r="S2027" s="2"/>
      <c r="AC2027" s="2"/>
      <c r="AD2027" t="str">
        <f>IFERROR(__xludf.DUMMYFUNCTION("""COMPUTED_VALUE"""),"The Water Diviner ")</f>
        <v>The Water Diviner </v>
      </c>
      <c r="AE2027">
        <f t="shared" si="60"/>
        <v>4190419</v>
      </c>
    </row>
    <row r="2028" customHeight="1" spans="1:31">
      <c r="A2028" s="2" t="s">
        <v>2241</v>
      </c>
      <c r="B2028" s="2">
        <v>91</v>
      </c>
      <c r="C2028" s="2">
        <v>30079316</v>
      </c>
      <c r="D2028" s="2" t="s">
        <v>72</v>
      </c>
      <c r="E2028" s="2" t="s">
        <v>72</v>
      </c>
      <c r="F2028" t="s">
        <v>30</v>
      </c>
      <c r="G2028" t="s">
        <v>17</v>
      </c>
      <c r="N2028" s="2" t="s">
        <v>18</v>
      </c>
      <c r="O2028" s="2" t="s">
        <v>19</v>
      </c>
      <c r="P2028" s="2">
        <v>35000000</v>
      </c>
      <c r="Q2028" s="2">
        <v>5.5</v>
      </c>
      <c r="R2028" s="2" t="s">
        <v>4429</v>
      </c>
      <c r="S2028" s="2"/>
      <c r="AC2028" s="2"/>
      <c r="AD2028" t="str">
        <f>IFERROR(__xludf.DUMMYFUNCTION("""COMPUTED_VALUE"""),"Ghost ")</f>
        <v>Ghost </v>
      </c>
      <c r="AE2028">
        <f t="shared" si="60"/>
        <v>217631179</v>
      </c>
    </row>
    <row r="2029" customHeight="1" spans="1:31">
      <c r="A2029" s="2" t="s">
        <v>2243</v>
      </c>
      <c r="B2029" s="2">
        <v>90</v>
      </c>
      <c r="C2029" s="2">
        <v>35033759</v>
      </c>
      <c r="D2029" s="2" t="s">
        <v>1716</v>
      </c>
      <c r="E2029" s="2" t="s">
        <v>13</v>
      </c>
      <c r="F2029" t="s">
        <v>30</v>
      </c>
      <c r="G2029" t="s">
        <v>15</v>
      </c>
      <c r="N2029" s="2" t="s">
        <v>18</v>
      </c>
      <c r="O2029" s="2" t="s">
        <v>19</v>
      </c>
      <c r="P2029" s="2">
        <v>19000000</v>
      </c>
      <c r="Q2029" s="2">
        <v>6.3</v>
      </c>
      <c r="R2029" s="2" t="s">
        <v>4430</v>
      </c>
      <c r="S2029" s="2"/>
      <c r="AC2029" s="2"/>
      <c r="AD2029" t="str">
        <f>IFERROR(__xludf.DUMMYFUNCTION("""COMPUTED_VALUE"""),"There's Something About Mary ")</f>
        <v>There's Something About Mary </v>
      </c>
      <c r="AE2029">
        <f t="shared" si="60"/>
        <v>176483701</v>
      </c>
    </row>
    <row r="2030" customHeight="1" spans="1:31">
      <c r="A2030" s="2" t="s">
        <v>2245</v>
      </c>
      <c r="B2030" s="2">
        <v>115</v>
      </c>
      <c r="C2030" s="2">
        <v>29753944</v>
      </c>
      <c r="D2030" s="2" t="s">
        <v>814</v>
      </c>
      <c r="E2030" s="2" t="s">
        <v>56</v>
      </c>
      <c r="F2030" t="s">
        <v>23</v>
      </c>
      <c r="G2030" t="s">
        <v>30</v>
      </c>
      <c r="N2030" s="2" t="s">
        <v>18</v>
      </c>
      <c r="O2030" s="2" t="s">
        <v>19</v>
      </c>
      <c r="P2030" s="2">
        <v>20000000</v>
      </c>
      <c r="Q2030" s="2">
        <v>6.5</v>
      </c>
      <c r="R2030" s="2" t="s">
        <v>4431</v>
      </c>
      <c r="S2030" s="2"/>
      <c r="AC2030" s="2"/>
      <c r="AD2030" t="str">
        <f>IFERROR(__xludf.DUMMYFUNCTION("""COMPUTED_VALUE"""),"The Santa Clause ")</f>
        <v>The Santa Clause </v>
      </c>
      <c r="AE2030">
        <f t="shared" si="60"/>
        <v>144833260</v>
      </c>
    </row>
    <row r="2031" customHeight="1" spans="1:31">
      <c r="A2031" s="2" t="s">
        <v>1166</v>
      </c>
      <c r="B2031" s="2">
        <v>113</v>
      </c>
      <c r="C2031" s="2">
        <v>31146570</v>
      </c>
      <c r="D2031" s="2" t="s">
        <v>1655</v>
      </c>
      <c r="E2031" s="2" t="s">
        <v>30</v>
      </c>
      <c r="F2031" t="s">
        <v>28</v>
      </c>
      <c r="G2031" t="s">
        <v>83</v>
      </c>
      <c r="N2031" s="2" t="s">
        <v>18</v>
      </c>
      <c r="O2031" s="2" t="s">
        <v>19</v>
      </c>
      <c r="P2031" s="2">
        <v>20000000</v>
      </c>
      <c r="Q2031" s="2">
        <v>6.9</v>
      </c>
      <c r="R2031" s="2" t="s">
        <v>4432</v>
      </c>
      <c r="S2031" s="2"/>
      <c r="AC2031" s="2"/>
      <c r="AD2031" t="str">
        <f>IFERROR(__xludf.DUMMYFUNCTION("""COMPUTED_VALUE"""),"The Rookie ")</f>
        <v>The Rookie </v>
      </c>
      <c r="AE2031">
        <f t="shared" si="60"/>
        <v>75596915</v>
      </c>
    </row>
    <row r="2032" customHeight="1" spans="1:31">
      <c r="A2032" s="2" t="s">
        <v>1377</v>
      </c>
      <c r="B2032" s="2">
        <v>113</v>
      </c>
      <c r="C2032" s="2">
        <v>27277055</v>
      </c>
      <c r="D2032" s="2" t="s">
        <v>2389</v>
      </c>
      <c r="E2032" s="2" t="s">
        <v>40</v>
      </c>
      <c r="F2032" t="s">
        <v>40</v>
      </c>
      <c r="G2032" t="s">
        <v>30</v>
      </c>
      <c r="N2032" s="2" t="s">
        <v>18</v>
      </c>
      <c r="O2032" s="2" t="s">
        <v>31</v>
      </c>
      <c r="P2032" s="2">
        <v>20000000</v>
      </c>
      <c r="Q2032" s="2">
        <v>7.6</v>
      </c>
      <c r="R2032" s="2" t="s">
        <v>4433</v>
      </c>
      <c r="S2032" s="2"/>
      <c r="AC2032" s="2"/>
      <c r="AD2032" t="str">
        <f>IFERROR(__xludf.DUMMYFUNCTION("""COMPUTED_VALUE"""),"The Game Plan ")</f>
        <v>The Game Plan </v>
      </c>
      <c r="AE2032">
        <f t="shared" si="60"/>
        <v>90636873</v>
      </c>
    </row>
    <row r="2033" customHeight="1" spans="1:31">
      <c r="A2033" s="2" t="s">
        <v>2248</v>
      </c>
      <c r="B2033" s="2">
        <v>87</v>
      </c>
      <c r="C2033" s="2">
        <v>26876529</v>
      </c>
      <c r="D2033" s="2" t="s">
        <v>2613</v>
      </c>
      <c r="E2033" s="2" t="s">
        <v>72</v>
      </c>
      <c r="F2033" t="s">
        <v>28</v>
      </c>
      <c r="G2033" t="s">
        <v>17</v>
      </c>
      <c r="N2033" s="2" t="s">
        <v>18</v>
      </c>
      <c r="O2033" s="2" t="s">
        <v>1160</v>
      </c>
      <c r="P2033" s="2">
        <v>27000000</v>
      </c>
      <c r="Q2033" s="2">
        <v>3.9</v>
      </c>
      <c r="R2033" s="2" t="s">
        <v>4434</v>
      </c>
      <c r="S2033" s="2"/>
      <c r="AC2033" s="2"/>
      <c r="AD2033" t="str">
        <f>IFERROR(__xludf.DUMMYFUNCTION("""COMPUTED_VALUE"""),"The Bridges of Madison County ")</f>
        <v>The Bridges of Madison County </v>
      </c>
      <c r="AE2033">
        <f t="shared" si="60"/>
        <v>70960382</v>
      </c>
    </row>
    <row r="2034" customHeight="1" spans="1:31">
      <c r="A2034" s="2" t="s">
        <v>2073</v>
      </c>
      <c r="B2034" s="2">
        <v>101</v>
      </c>
      <c r="C2034" s="2">
        <v>53146000</v>
      </c>
      <c r="D2034" s="2" t="s">
        <v>805</v>
      </c>
      <c r="E2034" s="2" t="s">
        <v>56</v>
      </c>
      <c r="F2034" t="s">
        <v>30</v>
      </c>
      <c r="G2034" t="s">
        <v>24</v>
      </c>
      <c r="N2034" s="2" t="s">
        <v>18</v>
      </c>
      <c r="O2034" s="2" t="s">
        <v>19</v>
      </c>
      <c r="P2034" s="2">
        <v>20000000</v>
      </c>
      <c r="Q2034" s="2">
        <v>6.1</v>
      </c>
      <c r="R2034" s="2" t="s">
        <v>4435</v>
      </c>
      <c r="S2034" s="2"/>
      <c r="AC2034" s="2"/>
      <c r="AD2034" t="str">
        <f>IFERROR(__xludf.DUMMYFUNCTION("""COMPUTED_VALUE"""),"The Animal ")</f>
        <v>The Animal </v>
      </c>
      <c r="AE2034">
        <f t="shared" si="60"/>
        <v>55762145</v>
      </c>
    </row>
    <row r="2035" customHeight="1" spans="1:31">
      <c r="A2035" s="2" t="s">
        <v>543</v>
      </c>
      <c r="B2035" s="2">
        <v>111</v>
      </c>
      <c r="C2035" s="2">
        <v>30028592</v>
      </c>
      <c r="D2035" s="2" t="s">
        <v>2171</v>
      </c>
      <c r="E2035" s="2" t="s">
        <v>56</v>
      </c>
      <c r="F2035" t="s">
        <v>30</v>
      </c>
      <c r="G2035" t="s">
        <v>17</v>
      </c>
      <c r="N2035" s="2" t="s">
        <v>18</v>
      </c>
      <c r="O2035" s="2" t="s">
        <v>31</v>
      </c>
      <c r="P2035" s="2">
        <v>20000000</v>
      </c>
      <c r="Q2035" s="2">
        <v>7.3</v>
      </c>
      <c r="R2035" s="2" t="s">
        <v>4436</v>
      </c>
      <c r="S2035" s="2"/>
      <c r="AC2035" s="2"/>
      <c r="AD2035" t="str">
        <f>IFERROR(__xludf.DUMMYFUNCTION("""COMPUTED_VALUE"""),"The Hundred-Foot Journey ")</f>
        <v>The Hundred-Foot Journey </v>
      </c>
      <c r="AE2035">
        <f t="shared" si="60"/>
        <v>54235319</v>
      </c>
    </row>
    <row r="2036" customHeight="1" spans="1:31">
      <c r="A2036" s="2" t="s">
        <v>565</v>
      </c>
      <c r="B2036" s="2">
        <v>108</v>
      </c>
      <c r="C2036" s="2">
        <v>34126138</v>
      </c>
      <c r="D2036" s="2" t="s">
        <v>2891</v>
      </c>
      <c r="E2036" s="2" t="s">
        <v>30</v>
      </c>
      <c r="F2036" t="s">
        <v>17</v>
      </c>
      <c r="G2036" t="s">
        <v>24</v>
      </c>
      <c r="N2036" s="2" t="s">
        <v>18</v>
      </c>
      <c r="O2036" s="2" t="s">
        <v>19</v>
      </c>
      <c r="P2036" s="2">
        <v>20000000</v>
      </c>
      <c r="Q2036" s="2">
        <v>8.3</v>
      </c>
      <c r="R2036" s="2" t="s">
        <v>4437</v>
      </c>
      <c r="S2036" s="2"/>
      <c r="AC2036" s="2"/>
      <c r="AD2036" t="str">
        <f>IFERROR(__xludf.DUMMYFUNCTION("""COMPUTED_VALUE"""),"The Net ")</f>
        <v>The Net </v>
      </c>
      <c r="AE2036">
        <f t="shared" si="60"/>
        <v>50727886</v>
      </c>
    </row>
    <row r="2037" customHeight="1" spans="1:31">
      <c r="A2037" s="2" t="s">
        <v>1276</v>
      </c>
      <c r="B2037" s="2">
        <v>105</v>
      </c>
      <c r="C2037" s="2">
        <v>25677801</v>
      </c>
      <c r="D2037" s="2" t="s">
        <v>1061</v>
      </c>
      <c r="E2037" s="2" t="s">
        <v>40</v>
      </c>
      <c r="F2037" t="s">
        <v>30</v>
      </c>
      <c r="G2037" t="s">
        <v>28</v>
      </c>
      <c r="N2037" s="2" t="s">
        <v>18</v>
      </c>
      <c r="O2037" s="2" t="s">
        <v>19</v>
      </c>
      <c r="P2037" s="2">
        <v>20000000</v>
      </c>
      <c r="Q2037" s="2">
        <v>5.8</v>
      </c>
      <c r="R2037" s="2" t="s">
        <v>4438</v>
      </c>
      <c r="S2037" s="2"/>
      <c r="AC2037" s="2"/>
      <c r="AD2037" t="str">
        <f>IFERROR(__xludf.DUMMYFUNCTION("""COMPUTED_VALUE"""),"I Am Sam ")</f>
        <v>I Am Sam </v>
      </c>
      <c r="AE2037">
        <f t="shared" si="60"/>
        <v>40270763</v>
      </c>
    </row>
    <row r="2038" customHeight="1" spans="1:31">
      <c r="A2038" s="2" t="s">
        <v>210</v>
      </c>
      <c r="B2038" s="2">
        <v>109</v>
      </c>
      <c r="C2038" s="2">
        <v>26415649</v>
      </c>
      <c r="D2038" s="2" t="s">
        <v>186</v>
      </c>
      <c r="E2038" s="2" t="s">
        <v>12</v>
      </c>
      <c r="F2038" t="s">
        <v>40</v>
      </c>
      <c r="G2038" t="s">
        <v>17</v>
      </c>
      <c r="N2038" s="2" t="s">
        <v>18</v>
      </c>
      <c r="O2038" s="2" t="s">
        <v>19</v>
      </c>
      <c r="P2038" s="2">
        <v>20000000</v>
      </c>
      <c r="Q2038" s="2">
        <v>6.8</v>
      </c>
      <c r="R2038" s="2" t="s">
        <v>4439</v>
      </c>
      <c r="S2038" s="2"/>
      <c r="AC2038" s="2"/>
      <c r="AD2038" t="str">
        <f>IFERROR(__xludf.DUMMYFUNCTION("""COMPUTED_VALUE"""),"Son of God ")</f>
        <v>Son of God </v>
      </c>
      <c r="AE2038">
        <f t="shared" si="60"/>
        <v>59696006</v>
      </c>
    </row>
    <row r="2039" customHeight="1" spans="1:31">
      <c r="A2039" s="2" t="s">
        <v>777</v>
      </c>
      <c r="B2039" s="2">
        <v>109</v>
      </c>
      <c r="C2039" s="2">
        <v>26003149</v>
      </c>
      <c r="D2039" s="2" t="s">
        <v>703</v>
      </c>
      <c r="E2039" s="2" t="s">
        <v>12</v>
      </c>
      <c r="F2039" t="s">
        <v>24</v>
      </c>
      <c r="G2039" t="s">
        <v>24</v>
      </c>
      <c r="N2039" s="2" t="s">
        <v>18</v>
      </c>
      <c r="O2039" s="2" t="s">
        <v>31</v>
      </c>
      <c r="P2039" s="2">
        <v>20000000</v>
      </c>
      <c r="Q2039" s="2">
        <v>7</v>
      </c>
      <c r="R2039" s="2" t="s">
        <v>4440</v>
      </c>
      <c r="S2039" s="2"/>
      <c r="AC2039" s="2"/>
      <c r="AD2039" t="str">
        <f>IFERROR(__xludf.DUMMYFUNCTION("""COMPUTED_VALUE"""),"Underworld ")</f>
        <v>Underworld </v>
      </c>
      <c r="AE2039">
        <f t="shared" ref="AE2039:AE2102" si="61">C1923-B1923</f>
        <v>51483816</v>
      </c>
    </row>
    <row r="2040" customHeight="1" spans="1:31">
      <c r="A2040" s="2" t="s">
        <v>2250</v>
      </c>
      <c r="B2040" s="2">
        <v>99</v>
      </c>
      <c r="C2040" s="2">
        <v>25584685</v>
      </c>
      <c r="D2040" s="2" t="s">
        <v>4441</v>
      </c>
      <c r="E2040" s="2" t="s">
        <v>40</v>
      </c>
      <c r="F2040" t="s">
        <v>35</v>
      </c>
      <c r="G2040" t="s">
        <v>17</v>
      </c>
      <c r="N2040" s="2" t="s">
        <v>18</v>
      </c>
      <c r="O2040" s="2" t="s">
        <v>19</v>
      </c>
      <c r="P2040" s="2">
        <v>20000000</v>
      </c>
      <c r="Q2040" s="2">
        <v>5.9</v>
      </c>
      <c r="R2040" s="2" t="s">
        <v>4442</v>
      </c>
      <c r="S2040" s="2"/>
      <c r="AC2040" s="2"/>
      <c r="AD2040" t="str">
        <f>IFERROR(__xludf.DUMMYFUNCTION("""COMPUTED_VALUE"""),"Derailed ")</f>
        <v>Derailed </v>
      </c>
      <c r="AE2040">
        <f t="shared" si="61"/>
        <v>36019951</v>
      </c>
    </row>
    <row r="2041" customHeight="1" spans="1:31">
      <c r="A2041" s="2" t="s">
        <v>2252</v>
      </c>
      <c r="B2041" s="2">
        <v>98</v>
      </c>
      <c r="C2041" s="2">
        <v>29975979</v>
      </c>
      <c r="D2041" s="2" t="s">
        <v>843</v>
      </c>
      <c r="E2041" s="2" t="s">
        <v>12</v>
      </c>
      <c r="F2041" t="s">
        <v>13</v>
      </c>
      <c r="G2041" t="s">
        <v>17</v>
      </c>
      <c r="N2041" s="2" t="s">
        <v>18</v>
      </c>
      <c r="O2041" s="2" t="s">
        <v>159</v>
      </c>
      <c r="P2041" s="2">
        <v>20000000</v>
      </c>
      <c r="Q2041" s="2">
        <v>6.5</v>
      </c>
      <c r="R2041" s="2" t="s">
        <v>4443</v>
      </c>
      <c r="S2041" s="2"/>
      <c r="AC2041" s="2"/>
      <c r="AD2041" t="str">
        <f>IFERROR(__xludf.DUMMYFUNCTION("""COMPUTED_VALUE"""),"The Informant! ")</f>
        <v>The Informant! </v>
      </c>
      <c r="AE2041">
        <f t="shared" si="61"/>
        <v>33313474</v>
      </c>
    </row>
    <row r="2042" customHeight="1" spans="1:31">
      <c r="A2042" s="2" t="s">
        <v>2254</v>
      </c>
      <c r="B2042" s="2">
        <v>104</v>
      </c>
      <c r="C2042" s="2">
        <v>31584722</v>
      </c>
      <c r="D2042" s="2" t="s">
        <v>607</v>
      </c>
      <c r="E2042" s="2" t="s">
        <v>40</v>
      </c>
      <c r="F2042" t="s">
        <v>29</v>
      </c>
      <c r="G2042" t="s">
        <v>30</v>
      </c>
      <c r="N2042" s="2" t="s">
        <v>18</v>
      </c>
      <c r="O2042" s="2" t="s">
        <v>19</v>
      </c>
      <c r="P2042" s="2">
        <v>20000000</v>
      </c>
      <c r="Q2042" s="2">
        <v>6.4</v>
      </c>
      <c r="R2042" s="2" t="s">
        <v>4444</v>
      </c>
      <c r="S2042" s="2"/>
      <c r="AC2042" s="2"/>
      <c r="AD2042" t="str">
        <f>IFERROR(__xludf.DUMMYFUNCTION("""COMPUTED_VALUE"""),"Shadowlands ")</f>
        <v>Shadowlands </v>
      </c>
      <c r="AE2042">
        <f t="shared" si="61"/>
        <v>25841885</v>
      </c>
    </row>
    <row r="2043" customHeight="1" spans="1:31">
      <c r="A2043" s="2" t="s">
        <v>2256</v>
      </c>
      <c r="B2043" s="2">
        <v>109</v>
      </c>
      <c r="C2043" s="2">
        <v>23179303</v>
      </c>
      <c r="D2043" s="2" t="s">
        <v>4113</v>
      </c>
      <c r="E2043" s="2" t="s">
        <v>13</v>
      </c>
      <c r="F2043" t="s">
        <v>40</v>
      </c>
      <c r="G2043" t="s">
        <v>16</v>
      </c>
      <c r="N2043" s="2" t="s">
        <v>18</v>
      </c>
      <c r="O2043" s="2" t="s">
        <v>4445</v>
      </c>
      <c r="P2043" s="2">
        <v>20000000</v>
      </c>
      <c r="Q2043" s="2">
        <v>5.8</v>
      </c>
      <c r="R2043" s="2" t="s">
        <v>4446</v>
      </c>
      <c r="S2043" s="2"/>
      <c r="AC2043" s="2"/>
      <c r="AD2043" t="str">
        <f>IFERROR(__xludf.DUMMYFUNCTION("""COMPUTED_VALUE"""),"Deuce Bigalow: European Gigolo ")</f>
        <v>Deuce Bigalow: European Gigolo </v>
      </c>
      <c r="AE2043">
        <f t="shared" si="61"/>
        <v>22264404</v>
      </c>
    </row>
    <row r="2044" customHeight="1" spans="1:31">
      <c r="A2044" s="2" t="s">
        <v>2258</v>
      </c>
      <c r="B2044" s="2">
        <v>75</v>
      </c>
      <c r="C2044" s="2">
        <v>23078294</v>
      </c>
      <c r="D2044" s="2" t="s">
        <v>2781</v>
      </c>
      <c r="E2044" s="2" t="s">
        <v>72</v>
      </c>
      <c r="F2044" t="s">
        <v>17</v>
      </c>
      <c r="G2044" t="s">
        <v>56</v>
      </c>
      <c r="N2044" s="2" t="s">
        <v>18</v>
      </c>
      <c r="O2044" s="2" t="s">
        <v>19</v>
      </c>
      <c r="P2044" s="2">
        <v>9000000</v>
      </c>
      <c r="Q2044" s="2">
        <v>5.1</v>
      </c>
      <c r="R2044" s="2" t="s">
        <v>4447</v>
      </c>
      <c r="S2044" s="2"/>
      <c r="AC2044" s="2"/>
      <c r="AD2044" t="str">
        <f>IFERROR(__xludf.DUMMYFUNCTION("""COMPUTED_VALUE"""),"Delivery Man ")</f>
        <v>Delivery Man </v>
      </c>
      <c r="AE2044">
        <f t="shared" si="61"/>
        <v>30659712</v>
      </c>
    </row>
    <row r="2045" customHeight="1" spans="1:31">
      <c r="A2045" s="2" t="s">
        <v>1429</v>
      </c>
      <c r="B2045" s="2">
        <v>119</v>
      </c>
      <c r="C2045" s="2">
        <v>21413105</v>
      </c>
      <c r="D2045" s="2" t="s">
        <v>4448</v>
      </c>
      <c r="E2045" s="2" t="s">
        <v>12</v>
      </c>
      <c r="F2045" t="s">
        <v>30</v>
      </c>
      <c r="G2045" t="s">
        <v>17</v>
      </c>
      <c r="N2045" s="2" t="s">
        <v>18</v>
      </c>
      <c r="O2045" s="2" t="s">
        <v>159</v>
      </c>
      <c r="P2045" s="2">
        <v>20000000</v>
      </c>
      <c r="Q2045" s="2">
        <v>6.8</v>
      </c>
      <c r="R2045" s="2" t="s">
        <v>4449</v>
      </c>
      <c r="S2045" s="2"/>
      <c r="AC2045" s="2"/>
      <c r="AD2045" t="str">
        <f>IFERROR(__xludf.DUMMYFUNCTION("""COMPUTED_VALUE"""),"Saving Silverman ")</f>
        <v>Saving Silverman </v>
      </c>
      <c r="AE2045">
        <f t="shared" si="61"/>
        <v>19351473</v>
      </c>
    </row>
    <row r="2046" customHeight="1" spans="1:31">
      <c r="A2046" s="2" t="s">
        <v>2260</v>
      </c>
      <c r="B2046" s="2">
        <v>90</v>
      </c>
      <c r="C2046" s="2">
        <v>25077977</v>
      </c>
      <c r="D2046" s="2" t="s">
        <v>740</v>
      </c>
      <c r="E2046" s="2" t="s">
        <v>13</v>
      </c>
      <c r="F2046" t="s">
        <v>14</v>
      </c>
      <c r="G2046" t="s">
        <v>30</v>
      </c>
      <c r="N2046" s="2" t="s">
        <v>18</v>
      </c>
      <c r="O2046" s="2" t="s">
        <v>19</v>
      </c>
      <c r="P2046" s="2">
        <v>20000000</v>
      </c>
      <c r="Q2046" s="2">
        <v>5.3</v>
      </c>
      <c r="R2046" s="2" t="s">
        <v>4450</v>
      </c>
      <c r="S2046" s="2"/>
      <c r="AC2046" s="2"/>
      <c r="AD2046" t="str">
        <f>IFERROR(__xludf.DUMMYFUNCTION("""COMPUTED_VALUE"""),"Diary of a Wimpy Kid: Dog Days ")</f>
        <v>Diary of a Wimpy Kid: Dog Days </v>
      </c>
      <c r="AE2046">
        <f t="shared" si="61"/>
        <v>49002721</v>
      </c>
    </row>
    <row r="2047" customHeight="1" spans="1:31">
      <c r="A2047" s="2" t="s">
        <v>709</v>
      </c>
      <c r="B2047" s="2">
        <v>97</v>
      </c>
      <c r="C2047" s="2">
        <v>23292105</v>
      </c>
      <c r="D2047" s="2" t="s">
        <v>3756</v>
      </c>
      <c r="E2047" s="2" t="s">
        <v>12</v>
      </c>
      <c r="F2047" t="s">
        <v>30</v>
      </c>
      <c r="G2047" t="s">
        <v>17</v>
      </c>
      <c r="N2047" s="2" t="s">
        <v>18</v>
      </c>
      <c r="O2047" s="2" t="s">
        <v>19</v>
      </c>
      <c r="P2047" s="2">
        <v>20000000</v>
      </c>
      <c r="Q2047" s="2">
        <v>5.3</v>
      </c>
      <c r="R2047" s="2" t="s">
        <v>4451</v>
      </c>
      <c r="S2047" s="2"/>
      <c r="AC2047" s="2"/>
      <c r="AD2047" t="str">
        <f>IFERROR(__xludf.DUMMYFUNCTION("""COMPUTED_VALUE"""),"Summer of Sam ")</f>
        <v>Summer of Sam </v>
      </c>
      <c r="AE2047">
        <f t="shared" si="61"/>
        <v>19283640</v>
      </c>
    </row>
    <row r="2048" customHeight="1" spans="1:31">
      <c r="A2048" s="2" t="s">
        <v>1225</v>
      </c>
      <c r="B2048" s="2">
        <v>89</v>
      </c>
      <c r="C2048" s="2">
        <v>20916309</v>
      </c>
      <c r="D2048" s="2" t="s">
        <v>214</v>
      </c>
      <c r="E2048" s="2" t="s">
        <v>40</v>
      </c>
      <c r="F2048" t="s">
        <v>72</v>
      </c>
      <c r="G2048" t="s">
        <v>23</v>
      </c>
      <c r="N2048" s="2" t="s">
        <v>18</v>
      </c>
      <c r="O2048" s="2" t="s">
        <v>19</v>
      </c>
      <c r="P2048" s="2">
        <v>40000000</v>
      </c>
      <c r="Q2048" s="2">
        <v>4.9</v>
      </c>
      <c r="R2048" s="2" t="s">
        <v>4452</v>
      </c>
      <c r="S2048" s="2"/>
      <c r="AC2048" s="2"/>
      <c r="AD2048" t="str">
        <f>IFERROR(__xludf.DUMMYFUNCTION("""COMPUTED_VALUE"""),"Jay and Silent Bob Strike Back ")</f>
        <v>Jay and Silent Bob Strike Back </v>
      </c>
      <c r="AE2048">
        <f t="shared" si="61"/>
        <v>30059282</v>
      </c>
    </row>
    <row r="2049" customHeight="1" spans="1:31">
      <c r="A2049" s="2" t="s">
        <v>1453</v>
      </c>
      <c r="B2049" s="2">
        <v>106</v>
      </c>
      <c r="C2049" s="2">
        <v>21200000</v>
      </c>
      <c r="D2049" s="2" t="s">
        <v>3855</v>
      </c>
      <c r="E2049" s="2" t="s">
        <v>40</v>
      </c>
      <c r="F2049" t="s">
        <v>30</v>
      </c>
      <c r="G2049" t="s">
        <v>24</v>
      </c>
      <c r="N2049" s="2" t="s">
        <v>18</v>
      </c>
      <c r="O2049" s="2" t="s">
        <v>19</v>
      </c>
      <c r="P2049" s="2">
        <v>20000000</v>
      </c>
      <c r="Q2049" s="2">
        <v>6.8</v>
      </c>
      <c r="R2049" s="2" t="s">
        <v>4453</v>
      </c>
      <c r="S2049" s="2"/>
      <c r="AC2049" s="2"/>
      <c r="AD2049" t="str">
        <f>IFERROR(__xludf.DUMMYFUNCTION("""COMPUTED_VALUE"""),"The Glass House ")</f>
        <v>The Glass House </v>
      </c>
      <c r="AE2049">
        <f t="shared" si="61"/>
        <v>17951325</v>
      </c>
    </row>
    <row r="2050" customHeight="1" spans="1:31">
      <c r="A2050" s="2" t="s">
        <v>2263</v>
      </c>
      <c r="B2050" s="2">
        <v>96</v>
      </c>
      <c r="C2050" s="2">
        <v>28876924</v>
      </c>
      <c r="D2050" s="2" t="s">
        <v>4454</v>
      </c>
      <c r="E2050" s="2" t="s">
        <v>13</v>
      </c>
      <c r="F2050" t="s">
        <v>40</v>
      </c>
      <c r="G2050" t="s">
        <v>16</v>
      </c>
      <c r="N2050" s="2" t="s">
        <v>18</v>
      </c>
      <c r="O2050" s="2" t="s">
        <v>19</v>
      </c>
      <c r="P2050" s="2">
        <v>20000000</v>
      </c>
      <c r="Q2050" s="2">
        <v>7.1</v>
      </c>
      <c r="R2050" s="2" t="s">
        <v>4455</v>
      </c>
      <c r="S2050" s="2"/>
      <c r="AC2050" s="2"/>
      <c r="AD2050" t="str">
        <f>IFERROR(__xludf.DUMMYFUNCTION("""COMPUTED_VALUE"""),"Hail, Caesar! ")</f>
        <v>Hail, Caesar! </v>
      </c>
      <c r="AE2050">
        <f t="shared" si="61"/>
        <v>29996989</v>
      </c>
    </row>
    <row r="2051" customHeight="1" spans="1:31">
      <c r="A2051" s="2" t="s">
        <v>1335</v>
      </c>
      <c r="B2051" s="2">
        <v>104</v>
      </c>
      <c r="C2051" s="2">
        <v>20241395</v>
      </c>
      <c r="D2051" s="2" t="s">
        <v>2009</v>
      </c>
      <c r="E2051" s="2" t="s">
        <v>12</v>
      </c>
      <c r="F2051" t="s">
        <v>14</v>
      </c>
      <c r="G2051" t="s">
        <v>72</v>
      </c>
      <c r="N2051" s="2" t="s">
        <v>18</v>
      </c>
      <c r="O2051" s="2" t="s">
        <v>19</v>
      </c>
      <c r="P2051" s="2">
        <v>20000000</v>
      </c>
      <c r="Q2051" s="2">
        <v>6.1</v>
      </c>
      <c r="R2051" s="2" t="s">
        <v>4456</v>
      </c>
      <c r="S2051" s="2"/>
      <c r="AC2051" s="2"/>
      <c r="AD2051" t="str">
        <f>IFERROR(__xludf.DUMMYFUNCTION("""COMPUTED_VALUE"""),"Josie and the Pussycats ")</f>
        <v>Josie and the Pussycats </v>
      </c>
      <c r="AE2051">
        <f t="shared" si="61"/>
        <v>14252732</v>
      </c>
    </row>
    <row r="2052" customHeight="1" spans="1:31">
      <c r="A2052" s="2" t="s">
        <v>2265</v>
      </c>
      <c r="B2052" s="2">
        <v>108</v>
      </c>
      <c r="C2052" s="2">
        <v>32000000</v>
      </c>
      <c r="D2052" s="2" t="s">
        <v>1189</v>
      </c>
      <c r="E2052" s="2" t="s">
        <v>72</v>
      </c>
      <c r="F2052" t="s">
        <v>40</v>
      </c>
      <c r="G2052" t="s">
        <v>17</v>
      </c>
      <c r="N2052" s="2" t="s">
        <v>18</v>
      </c>
      <c r="O2052" s="2" t="s">
        <v>19</v>
      </c>
      <c r="P2052" s="2">
        <v>806947</v>
      </c>
      <c r="Q2052" s="2">
        <v>8.5</v>
      </c>
      <c r="R2052" s="2" t="s">
        <v>4457</v>
      </c>
      <c r="S2052" s="2"/>
      <c r="AC2052" s="2"/>
      <c r="AD2052" t="str">
        <f>IFERROR(__xludf.DUMMYFUNCTION("""COMPUTED_VALUE"""),"Homefront ")</f>
        <v>Homefront </v>
      </c>
      <c r="AE2052">
        <f t="shared" si="61"/>
        <v>19783677</v>
      </c>
    </row>
    <row r="2053" customHeight="1" spans="1:31">
      <c r="A2053" s="2" t="s">
        <v>1304</v>
      </c>
      <c r="B2053" s="2">
        <v>112</v>
      </c>
      <c r="C2053" s="2">
        <v>19151864</v>
      </c>
      <c r="D2053" s="2" t="s">
        <v>607</v>
      </c>
      <c r="E2053" s="2" t="s">
        <v>40</v>
      </c>
      <c r="F2053" t="s">
        <v>30</v>
      </c>
      <c r="G2053" t="s">
        <v>56</v>
      </c>
      <c r="N2053" s="2" t="s">
        <v>18</v>
      </c>
      <c r="O2053" s="2" t="s">
        <v>19</v>
      </c>
      <c r="P2053" s="2">
        <v>40000000</v>
      </c>
      <c r="Q2053" s="2">
        <v>5.9</v>
      </c>
      <c r="R2053" s="2" t="s">
        <v>4458</v>
      </c>
      <c r="S2053" s="2"/>
      <c r="AC2053" s="2"/>
      <c r="AD2053" t="str">
        <f>IFERROR(__xludf.DUMMYFUNCTION("""COMPUTED_VALUE"""),"The Little Vampire ")</f>
        <v>The Little Vampire </v>
      </c>
      <c r="AE2053">
        <f t="shared" si="61"/>
        <v>13555893</v>
      </c>
    </row>
    <row r="2054" customHeight="1" spans="1:31">
      <c r="A2054" s="2" t="s">
        <v>2267</v>
      </c>
      <c r="B2054" s="2">
        <v>104</v>
      </c>
      <c r="C2054" s="2">
        <v>23393765</v>
      </c>
      <c r="D2054" s="2" t="s">
        <v>103</v>
      </c>
      <c r="E2054" s="2" t="s">
        <v>30</v>
      </c>
      <c r="F2054" t="s">
        <v>17</v>
      </c>
      <c r="G2054" t="s">
        <v>24</v>
      </c>
      <c r="N2054" s="2" t="s">
        <v>18</v>
      </c>
      <c r="O2054" s="2" t="s">
        <v>19</v>
      </c>
      <c r="P2054" s="2">
        <v>20000000</v>
      </c>
      <c r="Q2054" s="2">
        <v>6.3</v>
      </c>
      <c r="R2054" s="2" t="s">
        <v>4459</v>
      </c>
      <c r="S2054" s="2"/>
      <c r="AC2054" s="2"/>
      <c r="AD2054" t="str">
        <f>IFERROR(__xludf.DUMMYFUNCTION("""COMPUTED_VALUE"""),"I Heart Huckabees ")</f>
        <v>I Heart Huckabees </v>
      </c>
      <c r="AE2054">
        <f t="shared" si="61"/>
        <v>12784606</v>
      </c>
    </row>
    <row r="2055" customHeight="1" spans="1:31">
      <c r="A2055" s="2" t="s">
        <v>923</v>
      </c>
      <c r="B2055" s="2">
        <v>113</v>
      </c>
      <c r="C2055" s="2">
        <v>18882880</v>
      </c>
      <c r="D2055" s="2" t="s">
        <v>975</v>
      </c>
      <c r="E2055" s="2" t="s">
        <v>40</v>
      </c>
      <c r="F2055" t="s">
        <v>13</v>
      </c>
      <c r="G2055" t="s">
        <v>24</v>
      </c>
      <c r="N2055" s="2" t="s">
        <v>18</v>
      </c>
      <c r="O2055" s="2" t="s">
        <v>19</v>
      </c>
      <c r="P2055" s="2">
        <v>20000000</v>
      </c>
      <c r="Q2055" s="2">
        <v>5.9</v>
      </c>
      <c r="R2055" s="2" t="s">
        <v>4460</v>
      </c>
      <c r="S2055" s="2"/>
      <c r="AC2055" s="2"/>
      <c r="AD2055" t="str">
        <f>IFERROR(__xludf.DUMMYFUNCTION("""COMPUTED_VALUE"""),"RoboCop 3 ")</f>
        <v>RoboCop 3 </v>
      </c>
      <c r="AE2055">
        <f t="shared" si="61"/>
        <v>10696106</v>
      </c>
    </row>
    <row r="2056" customHeight="1" spans="1:31">
      <c r="A2056" s="2" t="s">
        <v>2269</v>
      </c>
      <c r="B2056" s="2">
        <v>98</v>
      </c>
      <c r="C2056" s="2">
        <v>8500000</v>
      </c>
      <c r="D2056" s="2" t="s">
        <v>40</v>
      </c>
      <c r="E2056" s="2" t="s">
        <v>40</v>
      </c>
      <c r="F2056" t="s">
        <v>72</v>
      </c>
      <c r="G2056" t="s">
        <v>30</v>
      </c>
      <c r="N2056" s="2" t="s">
        <v>18</v>
      </c>
      <c r="O2056" s="2" t="s">
        <v>19</v>
      </c>
      <c r="P2056" s="2">
        <v>20000000</v>
      </c>
      <c r="Q2056" s="2">
        <v>5.4</v>
      </c>
      <c r="R2056" s="2" t="s">
        <v>4461</v>
      </c>
      <c r="S2056" s="2"/>
      <c r="AC2056" s="2"/>
      <c r="AD2056" t="str">
        <f>IFERROR(__xludf.DUMMYFUNCTION("""COMPUTED_VALUE"""),"Megiddo: The Omega Code 2 ")</f>
        <v>Megiddo: The Omega Code 2 </v>
      </c>
      <c r="AE2056">
        <f t="shared" si="61"/>
        <v>5974549</v>
      </c>
    </row>
    <row r="2057" customHeight="1" spans="1:31">
      <c r="A2057" s="2" t="s">
        <v>501</v>
      </c>
      <c r="B2057" s="2">
        <v>114</v>
      </c>
      <c r="C2057" s="2">
        <v>18252684</v>
      </c>
      <c r="D2057" s="2" t="s">
        <v>1590</v>
      </c>
      <c r="E2057" s="2" t="s">
        <v>40</v>
      </c>
      <c r="F2057" t="s">
        <v>17</v>
      </c>
      <c r="G2057" t="s">
        <v>15</v>
      </c>
      <c r="N2057" s="2" t="s">
        <v>18</v>
      </c>
      <c r="O2057" s="2" t="s">
        <v>19</v>
      </c>
      <c r="P2057" s="2">
        <v>30000000</v>
      </c>
      <c r="Q2057" s="2">
        <v>6.9</v>
      </c>
      <c r="R2057" s="2" t="s">
        <v>4462</v>
      </c>
      <c r="S2057" s="2"/>
      <c r="AC2057" s="2"/>
      <c r="AD2057" t="str">
        <f>IFERROR(__xludf.DUMMYFUNCTION("""COMPUTED_VALUE"""),"Darling Lili ")</f>
        <v>Darling Lili </v>
      </c>
      <c r="AE2057">
        <f t="shared" si="61"/>
        <v>4999857</v>
      </c>
    </row>
    <row r="2058" customHeight="1" spans="1:31">
      <c r="A2058" s="2" t="s">
        <v>2272</v>
      </c>
      <c r="B2058" s="2">
        <v>124</v>
      </c>
      <c r="C2058" s="2">
        <v>19661987</v>
      </c>
      <c r="D2058" s="2" t="s">
        <v>30</v>
      </c>
      <c r="E2058" s="2" t="s">
        <v>30</v>
      </c>
      <c r="F2058" t="s">
        <v>30</v>
      </c>
      <c r="G2058" t="s">
        <v>17</v>
      </c>
      <c r="N2058" s="2" t="s">
        <v>18</v>
      </c>
      <c r="O2058" s="2" t="s">
        <v>19</v>
      </c>
      <c r="P2058" s="2">
        <v>20000000</v>
      </c>
      <c r="Q2058" s="2">
        <v>7.5</v>
      </c>
      <c r="R2058" s="2" t="s">
        <v>4463</v>
      </c>
      <c r="S2058" s="2"/>
      <c r="AC2058" s="2"/>
      <c r="AD2058" t="str">
        <f>IFERROR(__xludf.DUMMYFUNCTION("""COMPUTED_VALUE"""),"Dudley Do-Right ")</f>
        <v>Dudley Do-Right </v>
      </c>
      <c r="AE2058">
        <f t="shared" si="61"/>
        <v>9694028</v>
      </c>
    </row>
    <row r="2059" customHeight="1" spans="1:31">
      <c r="A2059" s="2" t="s">
        <v>1424</v>
      </c>
      <c r="B2059" s="2">
        <v>148</v>
      </c>
      <c r="C2059" s="2">
        <v>18352454</v>
      </c>
      <c r="D2059" s="2" t="s">
        <v>4464</v>
      </c>
      <c r="E2059" s="2" t="s">
        <v>13</v>
      </c>
      <c r="F2059" t="s">
        <v>30</v>
      </c>
      <c r="G2059" t="s">
        <v>39</v>
      </c>
      <c r="N2059" s="2" t="s">
        <v>18</v>
      </c>
      <c r="O2059" s="2" t="s">
        <v>19</v>
      </c>
      <c r="P2059" s="2">
        <v>15000000</v>
      </c>
      <c r="Q2059" s="2">
        <v>8.2</v>
      </c>
      <c r="R2059" s="2" t="s">
        <v>4465</v>
      </c>
      <c r="S2059" s="2"/>
      <c r="AC2059" s="2"/>
      <c r="AD2059" t="str">
        <f>IFERROR(__xludf.DUMMYFUNCTION("""COMPUTED_VALUE"""),"The Transporter Refueled ")</f>
        <v>The Transporter Refueled </v>
      </c>
      <c r="AE2059">
        <f t="shared" si="61"/>
        <v>16027770</v>
      </c>
    </row>
    <row r="2060" customHeight="1" spans="1:31">
      <c r="A2060" s="2" t="s">
        <v>788</v>
      </c>
      <c r="B2060" s="2">
        <v>108</v>
      </c>
      <c r="C2060" s="2">
        <v>17803796</v>
      </c>
      <c r="D2060" s="2" t="s">
        <v>40</v>
      </c>
      <c r="E2060" s="2" t="s">
        <v>40</v>
      </c>
      <c r="F2060" t="s">
        <v>30</v>
      </c>
      <c r="G2060" t="s">
        <v>23</v>
      </c>
      <c r="N2060" s="2" t="s">
        <v>18</v>
      </c>
      <c r="O2060" s="2" t="s">
        <v>19</v>
      </c>
      <c r="P2060" s="2">
        <v>20000000</v>
      </c>
      <c r="Q2060" s="2">
        <v>5.9</v>
      </c>
      <c r="R2060" s="2" t="s">
        <v>4466</v>
      </c>
      <c r="S2060" s="2"/>
      <c r="AC2060" s="2"/>
      <c r="AD2060" t="str">
        <f>IFERROR(__xludf.DUMMYFUNCTION("""COMPUTED_VALUE"""),"Black Book ")</f>
        <v>Black Book </v>
      </c>
      <c r="AE2060">
        <f t="shared" si="61"/>
        <v>4398247</v>
      </c>
    </row>
    <row r="2061" customHeight="1" spans="1:31">
      <c r="A2061" s="2" t="s">
        <v>2274</v>
      </c>
      <c r="B2061" s="2">
        <v>95</v>
      </c>
      <c r="C2061" s="2">
        <v>17529157</v>
      </c>
      <c r="D2061" s="2" t="s">
        <v>4467</v>
      </c>
      <c r="E2061" s="2" t="s">
        <v>13</v>
      </c>
      <c r="F2061" t="s">
        <v>56</v>
      </c>
      <c r="G2061" t="s">
        <v>17</v>
      </c>
      <c r="N2061" s="2" t="s">
        <v>18</v>
      </c>
      <c r="O2061" s="2" t="s">
        <v>707</v>
      </c>
      <c r="P2061" s="2">
        <v>20000000</v>
      </c>
      <c r="Q2061" s="2">
        <v>5</v>
      </c>
      <c r="R2061" s="2" t="s">
        <v>4468</v>
      </c>
      <c r="S2061" s="2"/>
      <c r="AC2061" s="2"/>
      <c r="AD2061" t="str">
        <f>IFERROR(__xludf.DUMMYFUNCTION("""COMPUTED_VALUE"""),"Joyeux Noel ")</f>
        <v>Joyeux Noel </v>
      </c>
      <c r="AE2061">
        <f t="shared" si="61"/>
        <v>1050329</v>
      </c>
    </row>
    <row r="2062" customHeight="1" spans="1:31">
      <c r="A2062" s="2" t="s">
        <v>1225</v>
      </c>
      <c r="B2062" s="2">
        <v>108</v>
      </c>
      <c r="C2062" s="2">
        <v>25753840</v>
      </c>
      <c r="D2062" s="2" t="s">
        <v>4469</v>
      </c>
      <c r="E2062" s="2" t="s">
        <v>56</v>
      </c>
      <c r="F2062" t="s">
        <v>56</v>
      </c>
      <c r="G2062" t="s">
        <v>28</v>
      </c>
      <c r="N2062" s="2" t="s">
        <v>18</v>
      </c>
      <c r="O2062" s="2" t="s">
        <v>19</v>
      </c>
      <c r="P2062" s="2">
        <v>19000000</v>
      </c>
      <c r="Q2062" s="2">
        <v>7.3</v>
      </c>
      <c r="R2062" s="2" t="s">
        <v>4470</v>
      </c>
      <c r="S2062" s="2"/>
      <c r="AC2062" s="2"/>
      <c r="AD2062" t="str">
        <f>IFERROR(__xludf.DUMMYFUNCTION("""COMPUTED_VALUE"""),"Hit and Run ")</f>
        <v>Hit and Run </v>
      </c>
      <c r="AE2062">
        <f t="shared" si="61"/>
        <v>13746450</v>
      </c>
    </row>
    <row r="2063" customHeight="1" spans="1:31">
      <c r="A2063" s="2" t="s">
        <v>2276</v>
      </c>
      <c r="B2063" s="2">
        <v>68</v>
      </c>
      <c r="C2063" s="2">
        <v>18081626</v>
      </c>
      <c r="D2063" s="2" t="s">
        <v>4471</v>
      </c>
      <c r="E2063" s="2" t="s">
        <v>35</v>
      </c>
      <c r="F2063" t="s">
        <v>23</v>
      </c>
      <c r="G2063" t="s">
        <v>17</v>
      </c>
      <c r="N2063" s="2" t="s">
        <v>18</v>
      </c>
      <c r="O2063" s="2" t="s">
        <v>19</v>
      </c>
      <c r="P2063" s="2">
        <v>20000000</v>
      </c>
      <c r="Q2063" s="2">
        <v>6.4</v>
      </c>
      <c r="R2063" s="2" t="s">
        <v>4472</v>
      </c>
      <c r="S2063" s="2"/>
      <c r="AC2063" s="2"/>
      <c r="AD2063" t="str">
        <f>IFERROR(__xludf.DUMMYFUNCTION("""COMPUTED_VALUE"""),"Mad Money ")</f>
        <v>Mad Money </v>
      </c>
      <c r="AE2063">
        <f t="shared" si="61"/>
        <v>20668739</v>
      </c>
    </row>
    <row r="2064" customHeight="1" spans="1:31">
      <c r="A2064" s="2" t="s">
        <v>1978</v>
      </c>
      <c r="B2064" s="2">
        <v>103</v>
      </c>
      <c r="C2064" s="2">
        <v>17518220</v>
      </c>
      <c r="D2064" s="2" t="s">
        <v>521</v>
      </c>
      <c r="E2064" s="2" t="s">
        <v>40</v>
      </c>
      <c r="F2064" t="s">
        <v>23</v>
      </c>
      <c r="G2064" t="s">
        <v>17</v>
      </c>
      <c r="N2064" s="2" t="s">
        <v>18</v>
      </c>
      <c r="O2064" s="2" t="s">
        <v>19</v>
      </c>
      <c r="P2064" s="2">
        <v>20000000</v>
      </c>
      <c r="Q2064" s="2">
        <v>6.6</v>
      </c>
      <c r="R2064" s="2" t="s">
        <v>4473</v>
      </c>
      <c r="S2064" s="2"/>
      <c r="AC2064" s="2"/>
      <c r="AD2064" t="str">
        <f>IFERROR(__xludf.DUMMYFUNCTION("""COMPUTED_VALUE"""),"Before I Go to Sleep ")</f>
        <v>Before I Go to Sleep </v>
      </c>
      <c r="AE2064">
        <f t="shared" si="61"/>
        <v>2962920</v>
      </c>
    </row>
    <row r="2065" customHeight="1" spans="1:31">
      <c r="A2065" s="2" t="s">
        <v>2279</v>
      </c>
      <c r="B2065" s="2">
        <v>99</v>
      </c>
      <c r="C2065" s="2">
        <v>17104669</v>
      </c>
      <c r="D2065" s="2" t="s">
        <v>4474</v>
      </c>
      <c r="E2065" s="2" t="s">
        <v>12</v>
      </c>
      <c r="F2065" t="s">
        <v>72</v>
      </c>
      <c r="G2065" t="s">
        <v>30</v>
      </c>
      <c r="N2065" s="2" t="s">
        <v>3028</v>
      </c>
      <c r="O2065" s="2" t="s">
        <v>1554</v>
      </c>
      <c r="P2065" s="2">
        <v>20000000</v>
      </c>
      <c r="Q2065" s="2">
        <v>7.8</v>
      </c>
      <c r="R2065" s="2" t="s">
        <v>4475</v>
      </c>
      <c r="S2065" s="2"/>
      <c r="AC2065" s="2"/>
      <c r="AD2065" t="str">
        <f>IFERROR(__xludf.DUMMYFUNCTION("""COMPUTED_VALUE"""),"Stone ")</f>
        <v>Stone </v>
      </c>
      <c r="AE2065">
        <f t="shared" si="61"/>
        <v>1795919</v>
      </c>
    </row>
    <row r="2066" customHeight="1" spans="1:31">
      <c r="A2066" s="2" t="s">
        <v>2281</v>
      </c>
      <c r="B2066" s="2">
        <v>88</v>
      </c>
      <c r="C2066" s="2">
        <v>16988996</v>
      </c>
      <c r="D2066" s="2" t="s">
        <v>4476</v>
      </c>
      <c r="E2066" s="2" t="s">
        <v>40</v>
      </c>
      <c r="F2066" t="s">
        <v>30</v>
      </c>
      <c r="G2066" t="s">
        <v>15</v>
      </c>
      <c r="N2066" s="2" t="s">
        <v>18</v>
      </c>
      <c r="O2066" s="2" t="s">
        <v>19</v>
      </c>
      <c r="P2066" s="2">
        <v>35000000</v>
      </c>
      <c r="Q2066" s="2">
        <v>4</v>
      </c>
      <c r="R2066" s="2" t="s">
        <v>4477</v>
      </c>
      <c r="S2066" s="2"/>
      <c r="AC2066" s="2"/>
      <c r="AD2066" t="str">
        <f>IFERROR(__xludf.DUMMYFUNCTION("""COMPUTED_VALUE"""),"Molière ")</f>
        <v>Molière </v>
      </c>
      <c r="AE2066">
        <f t="shared" si="61"/>
        <v>634157</v>
      </c>
    </row>
    <row r="2067" customHeight="1" spans="1:31">
      <c r="A2067" s="2" t="s">
        <v>69</v>
      </c>
      <c r="B2067" s="2">
        <v>128</v>
      </c>
      <c r="C2067" s="2">
        <v>15797907</v>
      </c>
      <c r="D2067" s="2" t="s">
        <v>30</v>
      </c>
      <c r="E2067" s="2" t="s">
        <v>30</v>
      </c>
      <c r="F2067" t="s">
        <v>28</v>
      </c>
      <c r="G2067" t="s">
        <v>17</v>
      </c>
      <c r="N2067" s="2" t="s">
        <v>4478</v>
      </c>
      <c r="O2067" s="2" t="s">
        <v>19</v>
      </c>
      <c r="P2067" s="2">
        <v>20000000</v>
      </c>
      <c r="Q2067" s="2">
        <v>7.6</v>
      </c>
      <c r="R2067" s="2" t="s">
        <v>4479</v>
      </c>
      <c r="S2067" s="2"/>
      <c r="AC2067" s="2"/>
      <c r="AD2067" t="str">
        <f>IFERROR(__xludf.DUMMYFUNCTION("""COMPUTED_VALUE"""),"Out of the Furnace ")</f>
        <v>Out of the Furnace </v>
      </c>
      <c r="AE2067">
        <f t="shared" si="61"/>
        <v>11326720</v>
      </c>
    </row>
    <row r="2068" customHeight="1" spans="1:31">
      <c r="A2068" s="2" t="s">
        <v>424</v>
      </c>
      <c r="B2068" s="2">
        <v>124</v>
      </c>
      <c r="C2068" s="2">
        <v>16248701</v>
      </c>
      <c r="D2068" s="2" t="s">
        <v>30</v>
      </c>
      <c r="E2068" s="2" t="s">
        <v>30</v>
      </c>
      <c r="F2068" t="s">
        <v>30</v>
      </c>
      <c r="G2068" t="s">
        <v>30</v>
      </c>
      <c r="N2068" s="2" t="s">
        <v>18</v>
      </c>
      <c r="O2068" s="2" t="s">
        <v>19</v>
      </c>
      <c r="P2068" s="2">
        <v>20000000</v>
      </c>
      <c r="Q2068" s="2">
        <v>7.7</v>
      </c>
      <c r="R2068" s="2" t="s">
        <v>4480</v>
      </c>
      <c r="S2068" s="2"/>
      <c r="AC2068" s="2"/>
      <c r="AD2068" t="str">
        <f>IFERROR(__xludf.DUMMYFUNCTION("""COMPUTED_VALUE"""),"Michael Clayton ")</f>
        <v>Michael Clayton </v>
      </c>
      <c r="AE2068">
        <f t="shared" si="61"/>
        <v>49024850</v>
      </c>
    </row>
    <row r="2069" customHeight="1" spans="1:31">
      <c r="A2069" s="2" t="s">
        <v>2283</v>
      </c>
      <c r="B2069" s="2">
        <v>84</v>
      </c>
      <c r="C2069" s="2">
        <v>15712072</v>
      </c>
      <c r="D2069" s="2" t="s">
        <v>186</v>
      </c>
      <c r="E2069" s="2" t="s">
        <v>12</v>
      </c>
      <c r="F2069" t="s">
        <v>28</v>
      </c>
      <c r="G2069" t="s">
        <v>30</v>
      </c>
      <c r="N2069" s="2" t="s">
        <v>18</v>
      </c>
      <c r="O2069" s="2" t="s">
        <v>19</v>
      </c>
      <c r="P2069" s="2">
        <v>20000000</v>
      </c>
      <c r="Q2069" s="2">
        <v>5.8</v>
      </c>
      <c r="R2069" s="2" t="s">
        <v>4481</v>
      </c>
      <c r="S2069" s="2"/>
      <c r="AC2069" s="2"/>
      <c r="AD2069" t="str">
        <f>IFERROR(__xludf.DUMMYFUNCTION("""COMPUTED_VALUE"""),"My Fellow Americans ")</f>
        <v>My Fellow Americans </v>
      </c>
      <c r="AE2069">
        <f t="shared" si="61"/>
        <v>22294240</v>
      </c>
    </row>
    <row r="2070" customHeight="1" spans="1:31">
      <c r="A2070" s="2" t="s">
        <v>2286</v>
      </c>
      <c r="B2070" s="2">
        <v>101</v>
      </c>
      <c r="C2070" s="2">
        <v>15408822</v>
      </c>
      <c r="D2070" s="2" t="s">
        <v>607</v>
      </c>
      <c r="E2070" s="2" t="s">
        <v>40</v>
      </c>
      <c r="F2070" t="s">
        <v>30</v>
      </c>
      <c r="G2070" t="s">
        <v>14</v>
      </c>
      <c r="N2070" s="2" t="s">
        <v>18</v>
      </c>
      <c r="O2070" s="2" t="s">
        <v>19</v>
      </c>
      <c r="P2070" s="2">
        <v>20000000</v>
      </c>
      <c r="Q2070" s="2">
        <v>5.6</v>
      </c>
      <c r="R2070" s="2" t="s">
        <v>4482</v>
      </c>
      <c r="S2070" s="2"/>
      <c r="AC2070" s="2"/>
      <c r="AD2070" t="str">
        <f>IFERROR(__xludf.DUMMYFUNCTION("""COMPUTED_VALUE"""),"Arlington Road ")</f>
        <v>Arlington Road </v>
      </c>
      <c r="AE2070">
        <f t="shared" si="61"/>
        <v>24362384</v>
      </c>
    </row>
    <row r="2071" customHeight="1" spans="1:31">
      <c r="A2071" s="2" t="s">
        <v>2289</v>
      </c>
      <c r="B2071" s="2">
        <v>98</v>
      </c>
      <c r="C2071" s="2">
        <v>15464026</v>
      </c>
      <c r="D2071" s="2" t="s">
        <v>607</v>
      </c>
      <c r="E2071" s="2" t="s">
        <v>40</v>
      </c>
      <c r="F2071" t="s">
        <v>30</v>
      </c>
      <c r="G2071" t="s">
        <v>17</v>
      </c>
      <c r="N2071" s="2" t="s">
        <v>18</v>
      </c>
      <c r="O2071" s="2" t="s">
        <v>19</v>
      </c>
      <c r="P2071" s="2">
        <v>20000000</v>
      </c>
      <c r="Q2071" s="2">
        <v>5.3</v>
      </c>
      <c r="R2071" s="2" t="s">
        <v>4483</v>
      </c>
      <c r="S2071" s="2"/>
      <c r="AC2071" s="2"/>
      <c r="AD2071" t="str">
        <f>IFERROR(__xludf.DUMMYFUNCTION("""COMPUTED_VALUE"""),"To Rome with Love ")</f>
        <v>To Rome with Love </v>
      </c>
      <c r="AE2071">
        <f t="shared" si="61"/>
        <v>16684240</v>
      </c>
    </row>
    <row r="2072" customHeight="1" spans="1:31">
      <c r="A2072" s="2" t="s">
        <v>2291</v>
      </c>
      <c r="B2072" s="2">
        <v>225</v>
      </c>
      <c r="C2072" s="2">
        <v>8000000</v>
      </c>
      <c r="D2072" s="2" t="s">
        <v>2457</v>
      </c>
      <c r="E2072" s="2" t="s">
        <v>59</v>
      </c>
      <c r="F2072" t="s">
        <v>55</v>
      </c>
      <c r="G2072" t="s">
        <v>24</v>
      </c>
      <c r="N2072" s="2" t="s">
        <v>18</v>
      </c>
      <c r="O2072" s="2" t="s">
        <v>19</v>
      </c>
      <c r="P2072" s="2">
        <v>20000000</v>
      </c>
      <c r="Q2072" s="2">
        <v>6.6</v>
      </c>
      <c r="R2072" s="2" t="s">
        <v>4484</v>
      </c>
      <c r="S2072" s="2"/>
      <c r="AC2072" s="2"/>
      <c r="AD2072" t="str">
        <f>IFERROR(__xludf.DUMMYFUNCTION("""COMPUTED_VALUE"""),"Firefox ")</f>
        <v>Firefox </v>
      </c>
      <c r="AE2072">
        <f t="shared" si="61"/>
        <v>46699864</v>
      </c>
    </row>
    <row r="2073" customHeight="1" spans="1:31">
      <c r="A2073" s="2" t="s">
        <v>1834</v>
      </c>
      <c r="B2073" s="2">
        <v>88</v>
      </c>
      <c r="C2073" s="2">
        <v>14174654</v>
      </c>
      <c r="D2073" s="2" t="s">
        <v>40</v>
      </c>
      <c r="E2073" s="2" t="s">
        <v>40</v>
      </c>
      <c r="F2073" t="s">
        <v>83</v>
      </c>
      <c r="G2073" t="s">
        <v>17</v>
      </c>
      <c r="N2073" s="2" t="s">
        <v>18</v>
      </c>
      <c r="O2073" s="2" t="s">
        <v>19</v>
      </c>
      <c r="P2073" s="2">
        <v>25000000</v>
      </c>
      <c r="Q2073" s="2">
        <v>1.9</v>
      </c>
      <c r="R2073" s="2" t="s">
        <v>4485</v>
      </c>
      <c r="S2073" s="2"/>
      <c r="AC2073" s="2"/>
      <c r="AD2073" t="str">
        <f>IFERROR(__xludf.DUMMYFUNCTION("""COMPUTED_VALUE"""),"South Park: Bigger Longer &amp; Uncut ")</f>
        <v>South Park: Bigger Longer &amp; Uncut </v>
      </c>
      <c r="AE2073">
        <f t="shared" si="61"/>
        <v>52008207</v>
      </c>
    </row>
    <row r="2074" customHeight="1" spans="1:31">
      <c r="A2074" s="2" t="s">
        <v>1516</v>
      </c>
      <c r="B2074" s="2">
        <v>88</v>
      </c>
      <c r="C2074" s="2">
        <v>15988876</v>
      </c>
      <c r="D2074" s="2" t="s">
        <v>150</v>
      </c>
      <c r="E2074" s="2" t="s">
        <v>12</v>
      </c>
      <c r="F2074" t="s">
        <v>40</v>
      </c>
      <c r="G2074" t="s">
        <v>17</v>
      </c>
      <c r="N2074" s="2" t="s">
        <v>18</v>
      </c>
      <c r="O2074" s="2" t="s">
        <v>19</v>
      </c>
      <c r="P2074" s="2">
        <v>27000000</v>
      </c>
      <c r="Q2074" s="2">
        <v>5.7</v>
      </c>
      <c r="R2074" s="2" t="s">
        <v>4486</v>
      </c>
      <c r="S2074" s="2"/>
      <c r="AC2074" s="2"/>
      <c r="AD2074" t="str">
        <f>IFERROR(__xludf.DUMMYFUNCTION("""COMPUTED_VALUE"""),"Death at a Funeral ")</f>
        <v>Death at a Funeral </v>
      </c>
      <c r="AE2074">
        <f t="shared" si="61"/>
        <v>8579597</v>
      </c>
    </row>
    <row r="2075" customHeight="1" spans="1:31">
      <c r="A2075" s="2" t="s">
        <v>779</v>
      </c>
      <c r="B2075" s="2">
        <v>94</v>
      </c>
      <c r="C2075" s="2">
        <v>13801755</v>
      </c>
      <c r="D2075" s="2" t="s">
        <v>174</v>
      </c>
      <c r="E2075" s="2" t="s">
        <v>12</v>
      </c>
      <c r="F2075" t="s">
        <v>72</v>
      </c>
      <c r="G2075" t="s">
        <v>17</v>
      </c>
      <c r="N2075" s="2" t="s">
        <v>18</v>
      </c>
      <c r="O2075" s="2" t="s">
        <v>19</v>
      </c>
      <c r="P2075" s="2">
        <v>20000000</v>
      </c>
      <c r="Q2075" s="2">
        <v>6.6</v>
      </c>
      <c r="R2075" s="2" t="s">
        <v>4487</v>
      </c>
      <c r="S2075" s="2"/>
      <c r="AC2075" s="2"/>
      <c r="AD2075" t="str">
        <f>IFERROR(__xludf.DUMMYFUNCTION("""COMPUTED_VALUE"""),"Teenage Mutant Ninja Turtles III ")</f>
        <v>Teenage Mutant Ninja Turtles III </v>
      </c>
      <c r="AE2075">
        <f t="shared" si="61"/>
        <v>42659904</v>
      </c>
    </row>
    <row r="2076" customHeight="1" spans="1:31">
      <c r="A2076" s="2" t="s">
        <v>2294</v>
      </c>
      <c r="B2076" s="2">
        <v>117</v>
      </c>
      <c r="C2076" s="2">
        <v>13987482</v>
      </c>
      <c r="D2076" s="2" t="s">
        <v>607</v>
      </c>
      <c r="E2076" s="2" t="s">
        <v>40</v>
      </c>
      <c r="F2076" t="s">
        <v>30</v>
      </c>
      <c r="G2076" t="s">
        <v>24</v>
      </c>
      <c r="N2076" s="2" t="s">
        <v>18</v>
      </c>
      <c r="O2076" s="2" t="s">
        <v>19</v>
      </c>
      <c r="P2076" s="2">
        <v>20000000</v>
      </c>
      <c r="Q2076" s="2">
        <v>6</v>
      </c>
      <c r="R2076" s="2" t="s">
        <v>4488</v>
      </c>
      <c r="S2076" s="2"/>
      <c r="AC2076" s="2"/>
      <c r="AD2076" t="str">
        <f>IFERROR(__xludf.DUMMYFUNCTION("""COMPUTED_VALUE"""),"Hardball ")</f>
        <v>Hardball </v>
      </c>
      <c r="AE2076">
        <f t="shared" si="61"/>
        <v>40219602</v>
      </c>
    </row>
    <row r="2077" customHeight="1" spans="1:31">
      <c r="A2077" s="2" t="s">
        <v>2296</v>
      </c>
      <c r="B2077" s="2">
        <v>95</v>
      </c>
      <c r="C2077" s="2">
        <v>14291570</v>
      </c>
      <c r="D2077" s="2" t="s">
        <v>108</v>
      </c>
      <c r="E2077" s="2" t="s">
        <v>12</v>
      </c>
      <c r="F2077" t="s">
        <v>56</v>
      </c>
      <c r="G2077" t="s">
        <v>24</v>
      </c>
      <c r="N2077" s="2" t="s">
        <v>18</v>
      </c>
      <c r="O2077" s="2" t="s">
        <v>707</v>
      </c>
      <c r="P2077" s="2">
        <v>20000000</v>
      </c>
      <c r="Q2077" s="2">
        <v>6.1</v>
      </c>
      <c r="R2077" s="2" t="s">
        <v>4489</v>
      </c>
      <c r="S2077" s="2"/>
      <c r="AC2077" s="2"/>
      <c r="AD2077" t="str">
        <f>IFERROR(__xludf.DUMMYFUNCTION("""COMPUTED_VALUE"""),"Silver Linings Playbook ")</f>
        <v>Silver Linings Playbook </v>
      </c>
      <c r="AE2077">
        <f t="shared" si="61"/>
        <v>132088788</v>
      </c>
    </row>
    <row r="2078" customHeight="1" spans="1:31">
      <c r="A2078" s="2" t="s">
        <v>889</v>
      </c>
      <c r="B2078" s="2">
        <v>99</v>
      </c>
      <c r="C2078" s="2">
        <v>12181484</v>
      </c>
      <c r="D2078" s="2" t="s">
        <v>40</v>
      </c>
      <c r="E2078" s="2" t="s">
        <v>40</v>
      </c>
      <c r="F2078" t="s">
        <v>13</v>
      </c>
      <c r="G2078" t="s">
        <v>39</v>
      </c>
      <c r="N2078" s="2" t="s">
        <v>18</v>
      </c>
      <c r="O2078" s="2" t="s">
        <v>19</v>
      </c>
      <c r="P2078" s="2">
        <v>40000000</v>
      </c>
      <c r="Q2078" s="2">
        <v>4.8</v>
      </c>
      <c r="R2078" s="2" t="s">
        <v>4490</v>
      </c>
      <c r="S2078" s="2"/>
      <c r="AC2078" s="2"/>
      <c r="AD2078" t="str">
        <f>IFERROR(__xludf.DUMMYFUNCTION("""COMPUTED_VALUE"""),"Freedom Writers ")</f>
        <v>Freedom Writers </v>
      </c>
      <c r="AE2078">
        <f t="shared" si="61"/>
        <v>36581510</v>
      </c>
    </row>
    <row r="2079" customHeight="1" spans="1:31">
      <c r="A2079" s="2" t="s">
        <v>1164</v>
      </c>
      <c r="B2079" s="2">
        <v>96</v>
      </c>
      <c r="C2079" s="2">
        <v>13630226</v>
      </c>
      <c r="D2079" s="2" t="s">
        <v>516</v>
      </c>
      <c r="E2079" s="2" t="s">
        <v>12</v>
      </c>
      <c r="F2079" t="s">
        <v>30</v>
      </c>
      <c r="G2079" t="s">
        <v>55</v>
      </c>
      <c r="N2079" s="2" t="s">
        <v>18</v>
      </c>
      <c r="O2079" s="2" t="s">
        <v>19</v>
      </c>
      <c r="P2079" s="2">
        <v>20000000</v>
      </c>
      <c r="Q2079" s="2">
        <v>6.2</v>
      </c>
      <c r="R2079" s="2" t="s">
        <v>4491</v>
      </c>
      <c r="S2079" s="2"/>
      <c r="AC2079" s="2"/>
      <c r="AD2079" t="str">
        <f>IFERROR(__xludf.DUMMYFUNCTION("""COMPUTED_VALUE"""),"The Transporter ")</f>
        <v>The Transporter </v>
      </c>
      <c r="AE2079">
        <f t="shared" si="61"/>
        <v>25296355</v>
      </c>
    </row>
    <row r="2080" customHeight="1" spans="1:31">
      <c r="A2080" s="2" t="s">
        <v>1814</v>
      </c>
      <c r="B2080" s="2">
        <v>98</v>
      </c>
      <c r="C2080" s="2">
        <v>13383737</v>
      </c>
      <c r="D2080" s="2" t="s">
        <v>383</v>
      </c>
      <c r="E2080" s="2" t="s">
        <v>40</v>
      </c>
      <c r="F2080" t="s">
        <v>17</v>
      </c>
      <c r="G2080" t="s">
        <v>30</v>
      </c>
      <c r="N2080" s="2" t="s">
        <v>18</v>
      </c>
      <c r="O2080" s="2" t="s">
        <v>19</v>
      </c>
      <c r="P2080" s="2">
        <v>20000000</v>
      </c>
      <c r="Q2080" s="2">
        <v>7.5</v>
      </c>
      <c r="R2080" s="2" t="s">
        <v>4492</v>
      </c>
      <c r="S2080" s="2"/>
      <c r="AC2080" s="2"/>
      <c r="AD2080" t="str">
        <f>IFERROR(__xludf.DUMMYFUNCTION("""COMPUTED_VALUE"""),"Never Back Down ")</f>
        <v>Never Back Down </v>
      </c>
      <c r="AE2080">
        <f t="shared" si="61"/>
        <v>24848182</v>
      </c>
    </row>
    <row r="2081" customHeight="1" spans="1:31">
      <c r="A2081" s="2" t="s">
        <v>2298</v>
      </c>
      <c r="B2081" s="2">
        <v>123</v>
      </c>
      <c r="C2081" s="2">
        <v>13391174</v>
      </c>
      <c r="D2081" s="2" t="s">
        <v>2457</v>
      </c>
      <c r="E2081" s="2" t="s">
        <v>59</v>
      </c>
      <c r="F2081" t="s">
        <v>14</v>
      </c>
      <c r="G2081" t="s">
        <v>24</v>
      </c>
      <c r="N2081" s="2" t="s">
        <v>18</v>
      </c>
      <c r="O2081" s="2" t="s">
        <v>19</v>
      </c>
      <c r="P2081" s="2">
        <v>20000000</v>
      </c>
      <c r="Q2081" s="2">
        <v>6.3</v>
      </c>
      <c r="R2081" s="2" t="s">
        <v>4493</v>
      </c>
      <c r="S2081" s="2"/>
      <c r="AC2081" s="2"/>
      <c r="AD2081" t="str">
        <f>IFERROR(__xludf.DUMMYFUNCTION("""COMPUTED_VALUE"""),"The Rage: Carrie 2 ")</f>
        <v>The Rage: Carrie 2 </v>
      </c>
      <c r="AE2081">
        <f t="shared" si="61"/>
        <v>17756983</v>
      </c>
    </row>
    <row r="2082" customHeight="1" spans="1:31">
      <c r="A2082" s="2" t="s">
        <v>447</v>
      </c>
      <c r="B2082" s="2">
        <v>101</v>
      </c>
      <c r="C2082" s="2">
        <v>12987647</v>
      </c>
      <c r="D2082" s="2" t="s">
        <v>4494</v>
      </c>
      <c r="E2082" s="2" t="s">
        <v>30</v>
      </c>
      <c r="F2082" t="s">
        <v>30</v>
      </c>
      <c r="G2082" t="s">
        <v>15</v>
      </c>
      <c r="N2082" s="2" t="s">
        <v>18</v>
      </c>
      <c r="O2082" s="2" t="s">
        <v>31</v>
      </c>
      <c r="P2082" s="2">
        <v>30000000</v>
      </c>
      <c r="Q2082" s="2">
        <v>7.1</v>
      </c>
      <c r="R2082" s="2" t="s">
        <v>4495</v>
      </c>
      <c r="S2082" s="2"/>
      <c r="AC2082" s="2"/>
      <c r="AD2082" t="str">
        <f>IFERROR(__xludf.DUMMYFUNCTION("""COMPUTED_VALUE"""),"Away We Go ")</f>
        <v>Away We Go </v>
      </c>
      <c r="AE2082">
        <f t="shared" si="61"/>
        <v>9430890</v>
      </c>
    </row>
    <row r="2083" customHeight="1" spans="1:31">
      <c r="A2083" s="2" t="s">
        <v>21</v>
      </c>
      <c r="B2083" s="2">
        <v>102</v>
      </c>
      <c r="C2083" s="2">
        <v>12469811</v>
      </c>
      <c r="D2083" s="2" t="s">
        <v>975</v>
      </c>
      <c r="E2083" s="2" t="s">
        <v>40</v>
      </c>
      <c r="F2083" t="s">
        <v>59</v>
      </c>
      <c r="G2083" t="s">
        <v>24</v>
      </c>
      <c r="N2083" s="2" t="s">
        <v>18</v>
      </c>
      <c r="O2083" s="2" t="s">
        <v>19</v>
      </c>
      <c r="P2083" s="2">
        <v>22000000</v>
      </c>
      <c r="Q2083" s="2">
        <v>6.6</v>
      </c>
      <c r="R2083" s="2" t="s">
        <v>4496</v>
      </c>
      <c r="S2083" s="2"/>
      <c r="AC2083" s="2"/>
      <c r="AD2083" t="str">
        <f>IFERROR(__xludf.DUMMYFUNCTION("""COMPUTED_VALUE"""),"Swing Vote ")</f>
        <v>Swing Vote </v>
      </c>
      <c r="AE2083">
        <f t="shared" si="61"/>
        <v>16284240</v>
      </c>
    </row>
    <row r="2084" customHeight="1" spans="1:31">
      <c r="A2084" s="2" t="s">
        <v>1132</v>
      </c>
      <c r="B2084" s="2">
        <v>94</v>
      </c>
      <c r="C2084" s="2">
        <v>12398628</v>
      </c>
      <c r="D2084" s="2" t="s">
        <v>4497</v>
      </c>
      <c r="E2084" s="2" t="s">
        <v>12</v>
      </c>
      <c r="F2084" t="s">
        <v>56</v>
      </c>
      <c r="G2084" t="s">
        <v>56</v>
      </c>
      <c r="N2084" s="2" t="s">
        <v>18</v>
      </c>
      <c r="O2084" s="2" t="s">
        <v>19</v>
      </c>
      <c r="P2084" s="2">
        <v>20000000</v>
      </c>
      <c r="Q2084" s="2">
        <v>6.1</v>
      </c>
      <c r="R2084" s="2" t="s">
        <v>4498</v>
      </c>
      <c r="S2084" s="2"/>
      <c r="AC2084" s="2"/>
      <c r="AD2084" t="str">
        <f>IFERROR(__xludf.DUMMYFUNCTION("""COMPUTED_VALUE"""),"Moonlight Mile ")</f>
        <v>Moonlight Mile </v>
      </c>
      <c r="AE2084">
        <f t="shared" si="61"/>
        <v>6830845</v>
      </c>
    </row>
    <row r="2085" customHeight="1" spans="1:31">
      <c r="A2085" s="2" t="s">
        <v>1144</v>
      </c>
      <c r="B2085" s="2">
        <v>102</v>
      </c>
      <c r="C2085" s="2">
        <v>13214030</v>
      </c>
      <c r="D2085" s="2" t="s">
        <v>959</v>
      </c>
      <c r="E2085" s="2" t="s">
        <v>40</v>
      </c>
      <c r="F2085" t="s">
        <v>83</v>
      </c>
      <c r="G2085" t="s">
        <v>24</v>
      </c>
      <c r="N2085" s="2" t="s">
        <v>18</v>
      </c>
      <c r="O2085" s="2" t="s">
        <v>19</v>
      </c>
      <c r="P2085" s="2">
        <v>20000000</v>
      </c>
      <c r="Q2085" s="2">
        <v>6.7</v>
      </c>
      <c r="R2085" s="2" t="s">
        <v>4499</v>
      </c>
      <c r="S2085" s="2"/>
      <c r="AC2085" s="2"/>
      <c r="AD2085" t="str">
        <f>IFERROR(__xludf.DUMMYFUNCTION("""COMPUTED_VALUE"""),"Tinker Tailor Soldier Spy ")</f>
        <v>Tinker Tailor Soldier Spy </v>
      </c>
      <c r="AE2085">
        <f t="shared" si="61"/>
        <v>24103986</v>
      </c>
    </row>
    <row r="2086" customHeight="1" spans="1:31">
      <c r="A2086" s="2" t="s">
        <v>709</v>
      </c>
      <c r="B2086" s="2">
        <v>108</v>
      </c>
      <c r="C2086" s="2">
        <v>12232937</v>
      </c>
      <c r="D2086" s="2" t="s">
        <v>150</v>
      </c>
      <c r="E2086" s="2" t="s">
        <v>12</v>
      </c>
      <c r="F2086" t="s">
        <v>56</v>
      </c>
      <c r="G2086" t="s">
        <v>30</v>
      </c>
      <c r="N2086" s="2" t="s">
        <v>18</v>
      </c>
      <c r="O2086" s="2" t="s">
        <v>19</v>
      </c>
      <c r="P2086" s="2">
        <v>22000000</v>
      </c>
      <c r="Q2086" s="2">
        <v>5.6</v>
      </c>
      <c r="R2086" s="2" t="s">
        <v>4500</v>
      </c>
      <c r="S2086" s="2"/>
      <c r="AC2086" s="2"/>
      <c r="AD2086" t="str">
        <f>IFERROR(__xludf.DUMMYFUNCTION("""COMPUTED_VALUE"""),"Molly ")</f>
        <v>Molly </v>
      </c>
      <c r="AE2086">
        <f t="shared" si="61"/>
        <v>15491</v>
      </c>
    </row>
    <row r="2087" customHeight="1" spans="1:31">
      <c r="A2087" s="2" t="s">
        <v>233</v>
      </c>
      <c r="B2087" s="2">
        <v>116</v>
      </c>
      <c r="C2087" s="2">
        <v>12134420</v>
      </c>
      <c r="D2087" s="2" t="s">
        <v>4501</v>
      </c>
      <c r="E2087" s="2" t="s">
        <v>30</v>
      </c>
      <c r="F2087" t="s">
        <v>30</v>
      </c>
      <c r="G2087" t="s">
        <v>24</v>
      </c>
      <c r="N2087" s="2" t="s">
        <v>18</v>
      </c>
      <c r="O2087" s="2" t="s">
        <v>31</v>
      </c>
      <c r="P2087" s="2">
        <v>20000000</v>
      </c>
      <c r="Q2087" s="2">
        <v>7.2</v>
      </c>
      <c r="R2087" s="2" t="s">
        <v>4502</v>
      </c>
      <c r="S2087" s="2"/>
      <c r="AC2087" s="2"/>
      <c r="AD2087" t="str">
        <f>IFERROR(__xludf.DUMMYFUNCTION("""COMPUTED_VALUE"""),"The Beaver ")</f>
        <v>The Beaver </v>
      </c>
      <c r="AE2087">
        <f t="shared" si="61"/>
        <v>958228</v>
      </c>
    </row>
    <row r="2088" customHeight="1" spans="1:31">
      <c r="A2088" s="2" t="s">
        <v>2301</v>
      </c>
      <c r="B2088" s="2">
        <v>93</v>
      </c>
      <c r="C2088" s="2">
        <v>11784000</v>
      </c>
      <c r="D2088" s="2" t="s">
        <v>3780</v>
      </c>
      <c r="E2088" s="2" t="s">
        <v>12</v>
      </c>
      <c r="F2088" t="s">
        <v>17</v>
      </c>
      <c r="G2088" t="s">
        <v>72</v>
      </c>
      <c r="N2088" s="2" t="s">
        <v>18</v>
      </c>
      <c r="O2088" s="2" t="s">
        <v>19</v>
      </c>
      <c r="P2088" s="2">
        <v>20000000</v>
      </c>
      <c r="Q2088" s="2">
        <v>4.3</v>
      </c>
      <c r="R2088" s="2" t="s">
        <v>4503</v>
      </c>
      <c r="S2088" s="2"/>
      <c r="AC2088" s="2"/>
      <c r="AD2088" t="str">
        <f>IFERROR(__xludf.DUMMYFUNCTION("""COMPUTED_VALUE"""),"The Best Little Whorehouse in Texas ")</f>
        <v>The Best Little Whorehouse in Texas </v>
      </c>
      <c r="AE2088">
        <f t="shared" si="61"/>
        <v>69699886</v>
      </c>
    </row>
    <row r="2089" customHeight="1" spans="1:31">
      <c r="A2089" s="2" t="s">
        <v>565</v>
      </c>
      <c r="B2089" s="2">
        <v>102</v>
      </c>
      <c r="C2089" s="2">
        <v>11169531</v>
      </c>
      <c r="D2089" s="2" t="s">
        <v>40</v>
      </c>
      <c r="E2089" s="2" t="s">
        <v>40</v>
      </c>
      <c r="F2089" t="s">
        <v>30</v>
      </c>
      <c r="G2089" t="s">
        <v>17</v>
      </c>
      <c r="N2089" s="2" t="s">
        <v>18</v>
      </c>
      <c r="O2089" s="2" t="s">
        <v>31</v>
      </c>
      <c r="P2089" s="2">
        <v>20000000</v>
      </c>
      <c r="Q2089" s="2">
        <v>6.4</v>
      </c>
      <c r="R2089" s="2" t="s">
        <v>4504</v>
      </c>
      <c r="S2089" s="2"/>
      <c r="AC2089" s="2"/>
      <c r="AD2089" t="str">
        <f>IFERROR(__xludf.DUMMYFUNCTION("""COMPUTED_VALUE"""),"eXistenZ ")</f>
        <v>eXistenZ </v>
      </c>
      <c r="AE2089">
        <f t="shared" si="61"/>
        <v>2840302</v>
      </c>
    </row>
    <row r="2090" customHeight="1" spans="1:31">
      <c r="A2090" s="2" t="s">
        <v>1377</v>
      </c>
      <c r="B2090" s="2">
        <v>103</v>
      </c>
      <c r="C2090" s="2">
        <v>11034436</v>
      </c>
      <c r="D2090" s="2" t="s">
        <v>4505</v>
      </c>
      <c r="E2090" s="2" t="s">
        <v>40</v>
      </c>
      <c r="F2090" t="s">
        <v>13</v>
      </c>
      <c r="G2090" t="s">
        <v>16</v>
      </c>
      <c r="N2090" s="2" t="s">
        <v>18</v>
      </c>
      <c r="O2090" s="2" t="s">
        <v>31</v>
      </c>
      <c r="P2090" s="2">
        <v>20000000</v>
      </c>
      <c r="Q2090" s="2">
        <v>7.1</v>
      </c>
      <c r="R2090" s="2" t="s">
        <v>4506</v>
      </c>
      <c r="S2090" s="2"/>
      <c r="AC2090" s="2"/>
      <c r="AD2090" t="str">
        <f>IFERROR(__xludf.DUMMYFUNCTION("""COMPUTED_VALUE"""),"Raiders of the Lost Ark ")</f>
        <v>Raiders of the Lost Ark </v>
      </c>
      <c r="AE2090">
        <f t="shared" si="61"/>
        <v>242374339</v>
      </c>
    </row>
    <row r="2091" customHeight="1" spans="1:31">
      <c r="A2091" s="2" t="s">
        <v>2091</v>
      </c>
      <c r="B2091" s="2">
        <v>115</v>
      </c>
      <c r="C2091" s="2">
        <v>12626905</v>
      </c>
      <c r="D2091" s="2" t="s">
        <v>186</v>
      </c>
      <c r="E2091" s="2" t="s">
        <v>12</v>
      </c>
      <c r="F2091" t="s">
        <v>24</v>
      </c>
      <c r="G2091" t="s">
        <v>30</v>
      </c>
      <c r="N2091" s="2" t="s">
        <v>18</v>
      </c>
      <c r="O2091" s="2" t="s">
        <v>19</v>
      </c>
      <c r="P2091" s="2">
        <v>20000000</v>
      </c>
      <c r="Q2091" s="2">
        <v>6.3</v>
      </c>
      <c r="R2091" s="2" t="s">
        <v>4507</v>
      </c>
      <c r="S2091" s="2"/>
      <c r="AC2091" s="2"/>
      <c r="AD2091" t="str">
        <f>IFERROR(__xludf.DUMMYFUNCTION("""COMPUTED_VALUE"""),"Home Alone 2: Lost in New York ")</f>
        <v>Home Alone 2: Lost in New York </v>
      </c>
      <c r="AE2091">
        <f t="shared" si="61"/>
        <v>173585396</v>
      </c>
    </row>
    <row r="2092" customHeight="1" spans="1:31">
      <c r="A2092" s="2" t="s">
        <v>1814</v>
      </c>
      <c r="B2092" s="2">
        <v>96</v>
      </c>
      <c r="C2092" s="2">
        <v>10569071</v>
      </c>
      <c r="D2092" s="2" t="s">
        <v>40</v>
      </c>
      <c r="E2092" s="2" t="s">
        <v>40</v>
      </c>
      <c r="F2092" t="s">
        <v>56</v>
      </c>
      <c r="G2092" t="s">
        <v>72</v>
      </c>
      <c r="N2092" s="2" t="s">
        <v>18</v>
      </c>
      <c r="O2092" s="2" t="s">
        <v>19</v>
      </c>
      <c r="P2092" s="2">
        <v>20000000</v>
      </c>
      <c r="Q2092" s="2">
        <v>7.4</v>
      </c>
      <c r="R2092" s="2" t="s">
        <v>4508</v>
      </c>
      <c r="S2092" s="2"/>
      <c r="AC2092" s="2"/>
      <c r="AD2092" t="str">
        <f>IFERROR(__xludf.DUMMYFUNCTION("""COMPUTED_VALUE"""),"Close Encounters of the Third Kind ")</f>
        <v>Close Encounters of the Third Kind </v>
      </c>
      <c r="AE2092">
        <f t="shared" si="61"/>
        <v>128299865</v>
      </c>
    </row>
    <row r="2093" customHeight="1" spans="1:31">
      <c r="A2093" s="2" t="s">
        <v>2304</v>
      </c>
      <c r="B2093" s="2">
        <v>98</v>
      </c>
      <c r="C2093" s="2">
        <v>10544143</v>
      </c>
      <c r="D2093" s="2" t="s">
        <v>607</v>
      </c>
      <c r="E2093" s="2" t="s">
        <v>40</v>
      </c>
      <c r="F2093" t="s">
        <v>30</v>
      </c>
      <c r="G2093" t="s">
        <v>30</v>
      </c>
      <c r="N2093" s="2" t="s">
        <v>18</v>
      </c>
      <c r="O2093" s="2" t="s">
        <v>159</v>
      </c>
      <c r="P2093" s="2">
        <v>20000000</v>
      </c>
      <c r="Q2093" s="2">
        <v>6.1</v>
      </c>
      <c r="R2093" s="2" t="s">
        <v>4509</v>
      </c>
      <c r="S2093" s="2"/>
      <c r="AC2093" s="2"/>
      <c r="AD2093" t="str">
        <f>IFERROR(__xludf.DUMMYFUNCTION("""COMPUTED_VALUE"""),"Pulse ")</f>
        <v>Pulse </v>
      </c>
      <c r="AE2093">
        <f t="shared" si="61"/>
        <v>20259207</v>
      </c>
    </row>
    <row r="2094" customHeight="1" spans="1:31">
      <c r="A2094" s="2" t="s">
        <v>2044</v>
      </c>
      <c r="B2094" s="2">
        <v>101</v>
      </c>
      <c r="C2094" s="2">
        <v>13650738</v>
      </c>
      <c r="D2094" s="2" t="s">
        <v>975</v>
      </c>
      <c r="E2094" s="2" t="s">
        <v>40</v>
      </c>
      <c r="F2094" t="s">
        <v>40</v>
      </c>
      <c r="G2094" t="s">
        <v>17</v>
      </c>
      <c r="N2094" s="2" t="s">
        <v>18</v>
      </c>
      <c r="O2094" s="2" t="s">
        <v>19</v>
      </c>
      <c r="P2094" s="2">
        <v>20000000</v>
      </c>
      <c r="Q2094" s="2">
        <v>6.6</v>
      </c>
      <c r="R2094" s="2" t="s">
        <v>4510</v>
      </c>
      <c r="S2094" s="2"/>
      <c r="AC2094" s="2"/>
      <c r="AD2094" t="str">
        <f>IFERROR(__xludf.DUMMYFUNCTION("""COMPUTED_VALUE"""),"Beverly Hills Cop II ")</f>
        <v>Beverly Hills Cop II </v>
      </c>
      <c r="AE2094">
        <f t="shared" si="61"/>
        <v>153664936</v>
      </c>
    </row>
    <row r="2095" customHeight="1" spans="1:31">
      <c r="A2095" s="2" t="s">
        <v>1255</v>
      </c>
      <c r="B2095" s="2">
        <v>106</v>
      </c>
      <c r="C2095" s="2">
        <v>10555348</v>
      </c>
      <c r="D2095" s="2" t="s">
        <v>383</v>
      </c>
      <c r="E2095" s="2" t="s">
        <v>40</v>
      </c>
      <c r="F2095" t="s">
        <v>30</v>
      </c>
      <c r="G2095" t="s">
        <v>17</v>
      </c>
      <c r="N2095" s="2" t="s">
        <v>18</v>
      </c>
      <c r="O2095" s="2" t="s">
        <v>19</v>
      </c>
      <c r="P2095" s="2">
        <v>20000000</v>
      </c>
      <c r="Q2095" s="2">
        <v>6</v>
      </c>
      <c r="R2095" s="2" t="s">
        <v>4511</v>
      </c>
      <c r="S2095" s="2"/>
      <c r="AC2095" s="2"/>
      <c r="AD2095" t="str">
        <f>IFERROR(__xludf.DUMMYFUNCTION("""COMPUTED_VALUE"""),"Bringing Down the House ")</f>
        <v>Bringing Down the House </v>
      </c>
      <c r="AE2095">
        <f t="shared" si="61"/>
        <v>132541133</v>
      </c>
    </row>
    <row r="2096" customHeight="1" spans="1:31">
      <c r="A2096" s="2" t="s">
        <v>1814</v>
      </c>
      <c r="B2096" s="2">
        <v>101</v>
      </c>
      <c r="C2096" s="2">
        <v>9714482</v>
      </c>
      <c r="D2096" s="2" t="s">
        <v>4512</v>
      </c>
      <c r="E2096" s="2" t="s">
        <v>40</v>
      </c>
      <c r="F2096" t="s">
        <v>17</v>
      </c>
      <c r="G2096" t="s">
        <v>30</v>
      </c>
      <c r="N2096" s="2" t="s">
        <v>18</v>
      </c>
      <c r="O2096" s="2" t="s">
        <v>19</v>
      </c>
      <c r="P2096" s="2">
        <v>20000000</v>
      </c>
      <c r="Q2096" s="2">
        <v>6.8</v>
      </c>
      <c r="R2096" s="2" t="s">
        <v>4513</v>
      </c>
      <c r="S2096" s="2"/>
      <c r="AC2096" s="2"/>
      <c r="AD2096" t="str">
        <f>IFERROR(__xludf.DUMMYFUNCTION("""COMPUTED_VALUE"""),"The Silence of the Lambs ")</f>
        <v>The Silence of the Lambs </v>
      </c>
      <c r="AE2096">
        <f t="shared" si="61"/>
        <v>130726862</v>
      </c>
    </row>
    <row r="2097" customHeight="1" spans="1:31">
      <c r="A2097" s="2" t="s">
        <v>149</v>
      </c>
      <c r="B2097" s="2">
        <v>111</v>
      </c>
      <c r="C2097" s="2">
        <v>9525276</v>
      </c>
      <c r="D2097" s="2" t="s">
        <v>150</v>
      </c>
      <c r="E2097" s="2" t="s">
        <v>12</v>
      </c>
      <c r="F2097" t="s">
        <v>13</v>
      </c>
      <c r="G2097" t="s">
        <v>17</v>
      </c>
      <c r="N2097" s="2" t="s">
        <v>18</v>
      </c>
      <c r="O2097" s="2" t="s">
        <v>19</v>
      </c>
      <c r="P2097" s="2">
        <v>20000000</v>
      </c>
      <c r="Q2097" s="2">
        <v>6.8</v>
      </c>
      <c r="R2097" s="2" t="s">
        <v>4514</v>
      </c>
      <c r="S2097" s="2"/>
      <c r="AC2097" s="2"/>
      <c r="AD2097" t="str">
        <f>IFERROR(__xludf.DUMMYFUNCTION("""COMPUTED_VALUE"""),"Wayne's World ")</f>
        <v>Wayne's World </v>
      </c>
      <c r="AE2097">
        <f t="shared" si="61"/>
        <v>121697256</v>
      </c>
    </row>
    <row r="2098" customHeight="1" spans="1:31">
      <c r="A2098" s="2" t="s">
        <v>1626</v>
      </c>
      <c r="B2098" s="2">
        <v>99</v>
      </c>
      <c r="C2098" s="2">
        <v>8855646</v>
      </c>
      <c r="D2098" s="2" t="s">
        <v>2943</v>
      </c>
      <c r="E2098" s="2" t="s">
        <v>13</v>
      </c>
      <c r="F2098" t="s">
        <v>30</v>
      </c>
      <c r="G2098" t="s">
        <v>15</v>
      </c>
      <c r="N2098" s="2" t="s">
        <v>18</v>
      </c>
      <c r="O2098" s="2" t="s">
        <v>19</v>
      </c>
      <c r="P2098" s="2">
        <v>21000000</v>
      </c>
      <c r="Q2098" s="2">
        <v>7.2</v>
      </c>
      <c r="R2098" s="2" t="s">
        <v>4515</v>
      </c>
      <c r="S2098" s="2"/>
      <c r="AC2098" s="2"/>
      <c r="AD2098" t="str">
        <f>IFERROR(__xludf.DUMMYFUNCTION("""COMPUTED_VALUE"""),"Jackass 3D ")</f>
        <v>Jackass 3D </v>
      </c>
      <c r="AE2098">
        <f t="shared" si="61"/>
        <v>117224170</v>
      </c>
    </row>
    <row r="2099" customHeight="1" spans="1:31">
      <c r="A2099" s="2" t="s">
        <v>2306</v>
      </c>
      <c r="B2099" s="2">
        <v>88</v>
      </c>
      <c r="C2099" s="2">
        <v>9109322</v>
      </c>
      <c r="D2099" s="2" t="s">
        <v>1033</v>
      </c>
      <c r="E2099" s="2" t="s">
        <v>40</v>
      </c>
      <c r="F2099" t="s">
        <v>40</v>
      </c>
      <c r="G2099" t="s">
        <v>28</v>
      </c>
      <c r="N2099" s="2" t="s">
        <v>18</v>
      </c>
      <c r="O2099" s="2" t="s">
        <v>293</v>
      </c>
      <c r="P2099" s="2">
        <v>20000000</v>
      </c>
      <c r="Q2099" s="2">
        <v>1.9</v>
      </c>
      <c r="R2099" s="2" t="s">
        <v>4516</v>
      </c>
      <c r="S2099" s="2"/>
      <c r="AC2099" s="2"/>
      <c r="AD2099" t="str">
        <f>IFERROR(__xludf.DUMMYFUNCTION("""COMPUTED_VALUE"""),"Jaws 2 ")</f>
        <v>Jaws 2 </v>
      </c>
      <c r="AE2099">
        <f t="shared" si="61"/>
        <v>102922245</v>
      </c>
    </row>
    <row r="2100" customHeight="1" spans="1:31">
      <c r="A2100" s="2" t="s">
        <v>807</v>
      </c>
      <c r="B2100" s="2">
        <v>83</v>
      </c>
      <c r="C2100" s="2">
        <v>8326035</v>
      </c>
      <c r="D2100" s="2" t="s">
        <v>635</v>
      </c>
      <c r="E2100" s="2" t="s">
        <v>12</v>
      </c>
      <c r="F2100" t="s">
        <v>59</v>
      </c>
      <c r="G2100" t="s">
        <v>17</v>
      </c>
      <c r="N2100" s="2" t="s">
        <v>18</v>
      </c>
      <c r="O2100" s="2" t="s">
        <v>293</v>
      </c>
      <c r="P2100" s="2">
        <v>33000000</v>
      </c>
      <c r="Q2100" s="2">
        <v>5.5</v>
      </c>
      <c r="R2100" s="2" t="s">
        <v>4517</v>
      </c>
      <c r="S2100" s="2"/>
      <c r="AC2100" s="2"/>
      <c r="AD2100" t="str">
        <f>IFERROR(__xludf.DUMMYFUNCTION("""COMPUTED_VALUE"""),"Beverly Hills Chihuahua ")</f>
        <v>Beverly Hills Chihuahua </v>
      </c>
      <c r="AE2100">
        <f t="shared" si="61"/>
        <v>94497180</v>
      </c>
    </row>
    <row r="2101" customHeight="1" spans="1:31">
      <c r="A2101" s="2" t="s">
        <v>807</v>
      </c>
      <c r="B2101" s="2">
        <v>91</v>
      </c>
      <c r="C2101" s="2">
        <v>8104069</v>
      </c>
      <c r="D2101" s="2" t="s">
        <v>635</v>
      </c>
      <c r="E2101" s="2" t="s">
        <v>12</v>
      </c>
      <c r="F2101" t="s">
        <v>56</v>
      </c>
      <c r="G2101" t="s">
        <v>24</v>
      </c>
      <c r="N2101" s="2" t="s">
        <v>18</v>
      </c>
      <c r="O2101" s="2" t="s">
        <v>19</v>
      </c>
      <c r="P2101" s="2">
        <v>20000000</v>
      </c>
      <c r="Q2101" s="2">
        <v>4.5</v>
      </c>
      <c r="R2101" s="2" t="s">
        <v>4518</v>
      </c>
      <c r="S2101" s="2"/>
      <c r="AC2101" s="2"/>
      <c r="AD2101" t="str">
        <f>IFERROR(__xludf.DUMMYFUNCTION("""COMPUTED_VALUE"""),"The Conjuring ")</f>
        <v>The Conjuring </v>
      </c>
      <c r="AE2101">
        <f t="shared" si="61"/>
        <v>137387160</v>
      </c>
    </row>
    <row r="2102" customHeight="1" spans="1:31">
      <c r="A2102" s="2" t="s">
        <v>989</v>
      </c>
      <c r="B2102" s="2">
        <v>108</v>
      </c>
      <c r="C2102" s="2">
        <v>8054280</v>
      </c>
      <c r="D2102" s="2" t="s">
        <v>1214</v>
      </c>
      <c r="E2102" s="2" t="s">
        <v>40</v>
      </c>
      <c r="F2102" t="s">
        <v>15</v>
      </c>
      <c r="G2102" t="s">
        <v>17</v>
      </c>
      <c r="N2102" s="2" t="s">
        <v>18</v>
      </c>
      <c r="O2102" s="2" t="s">
        <v>19</v>
      </c>
      <c r="P2102" s="2">
        <v>20000000</v>
      </c>
      <c r="Q2102" s="2">
        <v>6.3</v>
      </c>
      <c r="R2102" s="2" t="s">
        <v>4519</v>
      </c>
      <c r="S2102" s="2"/>
      <c r="AC2102" s="2"/>
      <c r="AD2102" t="str">
        <f>IFERROR(__xludf.DUMMYFUNCTION("""COMPUTED_VALUE"""),"Are We There Yet? ")</f>
        <v>Are We There Yet? </v>
      </c>
      <c r="AE2102">
        <f t="shared" si="61"/>
        <v>82301426</v>
      </c>
    </row>
    <row r="2103" customHeight="1" spans="1:31">
      <c r="A2103" s="2" t="s">
        <v>1620</v>
      </c>
      <c r="B2103" s="2">
        <v>148</v>
      </c>
      <c r="C2103" s="2">
        <v>8093318</v>
      </c>
      <c r="D2103" s="2" t="s">
        <v>4520</v>
      </c>
      <c r="E2103" s="2" t="s">
        <v>40</v>
      </c>
      <c r="F2103" t="s">
        <v>30</v>
      </c>
      <c r="G2103" t="s">
        <v>24</v>
      </c>
      <c r="N2103" s="2" t="s">
        <v>18</v>
      </c>
      <c r="O2103" s="2" t="s">
        <v>19</v>
      </c>
      <c r="P2103" s="2">
        <v>20000000</v>
      </c>
      <c r="Q2103" s="2">
        <v>6.7</v>
      </c>
      <c r="R2103" s="2" t="s">
        <v>4521</v>
      </c>
      <c r="S2103" s="2"/>
      <c r="AC2103" s="2"/>
      <c r="AD2103" t="str">
        <f>IFERROR(__xludf.DUMMYFUNCTION("""COMPUTED_VALUE"""),"Tammy ")</f>
        <v>Tammy </v>
      </c>
      <c r="AE2103">
        <f t="shared" ref="AE2103:AE2166" si="62">C1987-B1987</f>
        <v>84518055</v>
      </c>
    </row>
    <row r="2104" customHeight="1" spans="1:31">
      <c r="A2104" s="2" t="s">
        <v>2308</v>
      </c>
      <c r="B2104" s="2">
        <v>77</v>
      </c>
      <c r="C2104" s="2">
        <v>7382993</v>
      </c>
      <c r="D2104" s="2" t="s">
        <v>124</v>
      </c>
      <c r="E2104" s="2" t="s">
        <v>13</v>
      </c>
      <c r="F2104" t="s">
        <v>17</v>
      </c>
      <c r="G2104" t="s">
        <v>29</v>
      </c>
      <c r="N2104" s="2" t="s">
        <v>18</v>
      </c>
      <c r="O2104" s="2" t="s">
        <v>19</v>
      </c>
      <c r="P2104" s="2">
        <v>20000000</v>
      </c>
      <c r="Q2104" s="2">
        <v>2.8</v>
      </c>
      <c r="R2104" s="2" t="s">
        <v>4522</v>
      </c>
      <c r="S2104" s="2"/>
      <c r="AC2104" s="2"/>
      <c r="AD2104" t="str">
        <f>IFERROR(__xludf.DUMMYFUNCTION("""COMPUTED_VALUE"""),"School of Rock ")</f>
        <v>School of Rock </v>
      </c>
      <c r="AE2104">
        <f t="shared" si="62"/>
        <v>81257737</v>
      </c>
    </row>
    <row r="2105" customHeight="1" spans="1:31">
      <c r="A2105" s="2" t="s">
        <v>2311</v>
      </c>
      <c r="B2105" s="2">
        <v>110</v>
      </c>
      <c r="C2105" s="2">
        <v>8888355</v>
      </c>
      <c r="D2105" s="2" t="s">
        <v>2565</v>
      </c>
      <c r="E2105" s="2" t="s">
        <v>30</v>
      </c>
      <c r="F2105" t="s">
        <v>30</v>
      </c>
      <c r="G2105" t="s">
        <v>17</v>
      </c>
      <c r="N2105" s="2" t="s">
        <v>18</v>
      </c>
      <c r="O2105" s="2" t="s">
        <v>19</v>
      </c>
      <c r="P2105" s="2">
        <v>20000000</v>
      </c>
      <c r="Q2105" s="2">
        <v>5</v>
      </c>
      <c r="R2105" s="2" t="s">
        <v>4523</v>
      </c>
      <c r="S2105" s="2"/>
      <c r="AC2105" s="2"/>
      <c r="AD2105" t="str">
        <f>IFERROR(__xludf.DUMMYFUNCTION("""COMPUTED_VALUE"""),"Mortal Kombat ")</f>
        <v>Mortal Kombat </v>
      </c>
      <c r="AE2105">
        <f t="shared" si="62"/>
        <v>70360184</v>
      </c>
    </row>
    <row r="2106" customHeight="1" spans="1:31">
      <c r="A2106" s="2" t="s">
        <v>1385</v>
      </c>
      <c r="B2106" s="2">
        <v>83</v>
      </c>
      <c r="C2106" s="2">
        <v>7001720</v>
      </c>
      <c r="D2106" s="2" t="s">
        <v>1086</v>
      </c>
      <c r="E2106" s="2" t="s">
        <v>40</v>
      </c>
      <c r="F2106" t="s">
        <v>28</v>
      </c>
      <c r="G2106" t="s">
        <v>30</v>
      </c>
      <c r="N2106" s="2" t="s">
        <v>18</v>
      </c>
      <c r="O2106" s="2" t="s">
        <v>19</v>
      </c>
      <c r="P2106" s="2">
        <v>12000000</v>
      </c>
      <c r="Q2106" s="2">
        <v>4.3</v>
      </c>
      <c r="R2106" s="2" t="s">
        <v>4524</v>
      </c>
      <c r="S2106" s="2"/>
      <c r="AC2106" s="2"/>
      <c r="AD2106" t="str">
        <f>IFERROR(__xludf.DUMMYFUNCTION("""COMPUTED_VALUE"""),"White Chicks ")</f>
        <v>White Chicks </v>
      </c>
      <c r="AE2106">
        <f t="shared" si="62"/>
        <v>69148888</v>
      </c>
    </row>
    <row r="2107" customHeight="1" spans="1:31">
      <c r="A2107" s="2" t="s">
        <v>1225</v>
      </c>
      <c r="B2107" s="2">
        <v>107</v>
      </c>
      <c r="C2107" s="2">
        <v>7268659</v>
      </c>
      <c r="D2107" s="2" t="s">
        <v>174</v>
      </c>
      <c r="E2107" s="2" t="s">
        <v>12</v>
      </c>
      <c r="F2107" t="s">
        <v>72</v>
      </c>
      <c r="G2107" t="s">
        <v>16</v>
      </c>
      <c r="N2107" s="2" t="s">
        <v>18</v>
      </c>
      <c r="O2107" s="2" t="s">
        <v>4525</v>
      </c>
      <c r="P2107" s="2">
        <v>20000000</v>
      </c>
      <c r="Q2107" s="2">
        <v>5.6</v>
      </c>
      <c r="R2107" s="2" t="s">
        <v>4526</v>
      </c>
      <c r="S2107" s="2"/>
      <c r="AC2107" s="2"/>
      <c r="AD2107" t="str">
        <f>IFERROR(__xludf.DUMMYFUNCTION("""COMPUTED_VALUE"""),"The Descendants ")</f>
        <v>The Descendants </v>
      </c>
      <c r="AE2107">
        <f t="shared" si="62"/>
        <v>82624846</v>
      </c>
    </row>
    <row r="2108" customHeight="1" spans="1:31">
      <c r="A2108" s="2" t="s">
        <v>2314</v>
      </c>
      <c r="B2108" s="2">
        <v>100</v>
      </c>
      <c r="C2108" s="2">
        <v>6852144</v>
      </c>
      <c r="D2108" s="2" t="s">
        <v>1461</v>
      </c>
      <c r="E2108" s="2" t="s">
        <v>30</v>
      </c>
      <c r="F2108" t="s">
        <v>30</v>
      </c>
      <c r="G2108" t="s">
        <v>83</v>
      </c>
      <c r="N2108" s="2" t="s">
        <v>18</v>
      </c>
      <c r="O2108" s="2" t="s">
        <v>121</v>
      </c>
      <c r="P2108" s="2">
        <v>22000000</v>
      </c>
      <c r="Q2108" s="2">
        <v>6.2</v>
      </c>
      <c r="R2108" s="2" t="s">
        <v>4527</v>
      </c>
      <c r="S2108" s="2"/>
      <c r="AC2108" s="2"/>
      <c r="AD2108" t="str">
        <f>IFERROR(__xludf.DUMMYFUNCTION("""COMPUTED_VALUE"""),"Holes ")</f>
        <v>Holes </v>
      </c>
      <c r="AE2108">
        <f t="shared" si="62"/>
        <v>67325442</v>
      </c>
    </row>
    <row r="2109" customHeight="1" spans="1:31">
      <c r="A2109" s="2" t="s">
        <v>2023</v>
      </c>
      <c r="B2109" s="2">
        <v>87</v>
      </c>
      <c r="C2109" s="2">
        <v>6563357</v>
      </c>
      <c r="D2109" s="2" t="s">
        <v>1716</v>
      </c>
      <c r="E2109" s="2" t="s">
        <v>13</v>
      </c>
      <c r="F2109" t="s">
        <v>30</v>
      </c>
      <c r="G2109" t="s">
        <v>24</v>
      </c>
      <c r="N2109" s="2" t="s">
        <v>18</v>
      </c>
      <c r="O2109" s="2" t="s">
        <v>19</v>
      </c>
      <c r="P2109" s="2">
        <v>20000000</v>
      </c>
      <c r="Q2109" s="2">
        <v>5.3</v>
      </c>
      <c r="R2109" s="2" t="s">
        <v>4528</v>
      </c>
      <c r="S2109" s="2"/>
      <c r="AC2109" s="2"/>
      <c r="AD2109" t="str">
        <f>IFERROR(__xludf.DUMMYFUNCTION("""COMPUTED_VALUE"""),"The Last Song ")</f>
        <v>The Last Song </v>
      </c>
      <c r="AE2109">
        <f t="shared" si="62"/>
        <v>62933686</v>
      </c>
    </row>
    <row r="2110" customHeight="1" spans="1:31">
      <c r="A2110" s="2" t="s">
        <v>2317</v>
      </c>
      <c r="B2110" s="2">
        <v>154</v>
      </c>
      <c r="C2110" s="2">
        <v>6201757</v>
      </c>
      <c r="D2110" s="2" t="s">
        <v>4529</v>
      </c>
      <c r="E2110" s="2" t="s">
        <v>59</v>
      </c>
      <c r="F2110" t="s">
        <v>35</v>
      </c>
      <c r="G2110" t="s">
        <v>30</v>
      </c>
      <c r="N2110" s="2" t="s">
        <v>18</v>
      </c>
      <c r="O2110" s="2" t="s">
        <v>31</v>
      </c>
      <c r="P2110" s="2">
        <v>10000000</v>
      </c>
      <c r="Q2110" s="2">
        <v>7.4</v>
      </c>
      <c r="R2110" s="2" t="s">
        <v>4530</v>
      </c>
      <c r="S2110" s="2"/>
      <c r="AC2110" s="2"/>
      <c r="AD2110" t="str">
        <f>IFERROR(__xludf.DUMMYFUNCTION("""COMPUTED_VALUE"""),"12 Years a Slave ")</f>
        <v>12 Years a Slave </v>
      </c>
      <c r="AE2110">
        <f t="shared" si="62"/>
        <v>56667736</v>
      </c>
    </row>
    <row r="2111" customHeight="1" spans="1:31">
      <c r="A2111" s="2" t="s">
        <v>2319</v>
      </c>
      <c r="B2111" s="2">
        <v>106</v>
      </c>
      <c r="C2111" s="2">
        <v>6420319</v>
      </c>
      <c r="D2111" s="2" t="s">
        <v>1354</v>
      </c>
      <c r="E2111" s="2" t="s">
        <v>30</v>
      </c>
      <c r="F2111" t="s">
        <v>83</v>
      </c>
      <c r="G2111" t="s">
        <v>17</v>
      </c>
      <c r="N2111" s="2" t="s">
        <v>18</v>
      </c>
      <c r="O2111" s="2" t="s">
        <v>4531</v>
      </c>
      <c r="P2111" s="2">
        <v>20000000</v>
      </c>
      <c r="Q2111" s="2">
        <v>7.4</v>
      </c>
      <c r="R2111" s="2" t="s">
        <v>4532</v>
      </c>
      <c r="S2111" s="2"/>
      <c r="AC2111" s="2"/>
      <c r="AD2111" t="str">
        <f>IFERROR(__xludf.DUMMYFUNCTION("""COMPUTED_VALUE"""),"Drumline ")</f>
        <v>Drumline </v>
      </c>
      <c r="AE2111">
        <f t="shared" si="62"/>
        <v>56398044</v>
      </c>
    </row>
    <row r="2112" customHeight="1" spans="1:31">
      <c r="A2112" s="2" t="s">
        <v>1340</v>
      </c>
      <c r="B2112" s="2">
        <v>99</v>
      </c>
      <c r="C2112" s="2">
        <v>5702083</v>
      </c>
      <c r="D2112" s="2" t="s">
        <v>1438</v>
      </c>
      <c r="E2112" s="2" t="s">
        <v>59</v>
      </c>
      <c r="F2112" t="s">
        <v>35</v>
      </c>
      <c r="G2112" t="s">
        <v>24</v>
      </c>
      <c r="N2112" s="2" t="s">
        <v>18</v>
      </c>
      <c r="O2112" s="2" t="s">
        <v>31</v>
      </c>
      <c r="P2112" s="2">
        <v>15000000</v>
      </c>
      <c r="Q2112" s="2">
        <v>6.5</v>
      </c>
      <c r="R2112" s="2" t="s">
        <v>4533</v>
      </c>
      <c r="S2112" s="2"/>
      <c r="AC2112" s="2"/>
      <c r="AD2112" t="str">
        <f>IFERROR(__xludf.DUMMYFUNCTION("""COMPUTED_VALUE"""),"Why Did I Get Married Too? ")</f>
        <v>Why Did I Get Married Too? </v>
      </c>
      <c r="AE2112">
        <f t="shared" si="62"/>
        <v>60072475</v>
      </c>
    </row>
    <row r="2113" customHeight="1" spans="1:31">
      <c r="A2113" s="2" t="s">
        <v>1971</v>
      </c>
      <c r="B2113" s="2">
        <v>100</v>
      </c>
      <c r="C2113" s="2">
        <v>5480996</v>
      </c>
      <c r="D2113" s="2" t="s">
        <v>4534</v>
      </c>
      <c r="E2113" s="2" t="s">
        <v>35</v>
      </c>
      <c r="F2113" t="s">
        <v>55</v>
      </c>
      <c r="G2113" t="s">
        <v>24</v>
      </c>
      <c r="N2113" s="2" t="s">
        <v>18</v>
      </c>
      <c r="O2113" s="2" t="s">
        <v>19</v>
      </c>
      <c r="P2113" s="2">
        <v>8700000</v>
      </c>
      <c r="Q2113" s="2">
        <v>7.1</v>
      </c>
      <c r="R2113" s="2" t="s">
        <v>4535</v>
      </c>
      <c r="S2113" s="2"/>
      <c r="AC2113" s="2"/>
      <c r="AD2113" t="str">
        <f>IFERROR(__xludf.DUMMYFUNCTION("""COMPUTED_VALUE"""),"Edward Scissorhands ")</f>
        <v>Edward Scissorhands </v>
      </c>
      <c r="AE2113">
        <f t="shared" si="62"/>
        <v>56362247</v>
      </c>
    </row>
    <row r="2114" customHeight="1" spans="1:31">
      <c r="A2114" s="2" t="s">
        <v>286</v>
      </c>
      <c r="B2114" s="2">
        <v>116</v>
      </c>
      <c r="C2114" s="2">
        <v>6002756</v>
      </c>
      <c r="D2114" s="2" t="s">
        <v>592</v>
      </c>
      <c r="E2114" s="2" t="s">
        <v>59</v>
      </c>
      <c r="F2114" t="s">
        <v>56</v>
      </c>
      <c r="G2114" t="s">
        <v>29</v>
      </c>
      <c r="N2114" s="2" t="s">
        <v>18</v>
      </c>
      <c r="O2114" s="2" t="s">
        <v>19</v>
      </c>
      <c r="P2114" s="2">
        <v>20000000</v>
      </c>
      <c r="Q2114" s="2">
        <v>7.2</v>
      </c>
      <c r="R2114" s="2" t="s">
        <v>4536</v>
      </c>
      <c r="S2114" s="2"/>
      <c r="AC2114" s="2"/>
      <c r="AD2114" t="str">
        <f>IFERROR(__xludf.DUMMYFUNCTION("""COMPUTED_VALUE"""),"Me Before You ")</f>
        <v>Me Before You </v>
      </c>
      <c r="AE2114">
        <f t="shared" si="62"/>
        <v>56153984</v>
      </c>
    </row>
    <row r="2115" customHeight="1" spans="1:31">
      <c r="A2115" s="2" t="s">
        <v>1146</v>
      </c>
      <c r="B2115" s="2">
        <v>94</v>
      </c>
      <c r="C2115" s="2">
        <v>5132655</v>
      </c>
      <c r="D2115" s="2" t="s">
        <v>4273</v>
      </c>
      <c r="E2115" s="2" t="s">
        <v>72</v>
      </c>
      <c r="F2115" t="s">
        <v>23</v>
      </c>
      <c r="G2115" t="s">
        <v>83</v>
      </c>
      <c r="N2115" s="2" t="s">
        <v>18</v>
      </c>
      <c r="O2115" s="2" t="s">
        <v>121</v>
      </c>
      <c r="P2115" s="2">
        <v>20000000</v>
      </c>
      <c r="Q2115" s="2">
        <v>2.3</v>
      </c>
      <c r="R2115" s="2" t="s">
        <v>4537</v>
      </c>
      <c r="S2115" s="2"/>
      <c r="AC2115" s="2"/>
      <c r="AD2115" t="str">
        <f>IFERROR(__xludf.DUMMYFUNCTION("""COMPUTED_VALUE"""),"Madea's Witness Protection ")</f>
        <v>Madea's Witness Protection </v>
      </c>
      <c r="AE2115">
        <f t="shared" si="62"/>
        <v>65623014</v>
      </c>
    </row>
    <row r="2116" customHeight="1" spans="1:31">
      <c r="A2116" s="2" t="s">
        <v>1963</v>
      </c>
      <c r="B2116" s="2">
        <v>111</v>
      </c>
      <c r="C2116" s="2">
        <v>5205343</v>
      </c>
      <c r="D2116" s="2" t="s">
        <v>3449</v>
      </c>
      <c r="E2116" s="2" t="s">
        <v>40</v>
      </c>
      <c r="F2116" t="s">
        <v>30</v>
      </c>
      <c r="G2116" t="s">
        <v>39</v>
      </c>
      <c r="N2116" s="2" t="s">
        <v>18</v>
      </c>
      <c r="O2116" s="2" t="s">
        <v>19</v>
      </c>
      <c r="P2116" s="2">
        <v>20000000</v>
      </c>
      <c r="Q2116" s="2">
        <v>6.4</v>
      </c>
      <c r="R2116" s="2" t="s">
        <v>4538</v>
      </c>
      <c r="S2116" s="2"/>
      <c r="AC2116" s="2"/>
      <c r="AD2116" t="str">
        <f>IFERROR(__xludf.DUMMYFUNCTION("""COMPUTED_VALUE"""),"Bad Moms ")</f>
        <v>Bad Moms </v>
      </c>
      <c r="AE2116">
        <f t="shared" si="62"/>
        <v>55461207</v>
      </c>
    </row>
    <row r="2117" customHeight="1" spans="1:31">
      <c r="A2117" s="2" t="s">
        <v>2321</v>
      </c>
      <c r="B2117" s="2">
        <v>100</v>
      </c>
      <c r="C2117" s="2">
        <v>5005883</v>
      </c>
      <c r="D2117" s="2" t="s">
        <v>1300</v>
      </c>
      <c r="E2117" s="2" t="s">
        <v>30</v>
      </c>
      <c r="F2117" t="s">
        <v>72</v>
      </c>
      <c r="G2117" t="s">
        <v>29</v>
      </c>
      <c r="N2117" s="2" t="s">
        <v>18</v>
      </c>
      <c r="O2117" s="2" t="s">
        <v>19</v>
      </c>
      <c r="P2117" s="2">
        <v>20000000</v>
      </c>
      <c r="Q2117" s="2">
        <v>6.1</v>
      </c>
      <c r="R2117" s="2" t="s">
        <v>4539</v>
      </c>
      <c r="S2117" s="2"/>
      <c r="AC2117" s="2"/>
      <c r="AD2117" t="str">
        <f>IFERROR(__xludf.DUMMYFUNCTION("""COMPUTED_VALUE"""),"Date Movie ")</f>
        <v>Date Movie </v>
      </c>
      <c r="AE2117">
        <f t="shared" si="62"/>
        <v>48546493</v>
      </c>
    </row>
    <row r="2118" customHeight="1" spans="1:31">
      <c r="A2118" s="2" t="s">
        <v>2323</v>
      </c>
      <c r="B2118" s="2">
        <v>125</v>
      </c>
      <c r="C2118" s="2">
        <v>5749134</v>
      </c>
      <c r="D2118" s="2" t="s">
        <v>186</v>
      </c>
      <c r="E2118" s="2" t="s">
        <v>12</v>
      </c>
      <c r="F2118" t="s">
        <v>13</v>
      </c>
      <c r="G2118" t="s">
        <v>30</v>
      </c>
      <c r="N2118" s="2" t="s">
        <v>18</v>
      </c>
      <c r="O2118" s="2" t="s">
        <v>19</v>
      </c>
      <c r="P2118" s="2">
        <v>20000000</v>
      </c>
      <c r="Q2118" s="2">
        <v>7</v>
      </c>
      <c r="R2118" s="2" t="s">
        <v>4540</v>
      </c>
      <c r="S2118" s="2"/>
      <c r="AC2118" s="2"/>
      <c r="AD2118" t="str">
        <f>IFERROR(__xludf.DUMMYFUNCTION("""COMPUTED_VALUE"""),"Return to Never Land ")</f>
        <v>Return to Never Land </v>
      </c>
      <c r="AE2118">
        <f t="shared" si="62"/>
        <v>48423296</v>
      </c>
    </row>
    <row r="2119" customHeight="1" spans="1:31">
      <c r="A2119" s="2" t="s">
        <v>2325</v>
      </c>
      <c r="B2119" s="2">
        <v>119</v>
      </c>
      <c r="C2119" s="2">
        <v>4234040</v>
      </c>
      <c r="D2119" s="2" t="s">
        <v>562</v>
      </c>
      <c r="E2119" s="2" t="s">
        <v>59</v>
      </c>
      <c r="F2119" t="s">
        <v>23</v>
      </c>
      <c r="G2119" t="s">
        <v>14</v>
      </c>
      <c r="N2119" s="2" t="s">
        <v>18</v>
      </c>
      <c r="O2119" s="2" t="s">
        <v>19</v>
      </c>
      <c r="P2119" s="2">
        <v>20000000</v>
      </c>
      <c r="Q2119" s="2">
        <v>7</v>
      </c>
      <c r="R2119" s="2" t="s">
        <v>4541</v>
      </c>
      <c r="S2119" s="2"/>
      <c r="AC2119" s="2"/>
      <c r="AD2119" t="str">
        <f>IFERROR(__xludf.DUMMYFUNCTION("""COMPUTED_VALUE"""),"Selma ")</f>
        <v>Selma </v>
      </c>
      <c r="AE2119">
        <f t="shared" si="62"/>
        <v>52065872</v>
      </c>
    </row>
    <row r="2120" customHeight="1" spans="1:31">
      <c r="A2120" s="2" t="s">
        <v>2327</v>
      </c>
      <c r="B2120" s="2">
        <v>135</v>
      </c>
      <c r="C2120" s="2">
        <v>4001121</v>
      </c>
      <c r="D2120" s="2" t="s">
        <v>1747</v>
      </c>
      <c r="E2120" s="2" t="s">
        <v>59</v>
      </c>
      <c r="F2120" t="s">
        <v>28</v>
      </c>
      <c r="G2120" t="s">
        <v>16</v>
      </c>
      <c r="N2120" s="2" t="s">
        <v>18</v>
      </c>
      <c r="O2120" s="2" t="s">
        <v>19</v>
      </c>
      <c r="P2120" s="2">
        <v>20000000</v>
      </c>
      <c r="Q2120" s="2">
        <v>7</v>
      </c>
      <c r="R2120" s="2" t="s">
        <v>4542</v>
      </c>
      <c r="S2120" s="2"/>
      <c r="AC2120" s="2"/>
      <c r="AD2120" t="str">
        <f>IFERROR(__xludf.DUMMYFUNCTION("""COMPUTED_VALUE"""),"The Jungle Book 2 ")</f>
        <v>The Jungle Book 2 </v>
      </c>
      <c r="AE2120">
        <f t="shared" si="62"/>
        <v>47887871</v>
      </c>
    </row>
    <row r="2121" customHeight="1" spans="1:31">
      <c r="A2121" s="2" t="s">
        <v>2329</v>
      </c>
      <c r="B2121" s="2">
        <v>93</v>
      </c>
      <c r="C2121" s="2">
        <v>3749061</v>
      </c>
      <c r="D2121" s="2" t="s">
        <v>34</v>
      </c>
      <c r="E2121" s="2" t="s">
        <v>12</v>
      </c>
      <c r="F2121" t="s">
        <v>40</v>
      </c>
      <c r="G2121" t="s">
        <v>17</v>
      </c>
      <c r="N2121" s="2" t="s">
        <v>18</v>
      </c>
      <c r="O2121" s="2" t="s">
        <v>19</v>
      </c>
      <c r="P2121" s="2">
        <v>20000000</v>
      </c>
      <c r="Q2121" s="2">
        <v>4.9</v>
      </c>
      <c r="R2121" s="2" t="s">
        <v>4543</v>
      </c>
      <c r="S2121" s="2"/>
      <c r="AC2121" s="2"/>
      <c r="AD2121" t="str">
        <f>IFERROR(__xludf.DUMMYFUNCTION("""COMPUTED_VALUE"""),"Boogeyman ")</f>
        <v>Boogeyman </v>
      </c>
      <c r="AE2121">
        <f t="shared" si="62"/>
        <v>46363029</v>
      </c>
    </row>
    <row r="2122" customHeight="1" spans="1:31">
      <c r="A2122" s="2" t="s">
        <v>1801</v>
      </c>
      <c r="B2122" s="2">
        <v>114</v>
      </c>
      <c r="C2122" s="2">
        <v>3519627</v>
      </c>
      <c r="D2122" s="2" t="s">
        <v>4544</v>
      </c>
      <c r="E2122" s="2" t="s">
        <v>13</v>
      </c>
      <c r="F2122" t="s">
        <v>24</v>
      </c>
      <c r="G2122" t="s">
        <v>28</v>
      </c>
      <c r="N2122" s="2" t="s">
        <v>18</v>
      </c>
      <c r="O2122" s="2" t="s">
        <v>19</v>
      </c>
      <c r="P2122" s="2">
        <v>20000000</v>
      </c>
      <c r="Q2122" s="2">
        <v>6.9</v>
      </c>
      <c r="R2122" s="2" t="s">
        <v>4545</v>
      </c>
      <c r="S2122" s="2"/>
      <c r="AC2122" s="2"/>
      <c r="AD2122" t="str">
        <f>IFERROR(__xludf.DUMMYFUNCTION("""COMPUTED_VALUE"""),"Premonition ")</f>
        <v>Premonition </v>
      </c>
      <c r="AE2122">
        <f t="shared" si="62"/>
        <v>47852508</v>
      </c>
    </row>
    <row r="2123" customHeight="1" spans="1:31">
      <c r="A2123" s="2" t="s">
        <v>2332</v>
      </c>
      <c r="B2123" s="2">
        <v>124</v>
      </c>
      <c r="C2123" s="2">
        <v>3081925</v>
      </c>
      <c r="D2123" s="2" t="s">
        <v>521</v>
      </c>
      <c r="E2123" s="2" t="s">
        <v>40</v>
      </c>
      <c r="F2123" t="s">
        <v>30</v>
      </c>
      <c r="G2123" t="s">
        <v>17</v>
      </c>
      <c r="N2123" s="2" t="s">
        <v>18</v>
      </c>
      <c r="O2123" s="2" t="s">
        <v>19</v>
      </c>
      <c r="P2123" s="2">
        <v>21000000</v>
      </c>
      <c r="Q2123" s="2">
        <v>7.5</v>
      </c>
      <c r="R2123" s="2" t="s">
        <v>4546</v>
      </c>
      <c r="S2123" s="2"/>
      <c r="AC2123" s="2"/>
      <c r="AD2123" t="str">
        <f>IFERROR(__xludf.DUMMYFUNCTION("""COMPUTED_VALUE"""),"The Tigger Movie ")</f>
        <v>The Tigger Movie </v>
      </c>
      <c r="AE2123">
        <f t="shared" si="62"/>
        <v>45542344</v>
      </c>
    </row>
    <row r="2124" customHeight="1" spans="1:31">
      <c r="A2124" s="2" t="s">
        <v>1715</v>
      </c>
      <c r="B2124" s="2">
        <v>134</v>
      </c>
      <c r="C2124" s="2">
        <v>2298191</v>
      </c>
      <c r="D2124" s="2" t="s">
        <v>4547</v>
      </c>
      <c r="E2124" s="2" t="s">
        <v>13</v>
      </c>
      <c r="F2124" t="s">
        <v>30</v>
      </c>
      <c r="G2124" t="s">
        <v>71</v>
      </c>
      <c r="N2124" s="2" t="s">
        <v>3256</v>
      </c>
      <c r="O2124" s="2" t="s">
        <v>1160</v>
      </c>
      <c r="P2124" s="2">
        <v>2400000000</v>
      </c>
      <c r="Q2124" s="2">
        <v>8.4</v>
      </c>
      <c r="R2124" s="2" t="s">
        <v>4548</v>
      </c>
      <c r="S2124" s="2"/>
      <c r="AC2124" s="2"/>
      <c r="AD2124" t="str">
        <f>IFERROR(__xludf.DUMMYFUNCTION("""COMPUTED_VALUE"""),"Max ")</f>
        <v>Max </v>
      </c>
      <c r="AE2124">
        <f t="shared" si="62"/>
        <v>42651892</v>
      </c>
    </row>
    <row r="2125" customHeight="1" spans="1:31">
      <c r="A2125" s="2" t="s">
        <v>2335</v>
      </c>
      <c r="B2125" s="2">
        <v>114</v>
      </c>
      <c r="C2125" s="2">
        <v>2353728</v>
      </c>
      <c r="D2125" s="2" t="s">
        <v>4549</v>
      </c>
      <c r="E2125" s="2" t="s">
        <v>40</v>
      </c>
      <c r="F2125" t="s">
        <v>56</v>
      </c>
      <c r="G2125" t="s">
        <v>16</v>
      </c>
      <c r="N2125" s="2" t="s">
        <v>1125</v>
      </c>
      <c r="O2125" s="2" t="s">
        <v>707</v>
      </c>
      <c r="P2125" s="2">
        <v>20000000</v>
      </c>
      <c r="Q2125" s="2">
        <v>6.9</v>
      </c>
      <c r="R2125" s="2" t="s">
        <v>4550</v>
      </c>
      <c r="S2125" s="2"/>
      <c r="AC2125" s="2"/>
      <c r="AD2125" t="str">
        <f>IFERROR(__xludf.DUMMYFUNCTION("""COMPUTED_VALUE"""),"Epic Movie ")</f>
        <v>Epic Movie </v>
      </c>
      <c r="AE2125">
        <f t="shared" si="62"/>
        <v>39737552</v>
      </c>
    </row>
    <row r="2126" customHeight="1" spans="1:31">
      <c r="A2126" s="2" t="s">
        <v>2338</v>
      </c>
      <c r="B2126" s="2">
        <v>124</v>
      </c>
      <c r="C2126" s="2">
        <v>2000000</v>
      </c>
      <c r="D2126" s="2" t="s">
        <v>4551</v>
      </c>
      <c r="E2126" s="2" t="s">
        <v>59</v>
      </c>
      <c r="F2126" t="s">
        <v>28</v>
      </c>
      <c r="G2126" t="s">
        <v>17</v>
      </c>
      <c r="N2126" s="2" t="s">
        <v>18</v>
      </c>
      <c r="O2126" s="2" t="s">
        <v>19</v>
      </c>
      <c r="P2126" s="2">
        <v>20000000</v>
      </c>
      <c r="Q2126" s="2">
        <v>4.5</v>
      </c>
      <c r="R2126" s="2" t="s">
        <v>4552</v>
      </c>
      <c r="S2126" s="2"/>
      <c r="AC2126" s="2"/>
      <c r="AD2126" t="str">
        <f>IFERROR(__xludf.DUMMYFUNCTION("""COMPUTED_VALUE"""),"Spotlight ")</f>
        <v>Spotlight </v>
      </c>
      <c r="AE2126">
        <f t="shared" si="62"/>
        <v>44988052</v>
      </c>
    </row>
    <row r="2127" customHeight="1" spans="1:31">
      <c r="A2127" s="2" t="s">
        <v>2091</v>
      </c>
      <c r="B2127" s="2">
        <v>104</v>
      </c>
      <c r="C2127" s="2">
        <v>1900725</v>
      </c>
      <c r="D2127" s="2" t="s">
        <v>4553</v>
      </c>
      <c r="E2127" s="2" t="s">
        <v>56</v>
      </c>
      <c r="F2127" t="s">
        <v>17</v>
      </c>
      <c r="G2127" t="s">
        <v>14</v>
      </c>
      <c r="N2127" s="2" t="s">
        <v>18</v>
      </c>
      <c r="O2127" s="2" t="s">
        <v>159</v>
      </c>
      <c r="P2127" s="2">
        <v>2000000</v>
      </c>
      <c r="Q2127" s="2">
        <v>7.4</v>
      </c>
      <c r="R2127" s="2" t="s">
        <v>4554</v>
      </c>
      <c r="S2127" s="2"/>
      <c r="AC2127" s="2"/>
      <c r="AD2127" t="str">
        <f>IFERROR(__xludf.DUMMYFUNCTION("""COMPUTED_VALUE"""),"Lakeview Terrace ")</f>
        <v>Lakeview Terrace </v>
      </c>
      <c r="AE2127">
        <f t="shared" si="62"/>
        <v>39263396</v>
      </c>
    </row>
    <row r="2128" customHeight="1" spans="1:31">
      <c r="A2128" s="2" t="s">
        <v>2340</v>
      </c>
      <c r="B2128" s="2">
        <v>118</v>
      </c>
      <c r="C2128" s="2">
        <v>2246000</v>
      </c>
      <c r="D2128" s="2" t="s">
        <v>592</v>
      </c>
      <c r="E2128" s="2" t="s">
        <v>59</v>
      </c>
      <c r="F2128" t="s">
        <v>83</v>
      </c>
      <c r="G2128" t="s">
        <v>24</v>
      </c>
      <c r="N2128" s="2" t="s">
        <v>18</v>
      </c>
      <c r="O2128" s="2" t="s">
        <v>19</v>
      </c>
      <c r="P2128" s="2">
        <v>20000000</v>
      </c>
      <c r="Q2128" s="2">
        <v>7</v>
      </c>
      <c r="R2128" s="2" t="s">
        <v>4555</v>
      </c>
      <c r="S2128" s="2"/>
      <c r="AC2128" s="2"/>
      <c r="AD2128" t="str">
        <f>IFERROR(__xludf.DUMMYFUNCTION("""COMPUTED_VALUE"""),"The Grudge 2 ")</f>
        <v>The Grudge 2 </v>
      </c>
      <c r="AE2128">
        <f t="shared" si="62"/>
        <v>39143702</v>
      </c>
    </row>
    <row r="2129" customHeight="1" spans="1:31">
      <c r="A2129" s="2" t="s">
        <v>2086</v>
      </c>
      <c r="B2129" s="2">
        <v>80</v>
      </c>
      <c r="C2129" s="2">
        <v>1646664</v>
      </c>
      <c r="D2129" s="2" t="s">
        <v>3198</v>
      </c>
      <c r="E2129" s="2" t="s">
        <v>40</v>
      </c>
      <c r="F2129" t="s">
        <v>14</v>
      </c>
      <c r="G2129" t="s">
        <v>55</v>
      </c>
      <c r="N2129" s="2" t="s">
        <v>18</v>
      </c>
      <c r="O2129" s="2" t="s">
        <v>19</v>
      </c>
      <c r="P2129" s="2">
        <v>20000000</v>
      </c>
      <c r="Q2129" s="2">
        <v>2.8</v>
      </c>
      <c r="R2129" s="2" t="s">
        <v>4556</v>
      </c>
      <c r="S2129" s="2"/>
      <c r="AC2129" s="2"/>
      <c r="AD2129" t="str">
        <f>IFERROR(__xludf.DUMMYFUNCTION("""COMPUTED_VALUE"""),"How Stella Got Her Groove Back ")</f>
        <v>How Stella Got Her Groove Back </v>
      </c>
      <c r="AE2129">
        <f t="shared" si="62"/>
        <v>37672226</v>
      </c>
    </row>
    <row r="2130" customHeight="1" spans="1:31">
      <c r="A2130" s="2" t="s">
        <v>1872</v>
      </c>
      <c r="B2130" s="2">
        <v>107</v>
      </c>
      <c r="C2130" s="2">
        <v>1190018</v>
      </c>
      <c r="D2130" s="2" t="s">
        <v>511</v>
      </c>
      <c r="E2130" s="2" t="s">
        <v>12</v>
      </c>
      <c r="F2130" t="s">
        <v>30</v>
      </c>
      <c r="G2130" t="s">
        <v>30</v>
      </c>
      <c r="N2130" s="2" t="s">
        <v>18</v>
      </c>
      <c r="O2130" s="2" t="s">
        <v>19</v>
      </c>
      <c r="P2130" s="2">
        <v>20000000</v>
      </c>
      <c r="Q2130" s="2">
        <v>7.5</v>
      </c>
      <c r="R2130" s="2" t="s">
        <v>4557</v>
      </c>
      <c r="S2130" s="2"/>
      <c r="AC2130" s="2"/>
      <c r="AD2130" t="str">
        <f>IFERROR(__xludf.DUMMYFUNCTION("""COMPUTED_VALUE"""),"Bill &amp; Ted's Bogus Journey ")</f>
        <v>Bill &amp; Ted's Bogus Journey </v>
      </c>
      <c r="AE2130">
        <f t="shared" si="62"/>
        <v>38037420</v>
      </c>
    </row>
    <row r="2131" customHeight="1" spans="1:31">
      <c r="A2131" s="2" t="s">
        <v>553</v>
      </c>
      <c r="B2131" s="2">
        <v>125</v>
      </c>
      <c r="C2131" s="2">
        <v>1027749</v>
      </c>
      <c r="D2131" s="2" t="s">
        <v>1354</v>
      </c>
      <c r="E2131" s="2" t="s">
        <v>30</v>
      </c>
      <c r="F2131" t="s">
        <v>83</v>
      </c>
      <c r="G2131" t="s">
        <v>852</v>
      </c>
      <c r="N2131" s="2" t="s">
        <v>18</v>
      </c>
      <c r="O2131" s="2" t="s">
        <v>159</v>
      </c>
      <c r="P2131" s="2">
        <v>40000000</v>
      </c>
      <c r="Q2131" s="2">
        <v>7.1</v>
      </c>
      <c r="R2131" s="2" t="s">
        <v>4558</v>
      </c>
      <c r="S2131" s="2"/>
      <c r="AC2131" s="2"/>
      <c r="AD2131" t="str">
        <f>IFERROR(__xludf.DUMMYFUNCTION("""COMPUTED_VALUE"""),"Man of the Year ")</f>
        <v>Man of the Year </v>
      </c>
      <c r="AE2131">
        <f t="shared" si="62"/>
        <v>37442065</v>
      </c>
    </row>
    <row r="2132" customHeight="1" spans="1:31">
      <c r="A2132" s="2" t="s">
        <v>1938</v>
      </c>
      <c r="B2132" s="2">
        <v>115</v>
      </c>
      <c r="C2132" s="2">
        <v>882710</v>
      </c>
      <c r="D2132" s="2" t="s">
        <v>2171</v>
      </c>
      <c r="E2132" s="2" t="s">
        <v>56</v>
      </c>
      <c r="F2132" t="s">
        <v>30</v>
      </c>
      <c r="G2132" t="s">
        <v>17</v>
      </c>
      <c r="N2132" s="2" t="s">
        <v>18</v>
      </c>
      <c r="O2132" s="2" t="s">
        <v>19</v>
      </c>
      <c r="P2132" s="2">
        <v>24000000</v>
      </c>
      <c r="Q2132" s="2">
        <v>6.4</v>
      </c>
      <c r="R2132" s="2" t="s">
        <v>4559</v>
      </c>
      <c r="S2132" s="2"/>
      <c r="AC2132" s="2"/>
      <c r="AD2132" t="str">
        <f>IFERROR(__xludf.DUMMYFUNCTION("""COMPUTED_VALUE"""),"The American ")</f>
        <v>The American </v>
      </c>
      <c r="AE2132">
        <f t="shared" si="62"/>
        <v>35596122</v>
      </c>
    </row>
    <row r="2133" customHeight="1" spans="1:31">
      <c r="A2133" s="2" t="s">
        <v>2343</v>
      </c>
      <c r="B2133" s="2">
        <v>88</v>
      </c>
      <c r="C2133" s="2">
        <v>1064277</v>
      </c>
      <c r="D2133" s="2" t="s">
        <v>4118</v>
      </c>
      <c r="E2133" s="2" t="s">
        <v>13</v>
      </c>
      <c r="F2133" t="s">
        <v>30</v>
      </c>
      <c r="G2133" t="s">
        <v>17</v>
      </c>
      <c r="N2133" s="2" t="s">
        <v>18</v>
      </c>
      <c r="O2133" s="2" t="s">
        <v>19</v>
      </c>
      <c r="P2133" s="2">
        <v>20000000</v>
      </c>
      <c r="Q2133" s="2">
        <v>6.7</v>
      </c>
      <c r="R2133" s="2" t="s">
        <v>4560</v>
      </c>
      <c r="S2133" s="2"/>
      <c r="AC2133" s="2"/>
      <c r="AD2133" t="str">
        <f>IFERROR(__xludf.DUMMYFUNCTION("""COMPUTED_VALUE"""),"Selena ")</f>
        <v>Selena </v>
      </c>
      <c r="AE2133">
        <f t="shared" si="62"/>
        <v>35422701</v>
      </c>
    </row>
    <row r="2134" customHeight="1" spans="1:31">
      <c r="A2134" s="2" t="s">
        <v>997</v>
      </c>
      <c r="B2134" s="2">
        <v>122</v>
      </c>
      <c r="C2134" s="2">
        <v>531009</v>
      </c>
      <c r="D2134" s="2" t="s">
        <v>103</v>
      </c>
      <c r="E2134" s="2" t="s">
        <v>30</v>
      </c>
      <c r="F2134" t="s">
        <v>28</v>
      </c>
      <c r="G2134" t="s">
        <v>24</v>
      </c>
      <c r="N2134" s="2" t="s">
        <v>18</v>
      </c>
      <c r="O2134" s="2" t="s">
        <v>19</v>
      </c>
      <c r="P2134" s="2">
        <v>10000000</v>
      </c>
      <c r="Q2134" s="2">
        <v>5.3</v>
      </c>
      <c r="R2134" s="2" t="s">
        <v>4561</v>
      </c>
      <c r="S2134" s="2"/>
      <c r="AC2134" s="2"/>
      <c r="AD2134" t="str">
        <f>IFERROR(__xludf.DUMMYFUNCTION("""COMPUTED_VALUE"""),"Vampires Suck ")</f>
        <v>Vampires Suck </v>
      </c>
      <c r="AE2134">
        <f t="shared" si="62"/>
        <v>36658026</v>
      </c>
    </row>
    <row r="2135" customHeight="1" spans="1:31">
      <c r="A2135" s="2" t="s">
        <v>2345</v>
      </c>
      <c r="B2135" s="2">
        <v>103</v>
      </c>
      <c r="C2135" s="2">
        <v>410388</v>
      </c>
      <c r="D2135" s="2" t="s">
        <v>4562</v>
      </c>
      <c r="E2135" s="2" t="s">
        <v>12</v>
      </c>
      <c r="F2135" t="s">
        <v>17</v>
      </c>
      <c r="G2135" t="s">
        <v>14</v>
      </c>
      <c r="N2135" s="2" t="s">
        <v>3256</v>
      </c>
      <c r="O2135" s="2" t="s">
        <v>1160</v>
      </c>
      <c r="P2135" s="2">
        <v>2127519898</v>
      </c>
      <c r="Q2135" s="2">
        <v>6.9</v>
      </c>
      <c r="R2135" s="2" t="s">
        <v>4563</v>
      </c>
      <c r="S2135" s="2"/>
      <c r="AC2135" s="2"/>
      <c r="AD2135" t="str">
        <f>IFERROR(__xludf.DUMMYFUNCTION("""COMPUTED_VALUE"""),"Babel ")</f>
        <v>Babel </v>
      </c>
      <c r="AE2135">
        <f t="shared" si="62"/>
        <v>34300628</v>
      </c>
    </row>
    <row r="2136" customHeight="1" spans="1:31">
      <c r="A2136" s="2" t="s">
        <v>2347</v>
      </c>
      <c r="B2136" s="2">
        <v>101</v>
      </c>
      <c r="C2136" s="2">
        <v>375474</v>
      </c>
      <c r="D2136" s="2" t="s">
        <v>882</v>
      </c>
      <c r="E2136" s="2" t="s">
        <v>30</v>
      </c>
      <c r="F2136" t="s">
        <v>40</v>
      </c>
      <c r="G2136" t="s">
        <v>83</v>
      </c>
      <c r="N2136" s="2" t="s">
        <v>18</v>
      </c>
      <c r="O2136" s="2" t="s">
        <v>19</v>
      </c>
      <c r="P2136" s="2">
        <v>20000000</v>
      </c>
      <c r="Q2136" s="2">
        <v>6.2</v>
      </c>
      <c r="R2136" s="2" t="s">
        <v>4564</v>
      </c>
      <c r="S2136" s="2"/>
      <c r="AC2136" s="2"/>
      <c r="AD2136" t="str">
        <f>IFERROR(__xludf.DUMMYFUNCTION("""COMPUTED_VALUE"""),"This Is Where I Leave You ")</f>
        <v>This Is Where I Leave You </v>
      </c>
      <c r="AE2136">
        <f t="shared" si="62"/>
        <v>34290039</v>
      </c>
    </row>
    <row r="2137" customHeight="1" spans="1:31">
      <c r="A2137" s="2" t="s">
        <v>218</v>
      </c>
      <c r="B2137" s="2">
        <v>107</v>
      </c>
      <c r="C2137" s="2">
        <v>305070</v>
      </c>
      <c r="D2137" s="2" t="s">
        <v>1130</v>
      </c>
      <c r="E2137" s="2" t="s">
        <v>12</v>
      </c>
      <c r="F2137" t="s">
        <v>30</v>
      </c>
      <c r="G2137" t="s">
        <v>30</v>
      </c>
      <c r="N2137" s="2" t="s">
        <v>18</v>
      </c>
      <c r="O2137" s="2" t="s">
        <v>19</v>
      </c>
      <c r="P2137" s="2">
        <v>20000000</v>
      </c>
      <c r="Q2137" s="2">
        <v>6.4</v>
      </c>
      <c r="R2137" s="2" t="s">
        <v>4565</v>
      </c>
      <c r="S2137" s="2"/>
      <c r="AC2137" s="2"/>
      <c r="AD2137" t="str">
        <f>IFERROR(__xludf.DUMMYFUNCTION("""COMPUTED_VALUE"""),"Doubt ")</f>
        <v>Doubt </v>
      </c>
      <c r="AE2137">
        <f t="shared" si="62"/>
        <v>33422452</v>
      </c>
    </row>
    <row r="2138" customHeight="1" spans="1:31">
      <c r="A2138" s="2" t="s">
        <v>1583</v>
      </c>
      <c r="B2138" s="2">
        <v>118</v>
      </c>
      <c r="C2138" s="2">
        <v>146072</v>
      </c>
      <c r="D2138" s="2" t="s">
        <v>4566</v>
      </c>
      <c r="E2138" s="2" t="s">
        <v>40</v>
      </c>
      <c r="F2138" t="s">
        <v>17</v>
      </c>
      <c r="G2138" t="s">
        <v>17</v>
      </c>
      <c r="N2138" s="2" t="s">
        <v>1125</v>
      </c>
      <c r="O2138" s="2" t="s">
        <v>707</v>
      </c>
      <c r="P2138" s="2">
        <v>140000000</v>
      </c>
      <c r="Q2138" s="2">
        <v>6</v>
      </c>
      <c r="R2138" s="2" t="s">
        <v>4567</v>
      </c>
      <c r="S2138" s="2"/>
      <c r="AC2138" s="2"/>
      <c r="AD2138" t="str">
        <f>IFERROR(__xludf.DUMMYFUNCTION("""COMPUTED_VALUE"""),"Team America: World Police ")</f>
        <v>Team America: World Police </v>
      </c>
      <c r="AE2138">
        <f t="shared" si="62"/>
        <v>32774736</v>
      </c>
    </row>
    <row r="2139" customHeight="1" spans="1:31">
      <c r="A2139" s="2" t="s">
        <v>1654</v>
      </c>
      <c r="B2139" s="2">
        <v>107</v>
      </c>
      <c r="C2139" s="2">
        <v>1183354</v>
      </c>
      <c r="D2139" s="2" t="s">
        <v>4568</v>
      </c>
      <c r="E2139" s="2" t="s">
        <v>12</v>
      </c>
      <c r="F2139" t="s">
        <v>83</v>
      </c>
      <c r="G2139" t="s">
        <v>14</v>
      </c>
      <c r="N2139" s="2" t="s">
        <v>18</v>
      </c>
      <c r="O2139" s="2" t="s">
        <v>19</v>
      </c>
      <c r="P2139" s="2">
        <v>20000000</v>
      </c>
      <c r="Q2139" s="2">
        <v>5.1</v>
      </c>
      <c r="R2139" s="2" t="s">
        <v>4569</v>
      </c>
      <c r="S2139" s="2"/>
      <c r="AC2139" s="2"/>
      <c r="AD2139" t="str">
        <f>IFERROR(__xludf.DUMMYFUNCTION("""COMPUTED_VALUE"""),"Texas Chainsaw 3D ")</f>
        <v>Texas Chainsaw 3D </v>
      </c>
      <c r="AE2139">
        <f t="shared" si="62"/>
        <v>34334164</v>
      </c>
    </row>
    <row r="2140" customHeight="1" spans="1:31">
      <c r="A2140" s="2" t="s">
        <v>2349</v>
      </c>
      <c r="B2140" s="2">
        <v>100</v>
      </c>
      <c r="C2140" s="2">
        <v>121972</v>
      </c>
      <c r="D2140" s="2" t="s">
        <v>4570</v>
      </c>
      <c r="E2140" s="2" t="s">
        <v>56</v>
      </c>
      <c r="F2140" t="s">
        <v>13</v>
      </c>
      <c r="G2140" t="s">
        <v>39</v>
      </c>
      <c r="N2140" s="2" t="s">
        <v>18</v>
      </c>
      <c r="O2140" s="2" t="s">
        <v>19</v>
      </c>
      <c r="P2140" s="2">
        <v>22000000</v>
      </c>
      <c r="Q2140" s="2">
        <v>5.5</v>
      </c>
      <c r="R2140" s="2" t="s">
        <v>4571</v>
      </c>
      <c r="S2140" s="2"/>
      <c r="AC2140" s="2"/>
      <c r="AD2140" t="str">
        <f>IFERROR(__xludf.DUMMYFUNCTION("""COMPUTED_VALUE"""),"Copycat ")</f>
        <v>Copycat </v>
      </c>
      <c r="AE2140">
        <f t="shared" si="62"/>
        <v>32051794</v>
      </c>
    </row>
    <row r="2141" customHeight="1" spans="1:31">
      <c r="A2141" s="2" t="s">
        <v>1416</v>
      </c>
      <c r="B2141" s="2">
        <v>110</v>
      </c>
      <c r="C2141" s="2">
        <v>263365</v>
      </c>
      <c r="D2141" s="2" t="s">
        <v>959</v>
      </c>
      <c r="E2141" s="2" t="s">
        <v>40</v>
      </c>
      <c r="F2141" t="s">
        <v>56</v>
      </c>
      <c r="G2141" t="s">
        <v>17</v>
      </c>
      <c r="N2141" s="2" t="s">
        <v>18</v>
      </c>
      <c r="O2141" s="2" t="s">
        <v>19</v>
      </c>
      <c r="P2141" s="2">
        <v>20000000</v>
      </c>
      <c r="Q2141" s="2">
        <v>5.4</v>
      </c>
      <c r="R2141" s="2" t="s">
        <v>4572</v>
      </c>
      <c r="S2141" s="2"/>
      <c r="AC2141" s="2"/>
      <c r="AD2141" t="str">
        <f>IFERROR(__xludf.DUMMYFUNCTION("""COMPUTED_VALUE"""),"Scary Movie 5 ")</f>
        <v>Scary Movie 5 </v>
      </c>
      <c r="AE2141">
        <f t="shared" si="62"/>
        <v>32014201</v>
      </c>
    </row>
    <row r="2142" customHeight="1" spans="1:31">
      <c r="A2142" s="2" t="s">
        <v>2181</v>
      </c>
      <c r="B2142" s="2">
        <v>125</v>
      </c>
      <c r="C2142" s="2">
        <v>8047690</v>
      </c>
      <c r="D2142" s="2" t="s">
        <v>103</v>
      </c>
      <c r="E2142" s="2" t="s">
        <v>30</v>
      </c>
      <c r="F2142" t="s">
        <v>56</v>
      </c>
      <c r="G2142" t="s">
        <v>24</v>
      </c>
      <c r="N2142" s="2" t="s">
        <v>722</v>
      </c>
      <c r="O2142" s="2" t="s">
        <v>343</v>
      </c>
      <c r="P2142" s="2">
        <v>19400000</v>
      </c>
      <c r="Q2142" s="2">
        <v>7.5</v>
      </c>
      <c r="R2142" s="2" t="s">
        <v>4573</v>
      </c>
      <c r="S2142" s="2"/>
      <c r="AC2142" s="2"/>
      <c r="AD2142" t="str">
        <f>IFERROR(__xludf.DUMMYFUNCTION("""COMPUTED_VALUE"""),"Milk ")</f>
        <v>Milk </v>
      </c>
      <c r="AE2142">
        <f t="shared" si="62"/>
        <v>31837874</v>
      </c>
    </row>
    <row r="2143" customHeight="1" spans="1:31">
      <c r="A2143" s="2" t="s">
        <v>2166</v>
      </c>
      <c r="B2143" s="2">
        <v>184</v>
      </c>
      <c r="C2143" s="2">
        <v>476270</v>
      </c>
      <c r="D2143" s="2" t="s">
        <v>3675</v>
      </c>
      <c r="E2143" s="2" t="s">
        <v>12</v>
      </c>
      <c r="F2143" t="s">
        <v>28</v>
      </c>
      <c r="G2143" t="s">
        <v>29</v>
      </c>
      <c r="N2143" s="2" t="s">
        <v>4574</v>
      </c>
      <c r="O2143" s="2" t="s">
        <v>293</v>
      </c>
      <c r="P2143" s="2">
        <v>20000000</v>
      </c>
      <c r="Q2143" s="2">
        <v>7.4</v>
      </c>
      <c r="R2143" s="2" t="s">
        <v>4575</v>
      </c>
      <c r="S2143" s="2"/>
      <c r="AC2143" s="2"/>
      <c r="AD2143" t="str">
        <f>IFERROR(__xludf.DUMMYFUNCTION("""COMPUTED_VALUE"""),"Risen ")</f>
        <v>Risen </v>
      </c>
      <c r="AE2143">
        <f t="shared" si="62"/>
        <v>36874638</v>
      </c>
    </row>
    <row r="2144" customHeight="1" spans="1:31">
      <c r="A2144" s="2" t="s">
        <v>849</v>
      </c>
      <c r="B2144" s="2">
        <v>236</v>
      </c>
      <c r="C2144" s="2">
        <v>184208848</v>
      </c>
      <c r="D2144" s="2" t="s">
        <v>2497</v>
      </c>
      <c r="E2144" s="2" t="s">
        <v>13</v>
      </c>
      <c r="F2144" t="s">
        <v>72</v>
      </c>
      <c r="G2144" t="s">
        <v>30</v>
      </c>
      <c r="N2144" s="2" t="s">
        <v>18</v>
      </c>
      <c r="O2144" s="2" t="s">
        <v>19</v>
      </c>
      <c r="P2144" s="2">
        <v>22000000</v>
      </c>
      <c r="Q2144" s="2">
        <v>8</v>
      </c>
      <c r="R2144" s="2" t="s">
        <v>4576</v>
      </c>
      <c r="S2144" s="2"/>
      <c r="AC2144" s="2"/>
      <c r="AD2144" t="str">
        <f>IFERROR(__xludf.DUMMYFUNCTION("""COMPUTED_VALUE"""),"Ghost Ship ")</f>
        <v>Ghost Ship </v>
      </c>
      <c r="AE2144">
        <f t="shared" si="62"/>
        <v>30079225</v>
      </c>
    </row>
    <row r="2145" customHeight="1" spans="1:31">
      <c r="A2145" s="2" t="s">
        <v>1531</v>
      </c>
      <c r="B2145" s="2">
        <v>97</v>
      </c>
      <c r="C2145" s="2">
        <v>100292856</v>
      </c>
      <c r="D2145" s="2" t="s">
        <v>40</v>
      </c>
      <c r="E2145" s="2" t="s">
        <v>40</v>
      </c>
      <c r="F2145" t="s">
        <v>56</v>
      </c>
      <c r="G2145" t="s">
        <v>17</v>
      </c>
      <c r="N2145" s="2" t="s">
        <v>18</v>
      </c>
      <c r="O2145" s="2" t="s">
        <v>19</v>
      </c>
      <c r="P2145" s="2">
        <v>20000000</v>
      </c>
      <c r="Q2145" s="2">
        <v>5.7</v>
      </c>
      <c r="R2145" s="2" t="s">
        <v>4577</v>
      </c>
      <c r="S2145" s="2"/>
      <c r="AC2145" s="2"/>
      <c r="AD2145" t="str">
        <f>IFERROR(__xludf.DUMMYFUNCTION("""COMPUTED_VALUE"""),"A Very Harold &amp; Kumar 3D Christmas ")</f>
        <v>A Very Harold &amp; Kumar 3D Christmas </v>
      </c>
      <c r="AE2145">
        <f t="shared" si="62"/>
        <v>35033669</v>
      </c>
    </row>
    <row r="2146" customHeight="1" spans="1:31">
      <c r="A2146" s="2" t="s">
        <v>1119</v>
      </c>
      <c r="B2146" s="2">
        <v>113</v>
      </c>
      <c r="C2146" s="2">
        <v>58571513</v>
      </c>
      <c r="D2146" s="2" t="s">
        <v>814</v>
      </c>
      <c r="E2146" s="2" t="s">
        <v>56</v>
      </c>
      <c r="F2146" t="s">
        <v>30</v>
      </c>
      <c r="G2146" t="s">
        <v>30</v>
      </c>
      <c r="N2146" s="2" t="s">
        <v>18</v>
      </c>
      <c r="O2146" s="2" t="s">
        <v>19</v>
      </c>
      <c r="P2146" s="2">
        <v>19000000</v>
      </c>
      <c r="Q2146" s="2">
        <v>6.8</v>
      </c>
      <c r="R2146" s="2" t="s">
        <v>4578</v>
      </c>
      <c r="S2146" s="2"/>
      <c r="AC2146" s="2"/>
      <c r="AD2146" t="str">
        <f>IFERROR(__xludf.DUMMYFUNCTION("""COMPUTED_VALUE"""),"Wild Things ")</f>
        <v>Wild Things </v>
      </c>
      <c r="AE2146">
        <f t="shared" si="62"/>
        <v>29753829</v>
      </c>
    </row>
    <row r="2147" customHeight="1" spans="1:31">
      <c r="A2147" s="2" t="s">
        <v>2352</v>
      </c>
      <c r="B2147" s="2">
        <v>95</v>
      </c>
      <c r="C2147" s="2">
        <v>51431160</v>
      </c>
      <c r="D2147" s="2" t="s">
        <v>1061</v>
      </c>
      <c r="E2147" s="2" t="s">
        <v>40</v>
      </c>
      <c r="F2147" t="s">
        <v>28</v>
      </c>
      <c r="G2147" t="s">
        <v>39</v>
      </c>
      <c r="N2147" s="2" t="s">
        <v>18</v>
      </c>
      <c r="O2147" s="2" t="s">
        <v>19</v>
      </c>
      <c r="P2147" s="2">
        <v>20000000</v>
      </c>
      <c r="Q2147" s="2">
        <v>5.9</v>
      </c>
      <c r="R2147" s="2" t="s">
        <v>4579</v>
      </c>
      <c r="S2147" s="2"/>
      <c r="AC2147" s="2"/>
      <c r="AD2147" t="str">
        <f>IFERROR(__xludf.DUMMYFUNCTION("""COMPUTED_VALUE"""),"The Debt ")</f>
        <v>The Debt </v>
      </c>
      <c r="AE2147">
        <f t="shared" si="62"/>
        <v>31146457</v>
      </c>
    </row>
    <row r="2148" customHeight="1" spans="1:31">
      <c r="A2148" s="2" t="s">
        <v>1502</v>
      </c>
      <c r="B2148" s="2">
        <v>103</v>
      </c>
      <c r="C2148" s="2">
        <v>103001286</v>
      </c>
      <c r="D2148" s="2" t="s">
        <v>2613</v>
      </c>
      <c r="E2148" s="2" t="s">
        <v>72</v>
      </c>
      <c r="F2148" t="s">
        <v>24</v>
      </c>
      <c r="G2148" t="s">
        <v>17</v>
      </c>
      <c r="N2148" s="2" t="s">
        <v>18</v>
      </c>
      <c r="O2148" s="2" t="s">
        <v>19</v>
      </c>
      <c r="P2148" s="2">
        <v>15000000</v>
      </c>
      <c r="Q2148" s="2">
        <v>7.2</v>
      </c>
      <c r="R2148" s="2" t="s">
        <v>4580</v>
      </c>
      <c r="S2148" s="2"/>
      <c r="AC2148" s="2"/>
      <c r="AD2148" t="str">
        <f>IFERROR(__xludf.DUMMYFUNCTION("""COMPUTED_VALUE"""),"High Fidelity ")</f>
        <v>High Fidelity </v>
      </c>
      <c r="AE2148">
        <f t="shared" si="62"/>
        <v>27276942</v>
      </c>
    </row>
    <row r="2149" customHeight="1" spans="1:31">
      <c r="A2149" s="2" t="s">
        <v>2241</v>
      </c>
      <c r="B2149" s="2">
        <v>91</v>
      </c>
      <c r="C2149" s="2">
        <v>41867960</v>
      </c>
      <c r="D2149" s="2" t="s">
        <v>72</v>
      </c>
      <c r="E2149" s="2" t="s">
        <v>72</v>
      </c>
      <c r="F2149" t="s">
        <v>30</v>
      </c>
      <c r="G2149" t="s">
        <v>83</v>
      </c>
      <c r="N2149" s="2" t="s">
        <v>18</v>
      </c>
      <c r="O2149" s="2" t="s">
        <v>19</v>
      </c>
      <c r="P2149" s="2">
        <v>20000000</v>
      </c>
      <c r="Q2149" s="2">
        <v>5.5</v>
      </c>
      <c r="R2149" s="2" t="s">
        <v>4581</v>
      </c>
      <c r="S2149" s="2"/>
      <c r="AC2149" s="2"/>
      <c r="AD2149" t="str">
        <f>IFERROR(__xludf.DUMMYFUNCTION("""COMPUTED_VALUE"""),"One Missed Call ")</f>
        <v>One Missed Call </v>
      </c>
      <c r="AE2149">
        <f t="shared" si="62"/>
        <v>26876442</v>
      </c>
    </row>
    <row r="2150" customHeight="1" spans="1:31">
      <c r="A2150" s="2" t="s">
        <v>178</v>
      </c>
      <c r="B2150" s="2">
        <v>116</v>
      </c>
      <c r="C2150" s="2">
        <v>210609762</v>
      </c>
      <c r="D2150" s="2" t="s">
        <v>690</v>
      </c>
      <c r="E2150" s="2" t="s">
        <v>13</v>
      </c>
      <c r="F2150" t="s">
        <v>30</v>
      </c>
      <c r="G2150" t="s">
        <v>17</v>
      </c>
      <c r="N2150" s="2" t="s">
        <v>18</v>
      </c>
      <c r="O2150" s="2" t="s">
        <v>19</v>
      </c>
      <c r="P2150" s="2">
        <v>19000000</v>
      </c>
      <c r="Q2150" s="2">
        <v>8.5</v>
      </c>
      <c r="R2150" s="2" t="s">
        <v>4582</v>
      </c>
      <c r="S2150" s="2"/>
      <c r="AC2150" s="2"/>
      <c r="AD2150" t="str">
        <f>IFERROR(__xludf.DUMMYFUNCTION("""COMPUTED_VALUE"""),"Eye for an Eye ")</f>
        <v>Eye for an Eye </v>
      </c>
      <c r="AE2150">
        <f t="shared" si="62"/>
        <v>53145899</v>
      </c>
    </row>
    <row r="2151" customHeight="1" spans="1:31">
      <c r="A2151" s="2" t="s">
        <v>1572</v>
      </c>
      <c r="B2151" s="2">
        <v>93</v>
      </c>
      <c r="C2151" s="2">
        <v>40846082</v>
      </c>
      <c r="D2151" s="2" t="s">
        <v>1189</v>
      </c>
      <c r="E2151" s="2" t="s">
        <v>72</v>
      </c>
      <c r="F2151" t="s">
        <v>30</v>
      </c>
      <c r="G2151" t="s">
        <v>17</v>
      </c>
      <c r="N2151" s="2" t="s">
        <v>18</v>
      </c>
      <c r="O2151" s="2" t="s">
        <v>19</v>
      </c>
      <c r="P2151" s="2">
        <v>19000000</v>
      </c>
      <c r="Q2151" s="2">
        <v>5.6</v>
      </c>
      <c r="R2151" s="2" t="s">
        <v>4583</v>
      </c>
      <c r="S2151" s="2"/>
      <c r="AC2151" s="2"/>
      <c r="AD2151" t="str">
        <f>IFERROR(__xludf.DUMMYFUNCTION("""COMPUTED_VALUE"""),"The Bank Job ")</f>
        <v>The Bank Job </v>
      </c>
      <c r="AE2151">
        <f t="shared" si="62"/>
        <v>30028481</v>
      </c>
    </row>
    <row r="2152" customHeight="1" spans="1:31">
      <c r="A2152" s="2" t="s">
        <v>2006</v>
      </c>
      <c r="B2152" s="2">
        <v>113</v>
      </c>
      <c r="C2152" s="2">
        <v>51697449</v>
      </c>
      <c r="D2152" s="2" t="s">
        <v>975</v>
      </c>
      <c r="E2152" s="2" t="s">
        <v>40</v>
      </c>
      <c r="F2152" t="s">
        <v>17</v>
      </c>
      <c r="G2152" t="s">
        <v>28</v>
      </c>
      <c r="N2152" s="2" t="s">
        <v>18</v>
      </c>
      <c r="O2152" s="2" t="s">
        <v>19</v>
      </c>
      <c r="P2152" s="2">
        <v>13000000</v>
      </c>
      <c r="Q2152" s="2">
        <v>4.1</v>
      </c>
      <c r="R2152" s="2" t="s">
        <v>4584</v>
      </c>
      <c r="S2152" s="2"/>
      <c r="AC2152" s="2"/>
      <c r="AD2152" t="str">
        <f>IFERROR(__xludf.DUMMYFUNCTION("""COMPUTED_VALUE"""),"Eternal Sunshine of the Spotless Mind ")</f>
        <v>Eternal Sunshine of the Spotless Mind </v>
      </c>
      <c r="AE2152">
        <f t="shared" si="62"/>
        <v>34126030</v>
      </c>
    </row>
    <row r="2153" customHeight="1" spans="1:31">
      <c r="A2153" s="2" t="s">
        <v>1038</v>
      </c>
      <c r="B2153" s="2">
        <v>101</v>
      </c>
      <c r="C2153" s="2">
        <v>27758465</v>
      </c>
      <c r="D2153" s="2" t="s">
        <v>521</v>
      </c>
      <c r="E2153" s="2" t="s">
        <v>40</v>
      </c>
      <c r="F2153" t="s">
        <v>30</v>
      </c>
      <c r="G2153" t="s">
        <v>30</v>
      </c>
      <c r="N2153" s="2" t="s">
        <v>18</v>
      </c>
      <c r="O2153" s="2" t="s">
        <v>19</v>
      </c>
      <c r="P2153" s="2">
        <v>19000000</v>
      </c>
      <c r="Q2153" s="2">
        <v>6.1</v>
      </c>
      <c r="R2153" s="2" t="s">
        <v>4585</v>
      </c>
      <c r="S2153" s="2"/>
      <c r="AC2153" s="2"/>
      <c r="AD2153" t="str">
        <f>IFERROR(__xludf.DUMMYFUNCTION("""COMPUTED_VALUE"""),"You Again ")</f>
        <v>You Again </v>
      </c>
      <c r="AE2153">
        <f t="shared" si="62"/>
        <v>25677696</v>
      </c>
    </row>
    <row r="2154" customHeight="1" spans="1:31">
      <c r="A2154" s="2" t="s">
        <v>315</v>
      </c>
      <c r="B2154" s="2">
        <v>95</v>
      </c>
      <c r="C2154" s="2">
        <v>56127162</v>
      </c>
      <c r="D2154" s="2" t="s">
        <v>607</v>
      </c>
      <c r="E2154" s="2" t="s">
        <v>40</v>
      </c>
      <c r="F2154" t="s">
        <v>17</v>
      </c>
      <c r="G2154" t="s">
        <v>30</v>
      </c>
      <c r="N2154" s="2" t="s">
        <v>18</v>
      </c>
      <c r="O2154" s="2" t="s">
        <v>19</v>
      </c>
      <c r="P2154" s="2">
        <v>18000000</v>
      </c>
      <c r="Q2154" s="2">
        <v>5.4</v>
      </c>
      <c r="R2154" s="2" t="s">
        <v>4586</v>
      </c>
      <c r="S2154" s="2"/>
      <c r="AC2154" s="2"/>
      <c r="AD2154" t="str">
        <f>IFERROR(__xludf.DUMMYFUNCTION("""COMPUTED_VALUE"""),"Street Kings ")</f>
        <v>Street Kings </v>
      </c>
      <c r="AE2154">
        <f t="shared" si="62"/>
        <v>26415540</v>
      </c>
    </row>
    <row r="2155" customHeight="1" spans="1:31">
      <c r="A2155" s="2" t="s">
        <v>367</v>
      </c>
      <c r="B2155" s="2">
        <v>109</v>
      </c>
      <c r="C2155" s="2">
        <v>1357042</v>
      </c>
      <c r="D2155" s="2" t="s">
        <v>1438</v>
      </c>
      <c r="E2155" s="2" t="s">
        <v>59</v>
      </c>
      <c r="F2155" t="s">
        <v>30</v>
      </c>
      <c r="G2155" t="s">
        <v>24</v>
      </c>
      <c r="N2155" s="2" t="s">
        <v>18</v>
      </c>
      <c r="O2155" s="2" t="s">
        <v>3275</v>
      </c>
      <c r="P2155" s="2">
        <v>15000000</v>
      </c>
      <c r="Q2155" s="2">
        <v>7.1</v>
      </c>
      <c r="R2155" s="2" t="s">
        <v>4587</v>
      </c>
      <c r="S2155" s="2"/>
      <c r="AC2155" s="2"/>
      <c r="AD2155" t="str">
        <f>IFERROR(__xludf.DUMMYFUNCTION("""COMPUTED_VALUE"""),"The World's End ")</f>
        <v>The World's End </v>
      </c>
      <c r="AE2155">
        <f t="shared" si="62"/>
        <v>26003040</v>
      </c>
    </row>
    <row r="2156" customHeight="1" spans="1:31">
      <c r="A2156" s="2" t="s">
        <v>2355</v>
      </c>
      <c r="B2156" s="2">
        <v>85</v>
      </c>
      <c r="C2156" s="2">
        <v>15911333</v>
      </c>
      <c r="D2156" s="2" t="s">
        <v>943</v>
      </c>
      <c r="E2156" s="2" t="s">
        <v>13</v>
      </c>
      <c r="F2156" t="s">
        <v>30</v>
      </c>
      <c r="G2156" t="s">
        <v>39</v>
      </c>
      <c r="N2156" s="2" t="s">
        <v>18</v>
      </c>
      <c r="O2156" s="2" t="s">
        <v>31</v>
      </c>
      <c r="P2156" s="2">
        <v>19000000</v>
      </c>
      <c r="Q2156" s="2">
        <v>3.6</v>
      </c>
      <c r="R2156" s="2" t="s">
        <v>4588</v>
      </c>
      <c r="S2156" s="2"/>
      <c r="AC2156" s="2"/>
      <c r="AD2156" t="str">
        <f>IFERROR(__xludf.DUMMYFUNCTION("""COMPUTED_VALUE"""),"Nancy Drew ")</f>
        <v>Nancy Drew </v>
      </c>
      <c r="AE2156">
        <f t="shared" si="62"/>
        <v>25584586</v>
      </c>
    </row>
    <row r="2157" customHeight="1" spans="1:31">
      <c r="A2157" s="2" t="s">
        <v>405</v>
      </c>
      <c r="B2157" s="2">
        <v>101</v>
      </c>
      <c r="C2157" s="2">
        <v>39103378</v>
      </c>
      <c r="D2157" s="2" t="s">
        <v>2781</v>
      </c>
      <c r="E2157" s="2" t="s">
        <v>72</v>
      </c>
      <c r="F2157" t="s">
        <v>30</v>
      </c>
      <c r="G2157" t="s">
        <v>24</v>
      </c>
      <c r="N2157" s="2" t="s">
        <v>18</v>
      </c>
      <c r="O2157" s="2" t="s">
        <v>19</v>
      </c>
      <c r="P2157" s="2">
        <v>20000000</v>
      </c>
      <c r="Q2157" s="2">
        <v>6.5</v>
      </c>
      <c r="R2157" s="2" t="s">
        <v>4589</v>
      </c>
      <c r="S2157" s="2"/>
      <c r="AC2157" s="2"/>
      <c r="AD2157" t="str">
        <f>IFERROR(__xludf.DUMMYFUNCTION("""COMPUTED_VALUE"""),"Daybreakers ")</f>
        <v>Daybreakers </v>
      </c>
      <c r="AE2157">
        <f t="shared" si="62"/>
        <v>29975881</v>
      </c>
    </row>
    <row r="2158" customHeight="1" spans="1:31">
      <c r="A2158" s="2" t="s">
        <v>1715</v>
      </c>
      <c r="B2158" s="2">
        <v>125</v>
      </c>
      <c r="C2158" s="2">
        <v>10049886</v>
      </c>
      <c r="D2158" s="2" t="s">
        <v>250</v>
      </c>
      <c r="E2158" s="2" t="s">
        <v>13</v>
      </c>
      <c r="F2158" t="s">
        <v>30</v>
      </c>
      <c r="G2158" t="s">
        <v>28</v>
      </c>
      <c r="N2158" s="2" t="s">
        <v>3256</v>
      </c>
      <c r="O2158" s="2" t="s">
        <v>1160</v>
      </c>
      <c r="P2158" s="2">
        <v>19000000</v>
      </c>
      <c r="Q2158" s="2">
        <v>8.6</v>
      </c>
      <c r="R2158" s="2" t="s">
        <v>4590</v>
      </c>
      <c r="S2158" s="2"/>
      <c r="AC2158" s="2"/>
      <c r="AD2158" t="str">
        <f>IFERROR(__xludf.DUMMYFUNCTION("""COMPUTED_VALUE"""),"She's Out of My League ")</f>
        <v>She's Out of My League </v>
      </c>
      <c r="AE2158">
        <f t="shared" si="62"/>
        <v>31584618</v>
      </c>
    </row>
    <row r="2159" customHeight="1" spans="1:31">
      <c r="A2159" s="2" t="s">
        <v>543</v>
      </c>
      <c r="B2159" s="2">
        <v>132</v>
      </c>
      <c r="C2159" s="2">
        <v>8600000</v>
      </c>
      <c r="D2159" s="2" t="s">
        <v>1130</v>
      </c>
      <c r="E2159" s="2" t="s">
        <v>12</v>
      </c>
      <c r="F2159" t="s">
        <v>14</v>
      </c>
      <c r="G2159" t="s">
        <v>72</v>
      </c>
      <c r="N2159" s="2" t="s">
        <v>18</v>
      </c>
      <c r="O2159" s="2" t="s">
        <v>31</v>
      </c>
      <c r="P2159" s="2">
        <v>25000000</v>
      </c>
      <c r="Q2159" s="2">
        <v>7</v>
      </c>
      <c r="R2159" s="2" t="s">
        <v>4591</v>
      </c>
      <c r="S2159" s="2"/>
      <c r="AC2159" s="2"/>
      <c r="AD2159" t="str">
        <f>IFERROR(__xludf.DUMMYFUNCTION("""COMPUTED_VALUE"""),"Monte Carlo ")</f>
        <v>Monte Carlo </v>
      </c>
      <c r="AE2159">
        <f t="shared" si="62"/>
        <v>23179194</v>
      </c>
    </row>
    <row r="2160" customHeight="1" spans="1:31">
      <c r="A2160" s="2" t="s">
        <v>2357</v>
      </c>
      <c r="B2160" s="2">
        <v>131</v>
      </c>
      <c r="C2160" s="2">
        <v>21483154</v>
      </c>
      <c r="D2160" s="2" t="s">
        <v>1354</v>
      </c>
      <c r="E2160" s="2" t="s">
        <v>30</v>
      </c>
      <c r="F2160" t="s">
        <v>40</v>
      </c>
      <c r="G2160" t="s">
        <v>72</v>
      </c>
      <c r="N2160" s="2" t="s">
        <v>18</v>
      </c>
      <c r="O2160" s="2" t="s">
        <v>19</v>
      </c>
      <c r="P2160" s="2">
        <v>19000000</v>
      </c>
      <c r="Q2160" s="2">
        <v>7.6</v>
      </c>
      <c r="R2160" s="2" t="s">
        <v>4592</v>
      </c>
      <c r="S2160" s="2"/>
      <c r="AC2160" s="2"/>
      <c r="AD2160" t="str">
        <f>IFERROR(__xludf.DUMMYFUNCTION("""COMPUTED_VALUE"""),"Stay Alive ")</f>
        <v>Stay Alive </v>
      </c>
      <c r="AE2160">
        <f t="shared" si="62"/>
        <v>23078219</v>
      </c>
    </row>
    <row r="2161" customHeight="1" spans="1:31">
      <c r="A2161" s="2" t="s">
        <v>1162</v>
      </c>
      <c r="B2161" s="2">
        <v>129</v>
      </c>
      <c r="C2161" s="2">
        <v>8396942</v>
      </c>
      <c r="D2161" s="2" t="s">
        <v>4593</v>
      </c>
      <c r="E2161" s="2" t="s">
        <v>13</v>
      </c>
      <c r="F2161" t="s">
        <v>23</v>
      </c>
      <c r="G2161" t="s">
        <v>30</v>
      </c>
      <c r="N2161" s="2" t="s">
        <v>18</v>
      </c>
      <c r="O2161" s="2" t="s">
        <v>19</v>
      </c>
      <c r="P2161" s="2">
        <v>19000000</v>
      </c>
      <c r="Q2161" s="2">
        <v>6.5</v>
      </c>
      <c r="R2161" s="2" t="s">
        <v>4594</v>
      </c>
      <c r="S2161" s="2"/>
      <c r="AC2161" s="2"/>
      <c r="AD2161" t="str">
        <f>IFERROR(__xludf.DUMMYFUNCTION("""COMPUTED_VALUE"""),"Quigley Down Under ")</f>
        <v>Quigley Down Under </v>
      </c>
      <c r="AE2161">
        <f t="shared" si="62"/>
        <v>21412986</v>
      </c>
    </row>
    <row r="2162" customHeight="1" spans="1:31">
      <c r="A2162" s="2" t="s">
        <v>2359</v>
      </c>
      <c r="B2162" s="2">
        <v>100</v>
      </c>
      <c r="C2162" s="2">
        <v>12561</v>
      </c>
      <c r="D2162" s="2" t="s">
        <v>607</v>
      </c>
      <c r="E2162" s="2" t="s">
        <v>40</v>
      </c>
      <c r="F2162" t="s">
        <v>14</v>
      </c>
      <c r="G2162" t="s">
        <v>24</v>
      </c>
      <c r="N2162" s="2" t="s">
        <v>18</v>
      </c>
      <c r="O2162" s="2" t="s">
        <v>19</v>
      </c>
      <c r="P2162" s="2">
        <v>19000000</v>
      </c>
      <c r="Q2162" s="2">
        <v>6.4</v>
      </c>
      <c r="R2162" s="2" t="s">
        <v>4595</v>
      </c>
      <c r="S2162" s="2"/>
      <c r="AC2162" s="2"/>
      <c r="AD2162" t="str">
        <f>IFERROR(__xludf.DUMMYFUNCTION("""COMPUTED_VALUE"""),"Alpha and Omega ")</f>
        <v>Alpha and Omega </v>
      </c>
      <c r="AE2162">
        <f t="shared" si="62"/>
        <v>25077887</v>
      </c>
    </row>
    <row r="2163" customHeight="1" spans="1:31">
      <c r="A2163" s="2" t="s">
        <v>2361</v>
      </c>
      <c r="B2163" s="2">
        <v>97</v>
      </c>
      <c r="C2163" s="2">
        <v>6923891</v>
      </c>
      <c r="D2163" s="2" t="s">
        <v>521</v>
      </c>
      <c r="E2163" s="2" t="s">
        <v>40</v>
      </c>
      <c r="F2163" t="s">
        <v>40</v>
      </c>
      <c r="G2163" t="s">
        <v>24</v>
      </c>
      <c r="N2163" s="2" t="s">
        <v>18</v>
      </c>
      <c r="O2163" s="2" t="s">
        <v>19</v>
      </c>
      <c r="P2163" s="2">
        <v>23000000</v>
      </c>
      <c r="Q2163" s="2">
        <v>6.3</v>
      </c>
      <c r="R2163" s="2" t="s">
        <v>4596</v>
      </c>
      <c r="S2163" s="2"/>
      <c r="AC2163" s="2"/>
      <c r="AD2163" t="str">
        <f>IFERROR(__xludf.DUMMYFUNCTION("""COMPUTED_VALUE"""),"The Covenant ")</f>
        <v>The Covenant </v>
      </c>
      <c r="AE2163">
        <f t="shared" si="62"/>
        <v>23292008</v>
      </c>
    </row>
    <row r="2164" customHeight="1" spans="1:31">
      <c r="A2164" s="2" t="s">
        <v>2363</v>
      </c>
      <c r="B2164" s="2">
        <v>92</v>
      </c>
      <c r="C2164" s="2">
        <v>2119994</v>
      </c>
      <c r="D2164" s="2" t="s">
        <v>4597</v>
      </c>
      <c r="E2164" s="2" t="s">
        <v>23</v>
      </c>
      <c r="F2164" t="s">
        <v>30</v>
      </c>
      <c r="G2164" t="s">
        <v>83</v>
      </c>
      <c r="N2164" s="2" t="s">
        <v>18</v>
      </c>
      <c r="O2164" s="2" t="s">
        <v>19</v>
      </c>
      <c r="P2164" s="2">
        <v>19000000</v>
      </c>
      <c r="Q2164" s="2">
        <v>5.7</v>
      </c>
      <c r="R2164" s="2" t="s">
        <v>4598</v>
      </c>
      <c r="S2164" s="2"/>
      <c r="AC2164" s="2"/>
      <c r="AD2164" t="str">
        <f>IFERROR(__xludf.DUMMYFUNCTION("""COMPUTED_VALUE"""),"Shorts ")</f>
        <v>Shorts </v>
      </c>
      <c r="AE2164">
        <f t="shared" si="62"/>
        <v>20916220</v>
      </c>
    </row>
    <row r="2165" customHeight="1" spans="1:31">
      <c r="A2165" s="2" t="s">
        <v>2365</v>
      </c>
      <c r="B2165" s="2">
        <v>116</v>
      </c>
      <c r="C2165" s="2">
        <v>1292527</v>
      </c>
      <c r="D2165" s="2" t="s">
        <v>4599</v>
      </c>
      <c r="E2165" s="2" t="s">
        <v>56</v>
      </c>
      <c r="F2165" t="s">
        <v>72</v>
      </c>
      <c r="G2165" t="s">
        <v>23</v>
      </c>
      <c r="N2165" s="2" t="s">
        <v>18</v>
      </c>
      <c r="O2165" s="2" t="s">
        <v>707</v>
      </c>
      <c r="P2165" s="2">
        <v>19000000</v>
      </c>
      <c r="Q2165" s="2">
        <v>6.3</v>
      </c>
      <c r="R2165" s="2" t="s">
        <v>4600</v>
      </c>
      <c r="S2165" s="2"/>
      <c r="AC2165" s="2"/>
      <c r="AD2165" t="str">
        <f>IFERROR(__xludf.DUMMYFUNCTION("""COMPUTED_VALUE"""),"To Die For ")</f>
        <v>To Die For </v>
      </c>
      <c r="AE2165">
        <f t="shared" si="62"/>
        <v>21199894</v>
      </c>
    </row>
    <row r="2166" customHeight="1" spans="1:31">
      <c r="A2166" s="2" t="s">
        <v>2367</v>
      </c>
      <c r="B2166" s="2">
        <v>90</v>
      </c>
      <c r="C2166" s="2">
        <v>64255243</v>
      </c>
      <c r="D2166" s="2" t="s">
        <v>2539</v>
      </c>
      <c r="E2166" s="2" t="s">
        <v>30</v>
      </c>
      <c r="F2166" t="s">
        <v>40</v>
      </c>
      <c r="G2166" t="s">
        <v>24</v>
      </c>
      <c r="N2166" s="2" t="s">
        <v>18</v>
      </c>
      <c r="O2166" s="2" t="s">
        <v>19</v>
      </c>
      <c r="P2166" s="2">
        <v>19000000</v>
      </c>
      <c r="Q2166" s="2">
        <v>6</v>
      </c>
      <c r="R2166" s="2" t="s">
        <v>4601</v>
      </c>
      <c r="S2166" s="2"/>
      <c r="AC2166" s="2"/>
      <c r="AD2166" t="str">
        <f>IFERROR(__xludf.DUMMYFUNCTION("""COMPUTED_VALUE"""),"Nerve ")</f>
        <v>Nerve </v>
      </c>
      <c r="AE2166">
        <f t="shared" si="62"/>
        <v>28876828</v>
      </c>
    </row>
    <row r="2167" customHeight="1" spans="1:31">
      <c r="A2167" s="2" t="s">
        <v>640</v>
      </c>
      <c r="B2167" s="2">
        <v>81</v>
      </c>
      <c r="C2167" s="2">
        <v>22245861</v>
      </c>
      <c r="D2167" s="2" t="s">
        <v>975</v>
      </c>
      <c r="E2167" s="2" t="s">
        <v>40</v>
      </c>
      <c r="F2167" t="s">
        <v>56</v>
      </c>
      <c r="G2167" t="s">
        <v>17</v>
      </c>
      <c r="N2167" s="2" t="s">
        <v>18</v>
      </c>
      <c r="O2167" s="2" t="s">
        <v>19</v>
      </c>
      <c r="P2167" s="2">
        <v>19000000</v>
      </c>
      <c r="Q2167" s="2">
        <v>7.7</v>
      </c>
      <c r="R2167" s="2" t="s">
        <v>4602</v>
      </c>
      <c r="S2167" s="2"/>
      <c r="AC2167" s="2"/>
      <c r="AD2167" t="str">
        <f>IFERROR(__xludf.DUMMYFUNCTION("""COMPUTED_VALUE"""),"Vampires ")</f>
        <v>Vampires </v>
      </c>
      <c r="AE2167">
        <f t="shared" ref="AE2167:AE2230" si="63">C2051-B2051</f>
        <v>20241291</v>
      </c>
    </row>
    <row r="2168" customHeight="1" spans="1:31">
      <c r="A2168" s="2" t="s">
        <v>2369</v>
      </c>
      <c r="B2168" s="2">
        <v>97</v>
      </c>
      <c r="C2168" s="2">
        <v>20433940</v>
      </c>
      <c r="D2168" s="2" t="s">
        <v>72</v>
      </c>
      <c r="E2168" s="2" t="s">
        <v>72</v>
      </c>
      <c r="F2168" t="s">
        <v>40</v>
      </c>
      <c r="G2168" t="s">
        <v>30</v>
      </c>
      <c r="N2168" s="2" t="s">
        <v>18</v>
      </c>
      <c r="O2168" s="2" t="s">
        <v>121</v>
      </c>
      <c r="P2168" s="2">
        <v>15000000</v>
      </c>
      <c r="Q2168" s="2">
        <v>6.2</v>
      </c>
      <c r="R2168" s="2" t="s">
        <v>4603</v>
      </c>
      <c r="S2168" s="2"/>
      <c r="AC2168" s="2"/>
      <c r="AD2168" t="str">
        <f>IFERROR(__xludf.DUMMYFUNCTION("""COMPUTED_VALUE"""),"Psycho ")</f>
        <v>Psycho </v>
      </c>
      <c r="AE2168">
        <f t="shared" si="63"/>
        <v>31999892</v>
      </c>
    </row>
    <row r="2169" customHeight="1" spans="1:31">
      <c r="A2169" s="2" t="s">
        <v>836</v>
      </c>
      <c r="B2169" s="2">
        <v>118</v>
      </c>
      <c r="C2169" s="2">
        <v>10562387</v>
      </c>
      <c r="D2169" s="2" t="s">
        <v>2214</v>
      </c>
      <c r="E2169" s="2" t="s">
        <v>13</v>
      </c>
      <c r="F2169" t="s">
        <v>30</v>
      </c>
      <c r="G2169" t="s">
        <v>24</v>
      </c>
      <c r="N2169" s="2" t="s">
        <v>18</v>
      </c>
      <c r="O2169" s="2" t="s">
        <v>19</v>
      </c>
      <c r="P2169" s="2">
        <v>18500000</v>
      </c>
      <c r="Q2169" s="2">
        <v>7.7</v>
      </c>
      <c r="R2169" s="2" t="s">
        <v>4604</v>
      </c>
      <c r="S2169" s="2"/>
      <c r="AC2169" s="2"/>
      <c r="AD2169" t="str">
        <f>IFERROR(__xludf.DUMMYFUNCTION("""COMPUTED_VALUE"""),"My Best Friend's Girl ")</f>
        <v>My Best Friend's Girl </v>
      </c>
      <c r="AE2169">
        <f t="shared" si="63"/>
        <v>19151752</v>
      </c>
    </row>
    <row r="2170" customHeight="1" spans="1:31">
      <c r="A2170" s="2" t="s">
        <v>2371</v>
      </c>
      <c r="B2170" s="2">
        <v>100</v>
      </c>
      <c r="C2170" s="2">
        <v>18439082</v>
      </c>
      <c r="D2170" s="2" t="s">
        <v>1456</v>
      </c>
      <c r="E2170" s="2" t="s">
        <v>40</v>
      </c>
      <c r="F2170" t="s">
        <v>17</v>
      </c>
      <c r="G2170" t="s">
        <v>30</v>
      </c>
      <c r="N2170" s="2" t="s">
        <v>18</v>
      </c>
      <c r="O2170" s="2" t="s">
        <v>19</v>
      </c>
      <c r="P2170" s="2">
        <v>18500000</v>
      </c>
      <c r="Q2170" s="2">
        <v>6.4</v>
      </c>
      <c r="R2170" s="2" t="s">
        <v>4605</v>
      </c>
      <c r="S2170" s="2"/>
      <c r="AC2170" s="2"/>
      <c r="AD2170" t="str">
        <f>IFERROR(__xludf.DUMMYFUNCTION("""COMPUTED_VALUE"""),"Endless Love ")</f>
        <v>Endless Love </v>
      </c>
      <c r="AE2170">
        <f t="shared" si="63"/>
        <v>23393661</v>
      </c>
    </row>
    <row r="2171" customHeight="1" spans="1:31">
      <c r="A2171" s="2" t="s">
        <v>1659</v>
      </c>
      <c r="B2171" s="2">
        <v>97</v>
      </c>
      <c r="C2171" s="2">
        <v>150056505</v>
      </c>
      <c r="D2171" s="2" t="s">
        <v>40</v>
      </c>
      <c r="E2171" s="2" t="s">
        <v>40</v>
      </c>
      <c r="F2171" t="s">
        <v>30</v>
      </c>
      <c r="G2171" t="s">
        <v>15</v>
      </c>
      <c r="N2171" s="2" t="s">
        <v>18</v>
      </c>
      <c r="O2171" s="2" t="s">
        <v>19</v>
      </c>
      <c r="P2171" s="2">
        <v>18000000</v>
      </c>
      <c r="Q2171" s="2">
        <v>6.4</v>
      </c>
      <c r="R2171" s="2" t="s">
        <v>4606</v>
      </c>
      <c r="S2171" s="2"/>
      <c r="AC2171" s="2"/>
      <c r="AD2171" t="str">
        <f>IFERROR(__xludf.DUMMYFUNCTION("""COMPUTED_VALUE"""),"Georgia Rule ")</f>
        <v>Georgia Rule </v>
      </c>
      <c r="AE2171">
        <f t="shared" si="63"/>
        <v>18882767</v>
      </c>
    </row>
    <row r="2172" customHeight="1" spans="1:31">
      <c r="A2172" s="2" t="s">
        <v>624</v>
      </c>
      <c r="B2172" s="2">
        <v>114</v>
      </c>
      <c r="C2172" s="2">
        <v>119938730</v>
      </c>
      <c r="D2172" s="2" t="s">
        <v>4474</v>
      </c>
      <c r="E2172" s="2" t="s">
        <v>12</v>
      </c>
      <c r="F2172" t="s">
        <v>14</v>
      </c>
      <c r="G2172" t="s">
        <v>35</v>
      </c>
      <c r="N2172" s="2" t="s">
        <v>18</v>
      </c>
      <c r="O2172" s="2" t="s">
        <v>19</v>
      </c>
      <c r="P2172" s="2">
        <v>18000000</v>
      </c>
      <c r="Q2172" s="2">
        <v>6.9</v>
      </c>
      <c r="R2172" s="2" t="s">
        <v>4607</v>
      </c>
      <c r="S2172" s="2"/>
      <c r="AC2172" s="2"/>
      <c r="AD2172" t="str">
        <f>IFERROR(__xludf.DUMMYFUNCTION("""COMPUTED_VALUE"""),"Under the Rainbow ")</f>
        <v>Under the Rainbow </v>
      </c>
      <c r="AE2172">
        <f t="shared" si="63"/>
        <v>8499902</v>
      </c>
    </row>
    <row r="2173" customHeight="1" spans="1:31">
      <c r="A2173" s="2" t="s">
        <v>1373</v>
      </c>
      <c r="B2173" s="2">
        <v>130</v>
      </c>
      <c r="C2173" s="2">
        <v>114968774</v>
      </c>
      <c r="D2173" s="2" t="s">
        <v>2659</v>
      </c>
      <c r="E2173" s="2" t="s">
        <v>40</v>
      </c>
      <c r="F2173" t="s">
        <v>56</v>
      </c>
      <c r="G2173" t="s">
        <v>30</v>
      </c>
      <c r="N2173" s="2" t="s">
        <v>18</v>
      </c>
      <c r="O2173" s="2" t="s">
        <v>19</v>
      </c>
      <c r="P2173" s="2">
        <v>18000000</v>
      </c>
      <c r="Q2173" s="2">
        <v>7.3</v>
      </c>
      <c r="R2173" s="2" t="s">
        <v>4608</v>
      </c>
      <c r="S2173" s="2"/>
      <c r="AC2173" s="2"/>
      <c r="AD2173" t="str">
        <f>IFERROR(__xludf.DUMMYFUNCTION("""COMPUTED_VALUE"""),"Simon Birch ")</f>
        <v>Simon Birch </v>
      </c>
      <c r="AE2173">
        <f t="shared" si="63"/>
        <v>18252570</v>
      </c>
    </row>
    <row r="2174" customHeight="1" spans="1:31">
      <c r="A2174" s="2" t="s">
        <v>1002</v>
      </c>
      <c r="B2174" s="2">
        <v>82</v>
      </c>
      <c r="C2174" s="2">
        <v>128505958</v>
      </c>
      <c r="D2174" s="2" t="s">
        <v>40</v>
      </c>
      <c r="E2174" s="2" t="s">
        <v>40</v>
      </c>
      <c r="F2174" t="s">
        <v>17</v>
      </c>
      <c r="G2174" t="s">
        <v>30</v>
      </c>
      <c r="N2174" s="2" t="s">
        <v>18</v>
      </c>
      <c r="O2174" s="2" t="s">
        <v>19</v>
      </c>
      <c r="P2174" s="2">
        <v>18000000</v>
      </c>
      <c r="Q2174" s="2">
        <v>7.3</v>
      </c>
      <c r="R2174" s="2" t="s">
        <v>4609</v>
      </c>
      <c r="S2174" s="2"/>
      <c r="AC2174" s="2"/>
      <c r="AD2174" t="str">
        <f>IFERROR(__xludf.DUMMYFUNCTION("""COMPUTED_VALUE"""),"Reign Over Me ")</f>
        <v>Reign Over Me </v>
      </c>
      <c r="AE2174">
        <f t="shared" si="63"/>
        <v>19661863</v>
      </c>
    </row>
    <row r="2175" customHeight="1" spans="1:31">
      <c r="A2175" s="2" t="s">
        <v>884</v>
      </c>
      <c r="B2175" s="2">
        <v>96</v>
      </c>
      <c r="C2175" s="2">
        <v>95001351</v>
      </c>
      <c r="D2175" s="2" t="s">
        <v>607</v>
      </c>
      <c r="E2175" s="2" t="s">
        <v>40</v>
      </c>
      <c r="F2175" t="s">
        <v>30</v>
      </c>
      <c r="G2175" t="s">
        <v>15</v>
      </c>
      <c r="N2175" s="2" t="s">
        <v>18</v>
      </c>
      <c r="O2175" s="2" t="s">
        <v>19</v>
      </c>
      <c r="P2175" s="2">
        <v>18000000</v>
      </c>
      <c r="Q2175" s="2">
        <v>6.2</v>
      </c>
      <c r="R2175" s="2" t="s">
        <v>4610</v>
      </c>
      <c r="S2175" s="2"/>
      <c r="AC2175" s="2"/>
      <c r="AD2175" t="str">
        <f>IFERROR(__xludf.DUMMYFUNCTION("""COMPUTED_VALUE"""),"Into the Wild ")</f>
        <v>Into the Wild </v>
      </c>
      <c r="AE2175">
        <f t="shared" si="63"/>
        <v>18352306</v>
      </c>
    </row>
    <row r="2176" customHeight="1" spans="1:31">
      <c r="A2176" s="2" t="s">
        <v>2109</v>
      </c>
      <c r="B2176" s="2">
        <v>105</v>
      </c>
      <c r="C2176" s="2">
        <v>76400000</v>
      </c>
      <c r="D2176" s="2" t="s">
        <v>38</v>
      </c>
      <c r="E2176" s="2" t="s">
        <v>12</v>
      </c>
      <c r="F2176" t="s">
        <v>17</v>
      </c>
      <c r="G2176" t="s">
        <v>30</v>
      </c>
      <c r="N2176" s="2" t="s">
        <v>18</v>
      </c>
      <c r="O2176" s="2" t="s">
        <v>19</v>
      </c>
      <c r="P2176" s="2">
        <v>17000000</v>
      </c>
      <c r="Q2176" s="2">
        <v>6.6</v>
      </c>
      <c r="R2176" s="2" t="s">
        <v>4611</v>
      </c>
      <c r="S2176" s="2"/>
      <c r="AC2176" s="2"/>
      <c r="AD2176" t="str">
        <f>IFERROR(__xludf.DUMMYFUNCTION("""COMPUTED_VALUE"""),"School for Scoundrels ")</f>
        <v>School for Scoundrels </v>
      </c>
      <c r="AE2176">
        <f t="shared" si="63"/>
        <v>17803688</v>
      </c>
    </row>
    <row r="2177" customHeight="1" spans="1:31">
      <c r="A2177" s="2" t="s">
        <v>813</v>
      </c>
      <c r="B2177" s="2">
        <v>122</v>
      </c>
      <c r="C2177" s="2">
        <v>75072454</v>
      </c>
      <c r="D2177" s="2" t="s">
        <v>1788</v>
      </c>
      <c r="E2177" s="2" t="s">
        <v>30</v>
      </c>
      <c r="F2177" t="s">
        <v>15</v>
      </c>
      <c r="G2177" t="s">
        <v>30</v>
      </c>
      <c r="N2177" s="2" t="s">
        <v>18</v>
      </c>
      <c r="O2177" s="2" t="s">
        <v>19</v>
      </c>
      <c r="P2177" s="2">
        <v>20000000</v>
      </c>
      <c r="Q2177" s="2">
        <v>6.7</v>
      </c>
      <c r="R2177" s="2" t="s">
        <v>4612</v>
      </c>
      <c r="S2177" s="2"/>
      <c r="AC2177" s="2"/>
      <c r="AD2177" t="str">
        <f>IFERROR(__xludf.DUMMYFUNCTION("""COMPUTED_VALUE"""),"Silent Hill: Revelation 3D ")</f>
        <v>Silent Hill: Revelation 3D </v>
      </c>
      <c r="AE2177">
        <f t="shared" si="63"/>
        <v>17529062</v>
      </c>
    </row>
    <row r="2178" customHeight="1" spans="1:31">
      <c r="A2178" s="2" t="s">
        <v>239</v>
      </c>
      <c r="B2178" s="2">
        <v>88</v>
      </c>
      <c r="C2178" s="2">
        <v>65535067</v>
      </c>
      <c r="D2178" s="2" t="s">
        <v>607</v>
      </c>
      <c r="E2178" s="2" t="s">
        <v>40</v>
      </c>
      <c r="F2178" t="s">
        <v>30</v>
      </c>
      <c r="G2178" t="s">
        <v>30</v>
      </c>
      <c r="N2178" s="2" t="s">
        <v>18</v>
      </c>
      <c r="O2178" s="2" t="s">
        <v>19</v>
      </c>
      <c r="P2178" s="2">
        <v>17000000</v>
      </c>
      <c r="Q2178" s="2">
        <v>5.7</v>
      </c>
      <c r="R2178" s="2" t="s">
        <v>4613</v>
      </c>
      <c r="S2178" s="2"/>
      <c r="AC2178" s="2"/>
      <c r="AD2178" t="str">
        <f>IFERROR(__xludf.DUMMYFUNCTION("""COMPUTED_VALUE"""),"From Dusk Till Dawn ")</f>
        <v>From Dusk Till Dawn </v>
      </c>
      <c r="AE2178">
        <f t="shared" si="63"/>
        <v>25753732</v>
      </c>
    </row>
    <row r="2179" customHeight="1" spans="1:31">
      <c r="A2179" s="2" t="s">
        <v>2373</v>
      </c>
      <c r="B2179" s="2">
        <v>110</v>
      </c>
      <c r="C2179" s="2">
        <v>13998282</v>
      </c>
      <c r="D2179" s="2" t="s">
        <v>4614</v>
      </c>
      <c r="E2179" s="2" t="s">
        <v>12</v>
      </c>
      <c r="F2179" t="s">
        <v>17</v>
      </c>
      <c r="G2179" t="s">
        <v>30</v>
      </c>
      <c r="N2179" s="2" t="s">
        <v>18</v>
      </c>
      <c r="O2179" s="2" t="s">
        <v>19</v>
      </c>
      <c r="P2179" s="2">
        <v>16000000</v>
      </c>
      <c r="Q2179" s="2">
        <v>3.1</v>
      </c>
      <c r="R2179" s="2" t="s">
        <v>4615</v>
      </c>
      <c r="S2179" s="2"/>
      <c r="AC2179" s="2"/>
      <c r="AD2179" t="str">
        <f>IFERROR(__xludf.DUMMYFUNCTION("""COMPUTED_VALUE"""),"Pooh's Heffalump Movie ")</f>
        <v>Pooh's Heffalump Movie </v>
      </c>
      <c r="AE2179">
        <f t="shared" si="63"/>
        <v>18081558</v>
      </c>
    </row>
    <row r="2180" customHeight="1" spans="1:31">
      <c r="A2180" s="2" t="s">
        <v>2256</v>
      </c>
      <c r="B2180" s="2">
        <v>103</v>
      </c>
      <c r="C2180" s="2">
        <v>6061759</v>
      </c>
      <c r="D2180" s="2" t="s">
        <v>521</v>
      </c>
      <c r="E2180" s="2" t="s">
        <v>40</v>
      </c>
      <c r="F2180" t="s">
        <v>83</v>
      </c>
      <c r="G2180" t="s">
        <v>83</v>
      </c>
      <c r="N2180" s="2" t="s">
        <v>18</v>
      </c>
      <c r="O2180" s="2" t="s">
        <v>19</v>
      </c>
      <c r="P2180" s="2">
        <v>17000000</v>
      </c>
      <c r="Q2180" s="2">
        <v>6.3</v>
      </c>
      <c r="R2180" s="2" t="s">
        <v>4616</v>
      </c>
      <c r="S2180" s="2"/>
      <c r="AC2180" s="2"/>
      <c r="AD2180" t="str">
        <f>IFERROR(__xludf.DUMMYFUNCTION("""COMPUTED_VALUE"""),"Home for the Holidays ")</f>
        <v>Home for the Holidays </v>
      </c>
      <c r="AE2180">
        <f t="shared" si="63"/>
        <v>17518117</v>
      </c>
    </row>
    <row r="2181" customHeight="1" spans="1:31">
      <c r="A2181" s="2" t="s">
        <v>1651</v>
      </c>
      <c r="B2181" s="2">
        <v>106</v>
      </c>
      <c r="C2181" s="2">
        <v>64955956</v>
      </c>
      <c r="D2181" s="2" t="s">
        <v>975</v>
      </c>
      <c r="E2181" s="2" t="s">
        <v>40</v>
      </c>
      <c r="F2181" t="s">
        <v>13</v>
      </c>
      <c r="G2181" t="s">
        <v>15</v>
      </c>
      <c r="N2181" s="2" t="s">
        <v>18</v>
      </c>
      <c r="O2181" s="2" t="s">
        <v>19</v>
      </c>
      <c r="P2181" s="2">
        <v>18000000</v>
      </c>
      <c r="Q2181" s="2">
        <v>5.7</v>
      </c>
      <c r="R2181" s="2" t="s">
        <v>4617</v>
      </c>
      <c r="S2181" s="2"/>
      <c r="AC2181" s="2"/>
      <c r="AD2181" t="str">
        <f>IFERROR(__xludf.DUMMYFUNCTION("""COMPUTED_VALUE"""),"Kung Fu Hustle ")</f>
        <v>Kung Fu Hustle </v>
      </c>
      <c r="AE2181">
        <f t="shared" si="63"/>
        <v>17104570</v>
      </c>
    </row>
    <row r="2182" customHeight="1" spans="1:31">
      <c r="A2182" s="2" t="s">
        <v>2375</v>
      </c>
      <c r="B2182" s="2">
        <v>98</v>
      </c>
      <c r="C2182" s="2">
        <v>60057639</v>
      </c>
      <c r="D2182" s="2" t="s">
        <v>3855</v>
      </c>
      <c r="E2182" s="2" t="s">
        <v>40</v>
      </c>
      <c r="F2182" t="s">
        <v>56</v>
      </c>
      <c r="G2182" t="s">
        <v>30</v>
      </c>
      <c r="N2182" s="2" t="s">
        <v>18</v>
      </c>
      <c r="O2182" s="2" t="s">
        <v>19</v>
      </c>
      <c r="P2182" s="2">
        <v>18000000</v>
      </c>
      <c r="Q2182" s="2">
        <v>7.1</v>
      </c>
      <c r="R2182" s="2" t="s">
        <v>4618</v>
      </c>
      <c r="S2182" s="2"/>
      <c r="AC2182" s="2"/>
      <c r="AD2182" t="str">
        <f>IFERROR(__xludf.DUMMYFUNCTION("""COMPUTED_VALUE"""),"The Country Bears ")</f>
        <v>The Country Bears </v>
      </c>
      <c r="AE2182">
        <f t="shared" si="63"/>
        <v>16988908</v>
      </c>
    </row>
    <row r="2183" customHeight="1" spans="1:31">
      <c r="A2183" s="2" t="s">
        <v>682</v>
      </c>
      <c r="B2183" s="2">
        <v>68</v>
      </c>
      <c r="C2183" s="2">
        <v>53868030</v>
      </c>
      <c r="D2183" s="2" t="s">
        <v>383</v>
      </c>
      <c r="E2183" s="2" t="s">
        <v>40</v>
      </c>
      <c r="F2183" t="s">
        <v>17</v>
      </c>
      <c r="G2183" t="s">
        <v>24</v>
      </c>
      <c r="N2183" s="2" t="s">
        <v>18</v>
      </c>
      <c r="O2183" s="2" t="s">
        <v>19</v>
      </c>
      <c r="P2183" s="2">
        <v>17000000</v>
      </c>
      <c r="Q2183" s="2">
        <v>7</v>
      </c>
      <c r="R2183" s="2" t="s">
        <v>4619</v>
      </c>
      <c r="S2183" s="2"/>
      <c r="AC2183" s="2"/>
      <c r="AD2183" t="str">
        <f>IFERROR(__xludf.DUMMYFUNCTION("""COMPUTED_VALUE"""),"The Kite Runner ")</f>
        <v>The Kite Runner </v>
      </c>
      <c r="AE2183">
        <f t="shared" si="63"/>
        <v>15797779</v>
      </c>
    </row>
    <row r="2184" customHeight="1" spans="1:31">
      <c r="A2184" s="2" t="s">
        <v>1626</v>
      </c>
      <c r="B2184" s="2">
        <v>94</v>
      </c>
      <c r="C2184" s="2">
        <v>59573085</v>
      </c>
      <c r="D2184" s="2" t="s">
        <v>1061</v>
      </c>
      <c r="E2184" s="2" t="s">
        <v>40</v>
      </c>
      <c r="F2184" t="s">
        <v>55</v>
      </c>
      <c r="G2184" t="s">
        <v>29</v>
      </c>
      <c r="N2184" s="2" t="s">
        <v>18</v>
      </c>
      <c r="O2184" s="2" t="s">
        <v>19</v>
      </c>
      <c r="P2184" s="2">
        <v>18000000</v>
      </c>
      <c r="Q2184" s="2">
        <v>6.1</v>
      </c>
      <c r="R2184" s="2" t="s">
        <v>4620</v>
      </c>
      <c r="S2184" s="2"/>
      <c r="AC2184" s="2"/>
      <c r="AD2184" t="str">
        <f>IFERROR(__xludf.DUMMYFUNCTION("""COMPUTED_VALUE"""),"21 Grams ")</f>
        <v>21 Grams </v>
      </c>
      <c r="AE2184">
        <f t="shared" si="63"/>
        <v>16248577</v>
      </c>
    </row>
    <row r="2185" customHeight="1" spans="1:31">
      <c r="A2185" s="2" t="s">
        <v>359</v>
      </c>
      <c r="B2185" s="2">
        <v>99</v>
      </c>
      <c r="C2185" s="2">
        <v>52691009</v>
      </c>
      <c r="D2185" s="2" t="s">
        <v>1201</v>
      </c>
      <c r="E2185" s="2" t="s">
        <v>40</v>
      </c>
      <c r="F2185" t="s">
        <v>30</v>
      </c>
      <c r="G2185" t="s">
        <v>24</v>
      </c>
      <c r="N2185" s="2" t="s">
        <v>18</v>
      </c>
      <c r="O2185" s="2" t="s">
        <v>19</v>
      </c>
      <c r="P2185" s="2">
        <v>21000000</v>
      </c>
      <c r="Q2185" s="2">
        <v>6.6</v>
      </c>
      <c r="R2185" s="2" t="s">
        <v>4621</v>
      </c>
      <c r="S2185" s="2"/>
      <c r="AC2185" s="2"/>
      <c r="AD2185" t="str">
        <f>IFERROR(__xludf.DUMMYFUNCTION("""COMPUTED_VALUE"""),"Paparazzi ")</f>
        <v>Paparazzi </v>
      </c>
      <c r="AE2185">
        <f t="shared" si="63"/>
        <v>15711988</v>
      </c>
    </row>
    <row r="2186" customHeight="1" spans="1:31">
      <c r="A2186" s="2" t="s">
        <v>485</v>
      </c>
      <c r="B2186" s="2">
        <v>107</v>
      </c>
      <c r="C2186" s="2">
        <v>59735548</v>
      </c>
      <c r="D2186" s="2" t="s">
        <v>1699</v>
      </c>
      <c r="E2186" s="2" t="s">
        <v>12</v>
      </c>
      <c r="F2186" t="s">
        <v>17</v>
      </c>
      <c r="G2186" t="s">
        <v>83</v>
      </c>
      <c r="N2186" s="2" t="s">
        <v>18</v>
      </c>
      <c r="O2186" s="2" t="s">
        <v>19</v>
      </c>
      <c r="P2186" s="2">
        <v>15000000</v>
      </c>
      <c r="Q2186" s="2">
        <v>7.8</v>
      </c>
      <c r="R2186" s="2" t="s">
        <v>4622</v>
      </c>
      <c r="S2186" s="2"/>
      <c r="AC2186" s="2"/>
      <c r="AD2186" t="str">
        <f>IFERROR(__xludf.DUMMYFUNCTION("""COMPUTED_VALUE"""),"A Guy Thing ")</f>
        <v>A Guy Thing </v>
      </c>
      <c r="AE2186">
        <f t="shared" si="63"/>
        <v>15408721</v>
      </c>
    </row>
    <row r="2187" customHeight="1" spans="1:31">
      <c r="A2187" s="2" t="s">
        <v>1242</v>
      </c>
      <c r="B2187" s="2">
        <v>180</v>
      </c>
      <c r="C2187" s="2">
        <v>51600000</v>
      </c>
      <c r="D2187" s="2" t="s">
        <v>4623</v>
      </c>
      <c r="E2187" s="2" t="s">
        <v>59</v>
      </c>
      <c r="F2187" t="s">
        <v>14</v>
      </c>
      <c r="G2187" t="s">
        <v>17</v>
      </c>
      <c r="N2187" s="2" t="s">
        <v>18</v>
      </c>
      <c r="O2187" s="2" t="s">
        <v>19</v>
      </c>
      <c r="P2187" s="2">
        <v>18000000</v>
      </c>
      <c r="Q2187" s="2">
        <v>8.3</v>
      </c>
      <c r="R2187" s="2" t="s">
        <v>4624</v>
      </c>
      <c r="S2187" s="2"/>
      <c r="AC2187" s="2"/>
      <c r="AD2187" t="str">
        <f>IFERROR(__xludf.DUMMYFUNCTION("""COMPUTED_VALUE"""),"Loser ")</f>
        <v>Loser </v>
      </c>
      <c r="AE2187">
        <f t="shared" si="63"/>
        <v>15463928</v>
      </c>
    </row>
    <row r="2188" customHeight="1" spans="1:31">
      <c r="A2188" s="2" t="s">
        <v>2378</v>
      </c>
      <c r="B2188" s="2">
        <v>89</v>
      </c>
      <c r="C2188" s="2">
        <v>43818159</v>
      </c>
      <c r="D2188" s="2" t="s">
        <v>2613</v>
      </c>
      <c r="E2188" s="2" t="s">
        <v>72</v>
      </c>
      <c r="F2188" t="s">
        <v>72</v>
      </c>
      <c r="G2188" t="s">
        <v>28</v>
      </c>
      <c r="N2188" s="2" t="s">
        <v>18</v>
      </c>
      <c r="O2188" s="2" t="s">
        <v>19</v>
      </c>
      <c r="P2188" s="2">
        <v>20000000</v>
      </c>
      <c r="Q2188" s="2">
        <v>3.9</v>
      </c>
      <c r="R2188" s="2" t="s">
        <v>4625</v>
      </c>
      <c r="S2188" s="2"/>
      <c r="AC2188" s="2"/>
      <c r="AD2188" t="str">
        <f>IFERROR(__xludf.DUMMYFUNCTION("""COMPUTED_VALUE"""),"The Greatest Story Ever Told ")</f>
        <v>The Greatest Story Ever Told </v>
      </c>
      <c r="AE2188">
        <f t="shared" si="63"/>
        <v>7999775</v>
      </c>
    </row>
    <row r="2189" customHeight="1" spans="1:31">
      <c r="A2189" s="2" t="s">
        <v>699</v>
      </c>
      <c r="B2189" s="2">
        <v>97</v>
      </c>
      <c r="C2189" s="2">
        <v>86049418</v>
      </c>
      <c r="D2189" s="2" t="s">
        <v>40</v>
      </c>
      <c r="E2189" s="2" t="s">
        <v>40</v>
      </c>
      <c r="F2189" t="s">
        <v>71</v>
      </c>
      <c r="G2189" t="s">
        <v>17</v>
      </c>
      <c r="N2189" s="2" t="s">
        <v>18</v>
      </c>
      <c r="O2189" s="2" t="s">
        <v>19</v>
      </c>
      <c r="P2189" s="2">
        <v>17000000</v>
      </c>
      <c r="Q2189" s="2">
        <v>7</v>
      </c>
      <c r="R2189" s="2" t="s">
        <v>4626</v>
      </c>
      <c r="S2189" s="2"/>
      <c r="AC2189" s="2"/>
      <c r="AD2189" t="str">
        <f>IFERROR(__xludf.DUMMYFUNCTION("""COMPUTED_VALUE"""),"Disaster Movie ")</f>
        <v>Disaster Movie </v>
      </c>
      <c r="AE2189">
        <f t="shared" si="63"/>
        <v>14174566</v>
      </c>
    </row>
    <row r="2190" customHeight="1" spans="1:31">
      <c r="A2190" s="2" t="s">
        <v>2381</v>
      </c>
      <c r="B2190" s="2">
        <v>113</v>
      </c>
      <c r="C2190" s="2">
        <v>43601508</v>
      </c>
      <c r="D2190" s="2" t="s">
        <v>521</v>
      </c>
      <c r="E2190" s="2" t="s">
        <v>40</v>
      </c>
      <c r="F2190" t="s">
        <v>30</v>
      </c>
      <c r="G2190" t="s">
        <v>17</v>
      </c>
      <c r="N2190" s="2" t="s">
        <v>18</v>
      </c>
      <c r="O2190" s="2" t="s">
        <v>19</v>
      </c>
      <c r="P2190" s="2">
        <v>18000000</v>
      </c>
      <c r="Q2190" s="2">
        <v>6.7</v>
      </c>
      <c r="R2190" s="2" t="s">
        <v>4627</v>
      </c>
      <c r="S2190" s="2"/>
      <c r="AC2190" s="2"/>
      <c r="AD2190" t="str">
        <f>IFERROR(__xludf.DUMMYFUNCTION("""COMPUTED_VALUE"""),"Armored ")</f>
        <v>Armored </v>
      </c>
      <c r="AE2190">
        <f t="shared" si="63"/>
        <v>15988788</v>
      </c>
    </row>
    <row r="2191" customHeight="1" spans="1:31">
      <c r="A2191" s="2" t="s">
        <v>2365</v>
      </c>
      <c r="B2191" s="2">
        <v>131</v>
      </c>
      <c r="C2191" s="2">
        <v>41300105</v>
      </c>
      <c r="D2191" s="2" t="s">
        <v>3388</v>
      </c>
      <c r="E2191" s="2" t="s">
        <v>30</v>
      </c>
      <c r="F2191" t="s">
        <v>28</v>
      </c>
      <c r="G2191" t="s">
        <v>17</v>
      </c>
      <c r="N2191" s="2" t="s">
        <v>18</v>
      </c>
      <c r="O2191" s="2" t="s">
        <v>31</v>
      </c>
      <c r="P2191" s="2">
        <v>19800000</v>
      </c>
      <c r="Q2191" s="2">
        <v>7.3</v>
      </c>
      <c r="R2191" s="2" t="s">
        <v>4628</v>
      </c>
      <c r="S2191" s="2"/>
      <c r="AC2191" s="2"/>
      <c r="AD2191" t="str">
        <f>IFERROR(__xludf.DUMMYFUNCTION("""COMPUTED_VALUE"""),"The Man Who Knew Too Little ")</f>
        <v>The Man Who Knew Too Little </v>
      </c>
      <c r="AE2191">
        <f t="shared" si="63"/>
        <v>13801661</v>
      </c>
    </row>
    <row r="2192" customHeight="1" spans="1:31">
      <c r="A2192" s="2" t="s">
        <v>1218</v>
      </c>
      <c r="B2192" s="2">
        <v>103</v>
      </c>
      <c r="C2192" s="2">
        <v>41382841</v>
      </c>
      <c r="D2192" s="2" t="s">
        <v>959</v>
      </c>
      <c r="E2192" s="2" t="s">
        <v>40</v>
      </c>
      <c r="F2192" t="s">
        <v>40</v>
      </c>
      <c r="G2192" t="s">
        <v>24</v>
      </c>
      <c r="N2192" s="2" t="s">
        <v>18</v>
      </c>
      <c r="O2192" s="2" t="s">
        <v>19</v>
      </c>
      <c r="P2192" s="2">
        <v>18000000</v>
      </c>
      <c r="Q2192" s="2">
        <v>6.3</v>
      </c>
      <c r="R2192" s="2" t="s">
        <v>4629</v>
      </c>
      <c r="S2192" s="2"/>
      <c r="AC2192" s="2"/>
      <c r="AD2192" t="str">
        <f>IFERROR(__xludf.DUMMYFUNCTION("""COMPUTED_VALUE"""),"What's Your Number? ")</f>
        <v>What's Your Number? </v>
      </c>
      <c r="AE2192">
        <f t="shared" si="63"/>
        <v>13987365</v>
      </c>
    </row>
    <row r="2193" customHeight="1" spans="1:31">
      <c r="A2193" s="2" t="s">
        <v>424</v>
      </c>
      <c r="B2193" s="2">
        <v>119</v>
      </c>
      <c r="C2193" s="2">
        <v>42335698</v>
      </c>
      <c r="D2193" s="2" t="s">
        <v>521</v>
      </c>
      <c r="E2193" s="2" t="s">
        <v>40</v>
      </c>
      <c r="F2193" t="s">
        <v>72</v>
      </c>
      <c r="G2193" t="s">
        <v>28</v>
      </c>
      <c r="N2193" s="2" t="s">
        <v>18</v>
      </c>
      <c r="O2193" s="2" t="s">
        <v>19</v>
      </c>
      <c r="P2193" s="2">
        <v>18000000</v>
      </c>
      <c r="Q2193" s="2">
        <v>7.8</v>
      </c>
      <c r="R2193" s="2" t="s">
        <v>4630</v>
      </c>
      <c r="S2193" s="2"/>
      <c r="AC2193" s="2"/>
      <c r="AD2193" t="str">
        <f>IFERROR(__xludf.DUMMYFUNCTION("""COMPUTED_VALUE"""),"Lockout ")</f>
        <v>Lockout </v>
      </c>
      <c r="AE2193">
        <f t="shared" si="63"/>
        <v>14291475</v>
      </c>
    </row>
    <row r="2194" customHeight="1" spans="1:31">
      <c r="A2194" s="2" t="s">
        <v>1814</v>
      </c>
      <c r="B2194" s="2">
        <v>98</v>
      </c>
      <c r="C2194" s="2">
        <v>33404871</v>
      </c>
      <c r="D2194" s="2" t="s">
        <v>30</v>
      </c>
      <c r="E2194" s="2" t="s">
        <v>30</v>
      </c>
      <c r="F2194" t="s">
        <v>40</v>
      </c>
      <c r="G2194" t="s">
        <v>30</v>
      </c>
      <c r="N2194" s="2" t="s">
        <v>18</v>
      </c>
      <c r="O2194" s="2" t="s">
        <v>19</v>
      </c>
      <c r="P2194" s="2">
        <v>18000000</v>
      </c>
      <c r="Q2194" s="2">
        <v>7.3</v>
      </c>
      <c r="R2194" s="2" t="s">
        <v>4631</v>
      </c>
      <c r="S2194" s="2"/>
      <c r="AC2194" s="2"/>
      <c r="AD2194" t="str">
        <f>IFERROR(__xludf.DUMMYFUNCTION("""COMPUTED_VALUE"""),"Envy ")</f>
        <v>Envy </v>
      </c>
      <c r="AE2194">
        <f t="shared" si="63"/>
        <v>12181385</v>
      </c>
    </row>
    <row r="2195" customHeight="1" spans="1:31">
      <c r="A2195" s="2" t="s">
        <v>432</v>
      </c>
      <c r="B2195" s="2">
        <v>111</v>
      </c>
      <c r="C2195" s="2">
        <v>31471430</v>
      </c>
      <c r="D2195" s="2" t="s">
        <v>1097</v>
      </c>
      <c r="E2195" s="2" t="s">
        <v>30</v>
      </c>
      <c r="F2195" t="s">
        <v>23</v>
      </c>
      <c r="G2195" t="s">
        <v>39</v>
      </c>
      <c r="N2195" s="2" t="s">
        <v>18</v>
      </c>
      <c r="O2195" s="2" t="s">
        <v>19</v>
      </c>
      <c r="P2195" s="2">
        <v>15000000</v>
      </c>
      <c r="Q2195" s="2">
        <v>7.6</v>
      </c>
      <c r="R2195" s="2" t="s">
        <v>4632</v>
      </c>
      <c r="S2195" s="2"/>
      <c r="AC2195" s="2"/>
      <c r="AD2195" t="str">
        <f>IFERROR(__xludf.DUMMYFUNCTION("""COMPUTED_VALUE"""),"Crank: High Voltage ")</f>
        <v>Crank: High Voltage </v>
      </c>
      <c r="AE2195">
        <f t="shared" si="63"/>
        <v>13630130</v>
      </c>
    </row>
    <row r="2196" customHeight="1" spans="1:31">
      <c r="A2196" s="2" t="s">
        <v>2383</v>
      </c>
      <c r="B2196" s="2">
        <v>94</v>
      </c>
      <c r="C2196" s="2">
        <v>30222640</v>
      </c>
      <c r="D2196" s="2" t="s">
        <v>3280</v>
      </c>
      <c r="E2196" s="2" t="s">
        <v>30</v>
      </c>
      <c r="F2196" t="s">
        <v>30</v>
      </c>
      <c r="G2196" t="s">
        <v>24</v>
      </c>
      <c r="N2196" s="2" t="s">
        <v>18</v>
      </c>
      <c r="O2196" s="2" t="s">
        <v>19</v>
      </c>
      <c r="P2196" s="2">
        <v>25000000</v>
      </c>
      <c r="Q2196" s="2">
        <v>5.3</v>
      </c>
      <c r="R2196" s="2" t="s">
        <v>4633</v>
      </c>
      <c r="S2196" s="2"/>
      <c r="AC2196" s="2"/>
      <c r="AD2196" t="str">
        <f>IFERROR(__xludf.DUMMYFUNCTION("""COMPUTED_VALUE"""),"Bullets Over Broadway ")</f>
        <v>Bullets Over Broadway </v>
      </c>
      <c r="AE2196">
        <f t="shared" si="63"/>
        <v>13383639</v>
      </c>
    </row>
    <row r="2197" customHeight="1" spans="1:31">
      <c r="A2197" s="2" t="s">
        <v>2385</v>
      </c>
      <c r="B2197" s="2">
        <v>81</v>
      </c>
      <c r="C2197" s="2">
        <v>26906039</v>
      </c>
      <c r="D2197" s="2" t="s">
        <v>811</v>
      </c>
      <c r="E2197" s="2" t="s">
        <v>12</v>
      </c>
      <c r="F2197" t="s">
        <v>30</v>
      </c>
      <c r="G2197" t="s">
        <v>28</v>
      </c>
      <c r="N2197" s="2" t="s">
        <v>18</v>
      </c>
      <c r="O2197" s="2" t="s">
        <v>19</v>
      </c>
      <c r="P2197" s="2">
        <v>18000000</v>
      </c>
      <c r="Q2197" s="2">
        <v>5.3</v>
      </c>
      <c r="R2197" s="2" t="s">
        <v>4634</v>
      </c>
      <c r="S2197" s="2"/>
      <c r="AC2197" s="2"/>
      <c r="AD2197" t="str">
        <f>IFERROR(__xludf.DUMMYFUNCTION("""COMPUTED_VALUE"""),"One Night with the King ")</f>
        <v>One Night with the King </v>
      </c>
      <c r="AE2197">
        <f t="shared" si="63"/>
        <v>13391051</v>
      </c>
    </row>
    <row r="2198" customHeight="1" spans="1:31">
      <c r="A2198" s="2" t="s">
        <v>1335</v>
      </c>
      <c r="B2198" s="2">
        <v>89</v>
      </c>
      <c r="C2198" s="2">
        <v>21378000</v>
      </c>
      <c r="D2198" s="2" t="s">
        <v>3112</v>
      </c>
      <c r="E2198" s="2" t="s">
        <v>14</v>
      </c>
      <c r="F2198" t="s">
        <v>30</v>
      </c>
      <c r="G2198" t="s">
        <v>30</v>
      </c>
      <c r="N2198" s="2" t="s">
        <v>18</v>
      </c>
      <c r="O2198" s="2" t="s">
        <v>19</v>
      </c>
      <c r="P2198" s="2">
        <v>1000000</v>
      </c>
      <c r="Q2198" s="2">
        <v>6.8</v>
      </c>
      <c r="R2198" s="2" t="s">
        <v>4635</v>
      </c>
      <c r="S2198" s="2"/>
      <c r="AC2198" s="2"/>
      <c r="AD2198" t="str">
        <f>IFERROR(__xludf.DUMMYFUNCTION("""COMPUTED_VALUE"""),"The Quiet American ")</f>
        <v>The Quiet American </v>
      </c>
      <c r="AE2198">
        <f t="shared" si="63"/>
        <v>12987546</v>
      </c>
    </row>
    <row r="2199" customHeight="1" spans="1:31">
      <c r="A2199" s="2" t="s">
        <v>2388</v>
      </c>
      <c r="B2199" s="2">
        <v>106</v>
      </c>
      <c r="C2199" s="2">
        <v>43853424</v>
      </c>
      <c r="D2199" s="2" t="s">
        <v>4636</v>
      </c>
      <c r="E2199" s="2" t="s">
        <v>59</v>
      </c>
      <c r="F2199" t="s">
        <v>30</v>
      </c>
      <c r="G2199" t="s">
        <v>17</v>
      </c>
      <c r="N2199" s="2" t="s">
        <v>18</v>
      </c>
      <c r="O2199" s="2" t="s">
        <v>19</v>
      </c>
      <c r="P2199" s="2">
        <v>18000000</v>
      </c>
      <c r="Q2199" s="2">
        <v>7.1</v>
      </c>
      <c r="R2199" s="2" t="s">
        <v>4637</v>
      </c>
      <c r="S2199" s="2"/>
      <c r="AC2199" s="2"/>
      <c r="AD2199" t="str">
        <f>IFERROR(__xludf.DUMMYFUNCTION("""COMPUTED_VALUE"""),"The Weather Man ")</f>
        <v>The Weather Man </v>
      </c>
      <c r="AE2199">
        <f t="shared" si="63"/>
        <v>12469709</v>
      </c>
    </row>
    <row r="2200" customHeight="1" spans="1:31">
      <c r="A2200" s="2" t="s">
        <v>2391</v>
      </c>
      <c r="B2200" s="2">
        <v>86</v>
      </c>
      <c r="C2200" s="2">
        <v>23993605</v>
      </c>
      <c r="D2200" s="2" t="s">
        <v>3855</v>
      </c>
      <c r="E2200" s="2" t="s">
        <v>40</v>
      </c>
      <c r="F2200" t="s">
        <v>30</v>
      </c>
      <c r="G2200" t="s">
        <v>17</v>
      </c>
      <c r="N2200" s="2" t="s">
        <v>18</v>
      </c>
      <c r="O2200" s="2" t="s">
        <v>19</v>
      </c>
      <c r="P2200" s="2">
        <v>18000000</v>
      </c>
      <c r="Q2200" s="2">
        <v>5.8</v>
      </c>
      <c r="R2200" s="2" t="s">
        <v>4638</v>
      </c>
      <c r="S2200" s="2"/>
      <c r="AC2200" s="2"/>
      <c r="AD2200" t="str">
        <f>IFERROR(__xludf.DUMMYFUNCTION("""COMPUTED_VALUE"""),"Undisputed ")</f>
        <v>Undisputed </v>
      </c>
      <c r="AE2200">
        <f t="shared" si="63"/>
        <v>12398534</v>
      </c>
    </row>
    <row r="2201" customHeight="1" spans="1:31">
      <c r="A2201" s="2" t="s">
        <v>2038</v>
      </c>
      <c r="B2201" s="2">
        <v>103</v>
      </c>
      <c r="C2201" s="2">
        <v>26400000</v>
      </c>
      <c r="D2201" s="2" t="s">
        <v>22</v>
      </c>
      <c r="E2201" s="2" t="s">
        <v>12</v>
      </c>
      <c r="F2201" t="s">
        <v>56</v>
      </c>
      <c r="G2201" t="s">
        <v>24</v>
      </c>
      <c r="N2201" s="2" t="s">
        <v>18</v>
      </c>
      <c r="O2201" s="2" t="s">
        <v>19</v>
      </c>
      <c r="P2201" s="2">
        <v>18000000</v>
      </c>
      <c r="Q2201" s="2">
        <v>5.8</v>
      </c>
      <c r="R2201" s="2" t="s">
        <v>4639</v>
      </c>
      <c r="S2201" s="2"/>
      <c r="AC2201" s="2"/>
      <c r="AD2201" t="str">
        <f>IFERROR(__xludf.DUMMYFUNCTION("""COMPUTED_VALUE"""),"Ghost Town ")</f>
        <v>Ghost Town </v>
      </c>
      <c r="AE2201">
        <f t="shared" si="63"/>
        <v>13213928</v>
      </c>
    </row>
    <row r="2202" customHeight="1" spans="1:31">
      <c r="A2202" s="2" t="s">
        <v>196</v>
      </c>
      <c r="B2202" s="2">
        <v>121</v>
      </c>
      <c r="C2202" s="2">
        <v>45250</v>
      </c>
      <c r="D2202" s="2" t="s">
        <v>592</v>
      </c>
      <c r="E2202" s="2" t="s">
        <v>59</v>
      </c>
      <c r="F2202" t="s">
        <v>17</v>
      </c>
      <c r="G2202" t="s">
        <v>24</v>
      </c>
      <c r="N2202" s="2" t="s">
        <v>18</v>
      </c>
      <c r="O2202" s="2" t="s">
        <v>19</v>
      </c>
      <c r="P2202" s="2">
        <v>18000000</v>
      </c>
      <c r="Q2202" s="2">
        <v>8.3</v>
      </c>
      <c r="R2202" s="2" t="s">
        <v>4640</v>
      </c>
      <c r="S2202" s="2"/>
      <c r="AC2202" s="2"/>
      <c r="AD2202" t="str">
        <f>IFERROR(__xludf.DUMMYFUNCTION("""COMPUTED_VALUE"""),"12 Rounds ")</f>
        <v>12 Rounds </v>
      </c>
      <c r="AE2202">
        <f t="shared" si="63"/>
        <v>12232829</v>
      </c>
    </row>
    <row r="2203" customHeight="1" spans="1:31">
      <c r="A2203" s="2" t="s">
        <v>2393</v>
      </c>
      <c r="B2203" s="2">
        <v>109</v>
      </c>
      <c r="C2203" s="2">
        <v>22927390</v>
      </c>
      <c r="D2203" s="2" t="s">
        <v>103</v>
      </c>
      <c r="E2203" s="2" t="s">
        <v>30</v>
      </c>
      <c r="F2203" t="s">
        <v>30</v>
      </c>
      <c r="G2203" t="s">
        <v>28</v>
      </c>
      <c r="N2203" s="2" t="s">
        <v>18</v>
      </c>
      <c r="O2203" s="2" t="s">
        <v>19</v>
      </c>
      <c r="P2203" s="2">
        <v>18000000</v>
      </c>
      <c r="Q2203" s="2">
        <v>5.6</v>
      </c>
      <c r="R2203" s="2" t="s">
        <v>4641</v>
      </c>
      <c r="S2203" s="2"/>
      <c r="AC2203" s="2"/>
      <c r="AD2203" t="str">
        <f>IFERROR(__xludf.DUMMYFUNCTION("""COMPUTED_VALUE"""),"Let Me In ")</f>
        <v>Let Me In </v>
      </c>
      <c r="AE2203">
        <f t="shared" si="63"/>
        <v>12134304</v>
      </c>
    </row>
    <row r="2204" customHeight="1" spans="1:31">
      <c r="A2204" s="2" t="s">
        <v>889</v>
      </c>
      <c r="B2204" s="2">
        <v>109</v>
      </c>
      <c r="C2204" s="2">
        <v>4250320</v>
      </c>
      <c r="D2204" s="2" t="s">
        <v>4642</v>
      </c>
      <c r="E2204" s="2" t="s">
        <v>13</v>
      </c>
      <c r="F2204" t="s">
        <v>29</v>
      </c>
      <c r="G2204" t="s">
        <v>14</v>
      </c>
      <c r="N2204" s="2" t="s">
        <v>18</v>
      </c>
      <c r="O2204" s="2" t="s">
        <v>19</v>
      </c>
      <c r="P2204" s="2">
        <v>18000000</v>
      </c>
      <c r="Q2204" s="2">
        <v>6.8</v>
      </c>
      <c r="R2204" s="2" t="s">
        <v>4643</v>
      </c>
      <c r="S2204" s="2"/>
      <c r="AC2204" s="2"/>
      <c r="AD2204" t="str">
        <f>IFERROR(__xludf.DUMMYFUNCTION("""COMPUTED_VALUE"""),"3 Ninjas Kick Back ")</f>
        <v>3 Ninjas Kick Back </v>
      </c>
      <c r="AE2204">
        <f t="shared" si="63"/>
        <v>11783907</v>
      </c>
    </row>
    <row r="2205" customHeight="1" spans="1:31">
      <c r="A2205" s="2" t="s">
        <v>2395</v>
      </c>
      <c r="B2205" s="2">
        <v>123</v>
      </c>
      <c r="C2205" s="2">
        <v>22452209</v>
      </c>
      <c r="D2205" s="2" t="s">
        <v>1386</v>
      </c>
      <c r="E2205" s="2" t="s">
        <v>40</v>
      </c>
      <c r="F2205" t="s">
        <v>23</v>
      </c>
      <c r="G2205" t="s">
        <v>24</v>
      </c>
      <c r="N2205" s="2" t="s">
        <v>18</v>
      </c>
      <c r="O2205" s="2" t="s">
        <v>19</v>
      </c>
      <c r="P2205" s="2">
        <v>18000000</v>
      </c>
      <c r="Q2205" s="2">
        <v>5</v>
      </c>
      <c r="R2205" s="2" t="s">
        <v>4644</v>
      </c>
      <c r="S2205" s="2"/>
      <c r="AC2205" s="2"/>
      <c r="AD2205" t="str">
        <f>IFERROR(__xludf.DUMMYFUNCTION("""COMPUTED_VALUE"""),"Be Kind Rewind ")</f>
        <v>Be Kind Rewind </v>
      </c>
      <c r="AE2205">
        <f t="shared" si="63"/>
        <v>11169429</v>
      </c>
    </row>
    <row r="2206" customHeight="1" spans="1:31">
      <c r="A2206" s="2" t="s">
        <v>1322</v>
      </c>
      <c r="B2206" s="2">
        <v>94</v>
      </c>
      <c r="C2206" s="2">
        <v>18329466</v>
      </c>
      <c r="D2206" s="2" t="s">
        <v>3224</v>
      </c>
      <c r="E2206" s="2" t="s">
        <v>13</v>
      </c>
      <c r="F2206" t="s">
        <v>72</v>
      </c>
      <c r="G2206" t="s">
        <v>24</v>
      </c>
      <c r="N2206" s="2" t="s">
        <v>18</v>
      </c>
      <c r="O2206" s="2" t="s">
        <v>19</v>
      </c>
      <c r="P2206" s="2">
        <v>18000000</v>
      </c>
      <c r="Q2206" s="2">
        <v>7.6</v>
      </c>
      <c r="R2206" s="2" t="s">
        <v>4645</v>
      </c>
      <c r="S2206" s="2"/>
      <c r="AC2206" s="2"/>
      <c r="AD2206" t="str">
        <f>IFERROR(__xludf.DUMMYFUNCTION("""COMPUTED_VALUE"""),"Mrs Henderson Presents ")</f>
        <v>Mrs Henderson Presents </v>
      </c>
      <c r="AE2206">
        <f t="shared" si="63"/>
        <v>11034333</v>
      </c>
    </row>
    <row r="2207" customHeight="1" spans="1:31">
      <c r="A2207" s="2" t="s">
        <v>1814</v>
      </c>
      <c r="B2207" s="2">
        <v>94</v>
      </c>
      <c r="C2207" s="2">
        <v>17071230</v>
      </c>
      <c r="D2207" s="2" t="s">
        <v>383</v>
      </c>
      <c r="E2207" s="2" t="s">
        <v>40</v>
      </c>
      <c r="F2207" t="s">
        <v>40</v>
      </c>
      <c r="G2207" t="s">
        <v>17</v>
      </c>
      <c r="N2207" s="2" t="s">
        <v>18</v>
      </c>
      <c r="O2207" s="2" t="s">
        <v>19</v>
      </c>
      <c r="P2207" s="2">
        <v>18000000</v>
      </c>
      <c r="Q2207" s="2">
        <v>6.7</v>
      </c>
      <c r="R2207" s="2" t="s">
        <v>4646</v>
      </c>
      <c r="S2207" s="2"/>
      <c r="AC2207" s="2"/>
      <c r="AD2207" t="str">
        <f>IFERROR(__xludf.DUMMYFUNCTION("""COMPUTED_VALUE"""),"Triple 9 ")</f>
        <v>Triple 9 </v>
      </c>
      <c r="AE2207">
        <f t="shared" si="63"/>
        <v>12626790</v>
      </c>
    </row>
    <row r="2208" customHeight="1" spans="1:31">
      <c r="A2208" s="2" t="s">
        <v>2397</v>
      </c>
      <c r="B2208" s="2">
        <v>115</v>
      </c>
      <c r="C2208" s="2">
        <v>17174870</v>
      </c>
      <c r="D2208" s="2" t="s">
        <v>3280</v>
      </c>
      <c r="E2208" s="2" t="s">
        <v>30</v>
      </c>
      <c r="F2208" t="s">
        <v>30</v>
      </c>
      <c r="G2208" t="s">
        <v>17</v>
      </c>
      <c r="N2208" s="2" t="s">
        <v>18</v>
      </c>
      <c r="O2208" s="2" t="s">
        <v>19</v>
      </c>
      <c r="P2208" s="2">
        <v>18000000</v>
      </c>
      <c r="Q2208" s="2">
        <v>6.7</v>
      </c>
      <c r="R2208" s="2" t="s">
        <v>4647</v>
      </c>
      <c r="S2208" s="2"/>
      <c r="AC2208" s="2"/>
      <c r="AD2208" t="str">
        <f>IFERROR(__xludf.DUMMYFUNCTION("""COMPUTED_VALUE"""),"Deconstructing Harry ")</f>
        <v>Deconstructing Harry </v>
      </c>
      <c r="AE2208">
        <f t="shared" si="63"/>
        <v>10568975</v>
      </c>
    </row>
    <row r="2209" customHeight="1" spans="1:31">
      <c r="A2209" s="2" t="s">
        <v>2156</v>
      </c>
      <c r="B2209" s="2">
        <v>107</v>
      </c>
      <c r="C2209" s="2">
        <v>26284475</v>
      </c>
      <c r="D2209" s="2" t="s">
        <v>40</v>
      </c>
      <c r="E2209" s="2" t="s">
        <v>40</v>
      </c>
      <c r="F2209" t="s">
        <v>14</v>
      </c>
      <c r="G2209" t="s">
        <v>17</v>
      </c>
      <c r="N2209" s="2" t="s">
        <v>18</v>
      </c>
      <c r="O2209" s="2" t="s">
        <v>19</v>
      </c>
      <c r="P2209" s="2">
        <v>17000000</v>
      </c>
      <c r="Q2209" s="2">
        <v>5.7</v>
      </c>
      <c r="R2209" s="2" t="s">
        <v>4648</v>
      </c>
      <c r="S2209" s="2"/>
      <c r="AC2209" s="2"/>
      <c r="AD2209" t="str">
        <f>IFERROR(__xludf.DUMMYFUNCTION("""COMPUTED_VALUE"""),"Three to Tango ")</f>
        <v>Three to Tango </v>
      </c>
      <c r="AE2209">
        <f t="shared" si="63"/>
        <v>10544045</v>
      </c>
    </row>
    <row r="2210" customHeight="1" spans="1:31">
      <c r="A2210" s="2" t="s">
        <v>2401</v>
      </c>
      <c r="B2210" s="2">
        <v>91</v>
      </c>
      <c r="C2210" s="2">
        <v>16702864</v>
      </c>
      <c r="D2210" s="2" t="s">
        <v>383</v>
      </c>
      <c r="E2210" s="2" t="s">
        <v>40</v>
      </c>
      <c r="F2210" t="s">
        <v>30</v>
      </c>
      <c r="G2210" t="s">
        <v>17</v>
      </c>
      <c r="N2210" s="2" t="s">
        <v>18</v>
      </c>
      <c r="O2210" s="2" t="s">
        <v>19</v>
      </c>
      <c r="P2210" s="2">
        <v>18000000</v>
      </c>
      <c r="Q2210" s="2">
        <v>5.2</v>
      </c>
      <c r="R2210" s="2" t="s">
        <v>4649</v>
      </c>
      <c r="S2210" s="2"/>
      <c r="AC2210" s="2"/>
      <c r="AD2210" t="str">
        <f>IFERROR(__xludf.DUMMYFUNCTION("""COMPUTED_VALUE"""),"Burnt ")</f>
        <v>Burnt </v>
      </c>
      <c r="AE2210">
        <f t="shared" si="63"/>
        <v>13650637</v>
      </c>
    </row>
    <row r="2211" customHeight="1" spans="1:31">
      <c r="A2211" s="2" t="s">
        <v>1551</v>
      </c>
      <c r="B2211" s="2">
        <v>125</v>
      </c>
      <c r="C2211" s="2">
        <v>15561627</v>
      </c>
      <c r="D2211" s="2" t="s">
        <v>30</v>
      </c>
      <c r="E2211" s="2" t="s">
        <v>30</v>
      </c>
      <c r="F2211" t="s">
        <v>23</v>
      </c>
      <c r="G2211" t="s">
        <v>72</v>
      </c>
      <c r="N2211" s="2" t="s">
        <v>18</v>
      </c>
      <c r="O2211" s="2" t="s">
        <v>19</v>
      </c>
      <c r="P2211" s="2">
        <v>18000000</v>
      </c>
      <c r="Q2211" s="2">
        <v>7.5</v>
      </c>
      <c r="R2211" s="2" t="s">
        <v>4650</v>
      </c>
      <c r="S2211" s="2"/>
      <c r="AC2211" s="2"/>
      <c r="AD2211" t="str">
        <f>IFERROR(__xludf.DUMMYFUNCTION("""COMPUTED_VALUE"""),"We're No Angels ")</f>
        <v>We're No Angels </v>
      </c>
      <c r="AE2211">
        <f t="shared" si="63"/>
        <v>10555242</v>
      </c>
    </row>
    <row r="2212" customHeight="1" spans="1:31">
      <c r="A2212" s="2" t="s">
        <v>1322</v>
      </c>
      <c r="B2212" s="2">
        <v>122</v>
      </c>
      <c r="C2212" s="2">
        <v>17750583</v>
      </c>
      <c r="D2212" s="2" t="s">
        <v>562</v>
      </c>
      <c r="E2212" s="2" t="s">
        <v>59</v>
      </c>
      <c r="F2212" t="s">
        <v>14</v>
      </c>
      <c r="G2212" t="s">
        <v>28</v>
      </c>
      <c r="N2212" s="2" t="s">
        <v>18</v>
      </c>
      <c r="O2212" s="2" t="s">
        <v>31</v>
      </c>
      <c r="P2212" s="2">
        <v>30000000</v>
      </c>
      <c r="Q2212" s="2">
        <v>7.2</v>
      </c>
      <c r="R2212" s="2" t="s">
        <v>4651</v>
      </c>
      <c r="S2212" s="2"/>
      <c r="AC2212" s="2"/>
      <c r="AD2212" t="str">
        <f>IFERROR(__xludf.DUMMYFUNCTION("""COMPUTED_VALUE"""),"Everyone Says I Love You ")</f>
        <v>Everyone Says I Love You </v>
      </c>
      <c r="AE2212">
        <f t="shared" si="63"/>
        <v>9714381</v>
      </c>
    </row>
    <row r="2213" customHeight="1" spans="1:31">
      <c r="A2213" s="2" t="s">
        <v>466</v>
      </c>
      <c r="B2213" s="2">
        <v>102</v>
      </c>
      <c r="C2213" s="2">
        <v>14793904</v>
      </c>
      <c r="D2213" s="2" t="s">
        <v>607</v>
      </c>
      <c r="E2213" s="2" t="s">
        <v>40</v>
      </c>
      <c r="F2213" t="s">
        <v>24</v>
      </c>
      <c r="G2213" t="s">
        <v>24</v>
      </c>
      <c r="N2213" s="2" t="s">
        <v>18</v>
      </c>
      <c r="O2213" s="2" t="s">
        <v>121</v>
      </c>
      <c r="P2213" s="2">
        <v>18000000</v>
      </c>
      <c r="Q2213" s="2">
        <v>5.3</v>
      </c>
      <c r="R2213" s="2" t="s">
        <v>4652</v>
      </c>
      <c r="S2213" s="2"/>
      <c r="AC2213" s="2"/>
      <c r="AD2213" t="str">
        <f>IFERROR(__xludf.DUMMYFUNCTION("""COMPUTED_VALUE"""),"Death Sentence ")</f>
        <v>Death Sentence </v>
      </c>
      <c r="AE2213">
        <f t="shared" si="63"/>
        <v>9525165</v>
      </c>
    </row>
    <row r="2214" customHeight="1" spans="1:31">
      <c r="A2214" s="2" t="s">
        <v>1936</v>
      </c>
      <c r="B2214" s="2">
        <v>90</v>
      </c>
      <c r="C2214" s="2">
        <v>15281286</v>
      </c>
      <c r="D2214" s="2" t="s">
        <v>521</v>
      </c>
      <c r="E2214" s="2" t="s">
        <v>40</v>
      </c>
      <c r="F2214" t="s">
        <v>40</v>
      </c>
      <c r="G2214" t="s">
        <v>15</v>
      </c>
      <c r="N2214" s="2" t="s">
        <v>18</v>
      </c>
      <c r="O2214" s="2" t="s">
        <v>19</v>
      </c>
      <c r="P2214" s="2">
        <v>18000000</v>
      </c>
      <c r="Q2214" s="2">
        <v>6.5</v>
      </c>
      <c r="R2214" s="2" t="s">
        <v>4653</v>
      </c>
      <c r="S2214" s="2"/>
      <c r="AC2214" s="2"/>
      <c r="AD2214" t="str">
        <f>IFERROR(__xludf.DUMMYFUNCTION("""COMPUTED_VALUE"""),"Everybody's Fine ")</f>
        <v>Everybody's Fine </v>
      </c>
      <c r="AE2214">
        <f t="shared" si="63"/>
        <v>8855547</v>
      </c>
    </row>
    <row r="2215" customHeight="1" spans="1:31">
      <c r="A2215" s="2" t="s">
        <v>2403</v>
      </c>
      <c r="B2215" s="2">
        <v>98</v>
      </c>
      <c r="C2215" s="2">
        <v>8000000</v>
      </c>
      <c r="D2215" s="2" t="s">
        <v>75</v>
      </c>
      <c r="E2215" s="2" t="s">
        <v>12</v>
      </c>
      <c r="F2215" t="s">
        <v>30</v>
      </c>
      <c r="G2215" t="s">
        <v>17</v>
      </c>
      <c r="N2215" s="2" t="s">
        <v>18</v>
      </c>
      <c r="O2215" s="2" t="s">
        <v>19</v>
      </c>
      <c r="P2215" s="2">
        <v>18000000</v>
      </c>
      <c r="Q2215" s="2">
        <v>5</v>
      </c>
      <c r="R2215" s="2" t="s">
        <v>4654</v>
      </c>
      <c r="S2215" s="2"/>
      <c r="AC2215" s="2"/>
      <c r="AD2215" t="str">
        <f>IFERROR(__xludf.DUMMYFUNCTION("""COMPUTED_VALUE"""),"Superbabies: Baby Geniuses 2 ")</f>
        <v>Superbabies: Baby Geniuses 2 </v>
      </c>
      <c r="AE2215">
        <f t="shared" si="63"/>
        <v>9109234</v>
      </c>
    </row>
    <row r="2216" customHeight="1" spans="1:31">
      <c r="A2216" s="2" t="s">
        <v>2406</v>
      </c>
      <c r="B2216" s="2">
        <v>109</v>
      </c>
      <c r="C2216" s="2">
        <v>13491653</v>
      </c>
      <c r="D2216" s="2" t="s">
        <v>1655</v>
      </c>
      <c r="E2216" s="2" t="s">
        <v>30</v>
      </c>
      <c r="F2216" t="s">
        <v>40</v>
      </c>
      <c r="G2216" t="s">
        <v>17</v>
      </c>
      <c r="N2216" s="2" t="s">
        <v>18</v>
      </c>
      <c r="O2216" s="2" t="s">
        <v>19</v>
      </c>
      <c r="P2216" s="2">
        <v>18000000</v>
      </c>
      <c r="Q2216" s="2">
        <v>6.1</v>
      </c>
      <c r="R2216" s="2" t="s">
        <v>4655</v>
      </c>
      <c r="S2216" s="2"/>
      <c r="AC2216" s="2"/>
      <c r="AD2216" t="str">
        <f>IFERROR(__xludf.DUMMYFUNCTION("""COMPUTED_VALUE"""),"The Man ")</f>
        <v>The Man </v>
      </c>
      <c r="AE2216">
        <f t="shared" si="63"/>
        <v>8325952</v>
      </c>
    </row>
    <row r="2217" customHeight="1" spans="1:31">
      <c r="A2217" s="2" t="s">
        <v>2408</v>
      </c>
      <c r="B2217" s="2">
        <v>90</v>
      </c>
      <c r="C2217" s="2">
        <v>10494494</v>
      </c>
      <c r="D2217" s="2" t="s">
        <v>150</v>
      </c>
      <c r="E2217" s="2" t="s">
        <v>12</v>
      </c>
      <c r="F2217" t="s">
        <v>30</v>
      </c>
      <c r="G2217" t="s">
        <v>71</v>
      </c>
      <c r="N2217" s="2" t="s">
        <v>18</v>
      </c>
      <c r="O2217" s="2" t="s">
        <v>19</v>
      </c>
      <c r="P2217" s="2">
        <v>18000000</v>
      </c>
      <c r="Q2217" s="2">
        <v>4.4</v>
      </c>
      <c r="R2217" s="2" t="s">
        <v>4656</v>
      </c>
      <c r="S2217" s="2"/>
      <c r="AC2217" s="2"/>
      <c r="AD2217" t="str">
        <f>IFERROR(__xludf.DUMMYFUNCTION("""COMPUTED_VALUE"""),"Code Name: The Cleaner ")</f>
        <v>Code Name: The Cleaner </v>
      </c>
      <c r="AE2217">
        <f t="shared" si="63"/>
        <v>8103978</v>
      </c>
    </row>
    <row r="2218" customHeight="1" spans="1:31">
      <c r="A2218" s="2" t="s">
        <v>401</v>
      </c>
      <c r="B2218" s="2">
        <v>112</v>
      </c>
      <c r="C2218" s="2">
        <v>7837632</v>
      </c>
      <c r="D2218" s="2" t="s">
        <v>30</v>
      </c>
      <c r="E2218" s="2" t="s">
        <v>30</v>
      </c>
      <c r="F2218" t="s">
        <v>14</v>
      </c>
      <c r="G2218" t="s">
        <v>16</v>
      </c>
      <c r="N2218" s="2" t="s">
        <v>18</v>
      </c>
      <c r="O2218" s="2" t="s">
        <v>19</v>
      </c>
      <c r="P2218" s="2">
        <v>18000000</v>
      </c>
      <c r="Q2218" s="2">
        <v>7.5</v>
      </c>
      <c r="R2218" s="2" t="s">
        <v>4657</v>
      </c>
      <c r="S2218" s="2"/>
      <c r="AC2218" s="2"/>
      <c r="AD2218" t="str">
        <f>IFERROR(__xludf.DUMMYFUNCTION("""COMPUTED_VALUE"""),"Connie and Carla ")</f>
        <v>Connie and Carla </v>
      </c>
      <c r="AE2218">
        <f t="shared" si="63"/>
        <v>8054172</v>
      </c>
    </row>
    <row r="2219" customHeight="1" spans="1:31">
      <c r="A2219" s="2" t="s">
        <v>1030</v>
      </c>
      <c r="B2219" s="2">
        <v>94</v>
      </c>
      <c r="C2219" s="2">
        <v>15155772</v>
      </c>
      <c r="D2219" s="2" t="s">
        <v>521</v>
      </c>
      <c r="E2219" s="2" t="s">
        <v>40</v>
      </c>
      <c r="F2219" t="s">
        <v>28</v>
      </c>
      <c r="G2219" t="s">
        <v>30</v>
      </c>
      <c r="N2219" s="2" t="s">
        <v>18</v>
      </c>
      <c r="O2219" s="2" t="s">
        <v>19</v>
      </c>
      <c r="P2219" s="2">
        <v>18000000</v>
      </c>
      <c r="Q2219" s="2">
        <v>5.7</v>
      </c>
      <c r="R2219" s="2" t="s">
        <v>4658</v>
      </c>
      <c r="S2219" s="2"/>
      <c r="AC2219" s="2"/>
      <c r="AD2219" t="str">
        <f>IFERROR(__xludf.DUMMYFUNCTION("""COMPUTED_VALUE"""),"Inherent Vice ")</f>
        <v>Inherent Vice </v>
      </c>
      <c r="AE2219">
        <f t="shared" si="63"/>
        <v>8093170</v>
      </c>
    </row>
    <row r="2220" customHeight="1" spans="1:31">
      <c r="A2220" s="2" t="s">
        <v>2410</v>
      </c>
      <c r="B2220" s="2">
        <v>105</v>
      </c>
      <c r="C2220" s="2">
        <v>8508843</v>
      </c>
      <c r="D2220" s="2" t="s">
        <v>1716</v>
      </c>
      <c r="E2220" s="2" t="s">
        <v>13</v>
      </c>
      <c r="F2220" t="s">
        <v>30</v>
      </c>
      <c r="G2220" t="s">
        <v>16</v>
      </c>
      <c r="N2220" s="2" t="s">
        <v>18</v>
      </c>
      <c r="O2220" s="2" t="s">
        <v>19</v>
      </c>
      <c r="P2220" s="2">
        <v>18000000</v>
      </c>
      <c r="Q2220" s="2">
        <v>5.5</v>
      </c>
      <c r="R2220" s="2" t="s">
        <v>4659</v>
      </c>
      <c r="S2220" s="2"/>
      <c r="AC2220" s="2"/>
      <c r="AD2220" t="str">
        <f>IFERROR(__xludf.DUMMYFUNCTION("""COMPUTED_VALUE"""),"Doogal ")</f>
        <v>Doogal </v>
      </c>
      <c r="AE2220">
        <f t="shared" si="63"/>
        <v>7382916</v>
      </c>
    </row>
    <row r="2221" customHeight="1" spans="1:31">
      <c r="A2221" s="2" t="s">
        <v>2412</v>
      </c>
      <c r="B2221" s="2">
        <v>104</v>
      </c>
      <c r="C2221" s="2">
        <v>7739049</v>
      </c>
      <c r="D2221" s="2" t="s">
        <v>521</v>
      </c>
      <c r="E2221" s="2" t="s">
        <v>40</v>
      </c>
      <c r="F2221" t="s">
        <v>30</v>
      </c>
      <c r="G2221" t="s">
        <v>83</v>
      </c>
      <c r="N2221" s="2" t="s">
        <v>18</v>
      </c>
      <c r="O2221" s="2" t="s">
        <v>121</v>
      </c>
      <c r="P2221" s="2">
        <v>18000000</v>
      </c>
      <c r="Q2221" s="2">
        <v>7.1</v>
      </c>
      <c r="R2221" s="2" t="s">
        <v>4660</v>
      </c>
      <c r="S2221" s="2"/>
      <c r="AC2221" s="2"/>
      <c r="AD2221" t="str">
        <f>IFERROR(__xludf.DUMMYFUNCTION("""COMPUTED_VALUE"""),"Battle of the Year ")</f>
        <v>Battle of the Year </v>
      </c>
      <c r="AE2221">
        <f t="shared" si="63"/>
        <v>8888245</v>
      </c>
    </row>
    <row r="2222" customHeight="1" spans="1:31">
      <c r="A2222" s="2" t="s">
        <v>1291</v>
      </c>
      <c r="B2222" s="2">
        <v>112</v>
      </c>
      <c r="C2222" s="2">
        <v>6734844</v>
      </c>
      <c r="D2222" s="2" t="s">
        <v>103</v>
      </c>
      <c r="E2222" s="2" t="s">
        <v>30</v>
      </c>
      <c r="F2222" t="s">
        <v>56</v>
      </c>
      <c r="G2222" t="s">
        <v>24</v>
      </c>
      <c r="N2222" s="2" t="s">
        <v>18</v>
      </c>
      <c r="O2222" s="2" t="s">
        <v>19</v>
      </c>
      <c r="P2222" s="2">
        <v>17000000</v>
      </c>
      <c r="Q2222" s="2">
        <v>5.9</v>
      </c>
      <c r="R2222" s="2" t="s">
        <v>4661</v>
      </c>
      <c r="S2222" s="2"/>
      <c r="AC2222" s="2"/>
      <c r="AD2222" t="str">
        <f>IFERROR(__xludf.DUMMYFUNCTION("""COMPUTED_VALUE"""),"An American Carol ")</f>
        <v>An American Carol </v>
      </c>
      <c r="AE2222">
        <f t="shared" si="63"/>
        <v>7001637</v>
      </c>
    </row>
    <row r="2223" customHeight="1" spans="1:31">
      <c r="A2223" s="2" t="s">
        <v>2414</v>
      </c>
      <c r="B2223" s="2">
        <v>108</v>
      </c>
      <c r="C2223" s="2">
        <v>6000000</v>
      </c>
      <c r="D2223" s="2" t="s">
        <v>22</v>
      </c>
      <c r="E2223" s="2" t="s">
        <v>12</v>
      </c>
      <c r="F2223" t="s">
        <v>30</v>
      </c>
      <c r="G2223" t="s">
        <v>72</v>
      </c>
      <c r="N2223" s="2" t="s">
        <v>18</v>
      </c>
      <c r="O2223" s="2" t="s">
        <v>19</v>
      </c>
      <c r="P2223" s="2">
        <v>18000000</v>
      </c>
      <c r="Q2223" s="2">
        <v>6.7</v>
      </c>
      <c r="R2223" s="2" t="s">
        <v>4662</v>
      </c>
      <c r="S2223" s="2"/>
      <c r="AC2223" s="2"/>
      <c r="AD2223" t="str">
        <f>IFERROR(__xludf.DUMMYFUNCTION("""COMPUTED_VALUE"""),"Machete Kills ")</f>
        <v>Machete Kills </v>
      </c>
      <c r="AE2223">
        <f t="shared" si="63"/>
        <v>7268552</v>
      </c>
    </row>
    <row r="2224" customHeight="1" spans="1:31">
      <c r="A2224" s="2" t="s">
        <v>1995</v>
      </c>
      <c r="B2224" s="2">
        <v>112</v>
      </c>
      <c r="C2224" s="2">
        <v>6615578</v>
      </c>
      <c r="D2224" s="2" t="s">
        <v>2624</v>
      </c>
      <c r="E2224" s="2" t="s">
        <v>59</v>
      </c>
      <c r="F2224" t="s">
        <v>56</v>
      </c>
      <c r="G2224" t="s">
        <v>17</v>
      </c>
      <c r="N2224" s="2" t="s">
        <v>18</v>
      </c>
      <c r="O2224" s="2" t="s">
        <v>293</v>
      </c>
      <c r="P2224" s="2">
        <v>13000000</v>
      </c>
      <c r="Q2224" s="2">
        <v>7</v>
      </c>
      <c r="R2224" s="2" t="s">
        <v>4663</v>
      </c>
      <c r="S2224" s="2"/>
      <c r="AC2224" s="2"/>
      <c r="AD2224" t="str">
        <f>IFERROR(__xludf.DUMMYFUNCTION("""COMPUTED_VALUE"""),"Willard ")</f>
        <v>Willard </v>
      </c>
      <c r="AE2224">
        <f t="shared" si="63"/>
        <v>6852044</v>
      </c>
    </row>
    <row r="2225" customHeight="1" spans="1:31">
      <c r="A2225" s="2" t="s">
        <v>117</v>
      </c>
      <c r="B2225" s="2">
        <v>127</v>
      </c>
      <c r="C2225" s="2">
        <v>5887457</v>
      </c>
      <c r="D2225" s="2" t="s">
        <v>1694</v>
      </c>
      <c r="E2225" s="2" t="s">
        <v>59</v>
      </c>
      <c r="F2225" t="s">
        <v>30</v>
      </c>
      <c r="G2225" t="s">
        <v>24</v>
      </c>
      <c r="N2225" s="2" t="s">
        <v>18</v>
      </c>
      <c r="O2225" s="2" t="s">
        <v>19</v>
      </c>
      <c r="P2225" s="2">
        <v>18000000</v>
      </c>
      <c r="Q2225" s="2">
        <v>7.9</v>
      </c>
      <c r="R2225" s="2" t="s">
        <v>4664</v>
      </c>
      <c r="S2225" s="2"/>
      <c r="AC2225" s="2"/>
      <c r="AD2225" t="str">
        <f>IFERROR(__xludf.DUMMYFUNCTION("""COMPUTED_VALUE"""),"Strange Wilderness ")</f>
        <v>Strange Wilderness </v>
      </c>
      <c r="AE2225">
        <f t="shared" si="63"/>
        <v>6563270</v>
      </c>
    </row>
    <row r="2226" customHeight="1" spans="1:31">
      <c r="A2226" s="2" t="s">
        <v>1794</v>
      </c>
      <c r="B2226" s="2">
        <v>111</v>
      </c>
      <c r="C2226" s="2">
        <v>13362308</v>
      </c>
      <c r="D2226" s="2" t="s">
        <v>30</v>
      </c>
      <c r="E2226" s="2" t="s">
        <v>30</v>
      </c>
      <c r="F2226" t="s">
        <v>59</v>
      </c>
      <c r="G2226" t="s">
        <v>72</v>
      </c>
      <c r="N2226" s="2" t="s">
        <v>18</v>
      </c>
      <c r="O2226" s="2" t="s">
        <v>19</v>
      </c>
      <c r="P2226" s="2">
        <v>18000000</v>
      </c>
      <c r="Q2226" s="2">
        <v>6.9</v>
      </c>
      <c r="R2226" s="2" t="s">
        <v>4665</v>
      </c>
      <c r="S2226" s="2"/>
      <c r="AC2226" s="2"/>
      <c r="AD2226" t="str">
        <f>IFERROR(__xludf.DUMMYFUNCTION("""COMPUTED_VALUE"""),"Topsy-Turvy ")</f>
        <v>Topsy-Turvy </v>
      </c>
      <c r="AE2226">
        <f t="shared" si="63"/>
        <v>6201603</v>
      </c>
    </row>
    <row r="2227" customHeight="1" spans="1:31">
      <c r="A2227" s="2" t="s">
        <v>692</v>
      </c>
      <c r="B2227" s="2">
        <v>126</v>
      </c>
      <c r="C2227" s="2">
        <v>5701643</v>
      </c>
      <c r="D2227" s="2" t="s">
        <v>1371</v>
      </c>
      <c r="E2227" s="2" t="s">
        <v>13</v>
      </c>
      <c r="F2227" t="s">
        <v>59</v>
      </c>
      <c r="G2227" t="s">
        <v>40</v>
      </c>
      <c r="N2227" s="2" t="s">
        <v>4666</v>
      </c>
      <c r="O2227" s="2" t="s">
        <v>4525</v>
      </c>
      <c r="P2227" s="2">
        <v>20000000</v>
      </c>
      <c r="Q2227" s="2">
        <v>7.3</v>
      </c>
      <c r="R2227" s="2" t="s">
        <v>4667</v>
      </c>
      <c r="S2227" s="2"/>
      <c r="AC2227" s="2"/>
      <c r="AD2227" t="str">
        <f>IFERROR(__xludf.DUMMYFUNCTION("""COMPUTED_VALUE"""),"Little Boy ")</f>
        <v>Little Boy </v>
      </c>
      <c r="AE2227">
        <f t="shared" si="63"/>
        <v>6420213</v>
      </c>
    </row>
    <row r="2228" customHeight="1" spans="1:31">
      <c r="A2228" s="2" t="s">
        <v>479</v>
      </c>
      <c r="B2228" s="2">
        <v>114</v>
      </c>
      <c r="C2228" s="2">
        <v>5694401</v>
      </c>
      <c r="D2228" s="2" t="s">
        <v>150</v>
      </c>
      <c r="E2228" s="2" t="s">
        <v>12</v>
      </c>
      <c r="F2228" t="s">
        <v>72</v>
      </c>
      <c r="G2228" t="s">
        <v>14</v>
      </c>
      <c r="N2228" s="2" t="s">
        <v>18</v>
      </c>
      <c r="O2228" s="2" t="s">
        <v>31</v>
      </c>
      <c r="P2228" s="2">
        <v>18000000</v>
      </c>
      <c r="Q2228" s="2">
        <v>7.3</v>
      </c>
      <c r="R2228" s="2" t="s">
        <v>4668</v>
      </c>
      <c r="S2228" s="2"/>
      <c r="AC2228" s="2"/>
      <c r="AD2228" t="str">
        <f>IFERROR(__xludf.DUMMYFUNCTION("""COMPUTED_VALUE"""),"A Dangerous Method ")</f>
        <v>A Dangerous Method </v>
      </c>
      <c r="AE2228">
        <f t="shared" si="63"/>
        <v>5701984</v>
      </c>
    </row>
    <row r="2229" customHeight="1" spans="1:31">
      <c r="A2229" s="2" t="s">
        <v>2416</v>
      </c>
      <c r="B2229" s="2">
        <v>99</v>
      </c>
      <c r="C2229" s="2">
        <v>5333658</v>
      </c>
      <c r="D2229" s="2" t="s">
        <v>256</v>
      </c>
      <c r="E2229" s="2" t="s">
        <v>12</v>
      </c>
      <c r="F2229" t="s">
        <v>17</v>
      </c>
      <c r="G2229" t="s">
        <v>17</v>
      </c>
      <c r="N2229" s="2" t="s">
        <v>18</v>
      </c>
      <c r="O2229" s="2" t="s">
        <v>19</v>
      </c>
      <c r="P2229" s="2">
        <v>20000000</v>
      </c>
      <c r="Q2229" s="2">
        <v>3.5</v>
      </c>
      <c r="R2229" s="2" t="s">
        <v>4669</v>
      </c>
      <c r="S2229" s="2"/>
      <c r="AC2229" s="2"/>
      <c r="AD2229" t="str">
        <f>IFERROR(__xludf.DUMMYFUNCTION("""COMPUTED_VALUE"""),"A Scanner Darkly ")</f>
        <v>A Scanner Darkly </v>
      </c>
      <c r="AE2229">
        <f t="shared" si="63"/>
        <v>5480896</v>
      </c>
    </row>
    <row r="2230" customHeight="1" spans="1:31">
      <c r="A2230" s="2" t="s">
        <v>330</v>
      </c>
      <c r="B2230" s="2">
        <v>150</v>
      </c>
      <c r="C2230" s="2">
        <v>4414535</v>
      </c>
      <c r="D2230" s="2" t="s">
        <v>30</v>
      </c>
      <c r="E2230" s="2" t="s">
        <v>30</v>
      </c>
      <c r="F2230" t="s">
        <v>72</v>
      </c>
      <c r="G2230" t="s">
        <v>56</v>
      </c>
      <c r="N2230" s="2" t="s">
        <v>18</v>
      </c>
      <c r="O2230" s="2" t="s">
        <v>31</v>
      </c>
      <c r="P2230" s="2">
        <v>18000000</v>
      </c>
      <c r="Q2230" s="2">
        <v>7.8</v>
      </c>
      <c r="R2230" s="2" t="s">
        <v>4670</v>
      </c>
      <c r="S2230" s="2"/>
      <c r="AC2230" s="2"/>
      <c r="AD2230" t="str">
        <f>IFERROR(__xludf.DUMMYFUNCTION("""COMPUTED_VALUE"""),"Chasing Mavericks ")</f>
        <v>Chasing Mavericks </v>
      </c>
      <c r="AE2230">
        <f t="shared" si="63"/>
        <v>6002640</v>
      </c>
    </row>
    <row r="2231" customHeight="1" spans="1:31">
      <c r="A2231" s="2" t="s">
        <v>2418</v>
      </c>
      <c r="B2231" s="2">
        <v>112</v>
      </c>
      <c r="C2231" s="2">
        <v>3707794</v>
      </c>
      <c r="D2231" s="2" t="s">
        <v>541</v>
      </c>
      <c r="E2231" s="2" t="s">
        <v>13</v>
      </c>
      <c r="F2231" t="s">
        <v>23</v>
      </c>
      <c r="G2231" t="s">
        <v>24</v>
      </c>
      <c r="N2231" s="2" t="s">
        <v>18</v>
      </c>
      <c r="O2231" s="2" t="s">
        <v>4671</v>
      </c>
      <c r="P2231" s="2">
        <v>18000000</v>
      </c>
      <c r="Q2231" s="2">
        <v>6.7</v>
      </c>
      <c r="R2231" s="2" t="s">
        <v>4672</v>
      </c>
      <c r="S2231" s="2"/>
      <c r="AC2231" s="2"/>
      <c r="AD2231" t="str">
        <f>IFERROR(__xludf.DUMMYFUNCTION("""COMPUTED_VALUE"""),"Alone in the Dark ")</f>
        <v>Alone in the Dark </v>
      </c>
      <c r="AE2231">
        <f t="shared" ref="AE2231:AE2294" si="64">C2115-B2115</f>
        <v>5132561</v>
      </c>
    </row>
    <row r="2232" customHeight="1" spans="1:31">
      <c r="A2232" s="2" t="s">
        <v>1814</v>
      </c>
      <c r="B2232" s="2">
        <v>108</v>
      </c>
      <c r="C2232" s="2">
        <v>3203044</v>
      </c>
      <c r="D2232" s="2" t="s">
        <v>607</v>
      </c>
      <c r="E2232" s="2" t="s">
        <v>40</v>
      </c>
      <c r="F2232" t="s">
        <v>30</v>
      </c>
      <c r="G2232" t="s">
        <v>17</v>
      </c>
      <c r="N2232" s="2" t="s">
        <v>18</v>
      </c>
      <c r="O2232" s="2" t="s">
        <v>19</v>
      </c>
      <c r="P2232" s="2">
        <v>18000000</v>
      </c>
      <c r="Q2232" s="2">
        <v>6.4</v>
      </c>
      <c r="R2232" s="2" t="s">
        <v>4673</v>
      </c>
      <c r="S2232" s="2"/>
      <c r="AC2232" s="2"/>
      <c r="AD2232" t="str">
        <f>IFERROR(__xludf.DUMMYFUNCTION("""COMPUTED_VALUE"""),"Bandslam ")</f>
        <v>Bandslam </v>
      </c>
      <c r="AE2232">
        <f t="shared" si="64"/>
        <v>5205232</v>
      </c>
    </row>
    <row r="2233" customHeight="1" spans="1:31">
      <c r="A2233" s="2" t="s">
        <v>2421</v>
      </c>
      <c r="B2233" s="2">
        <v>116</v>
      </c>
      <c r="C2233" s="2">
        <v>4435083</v>
      </c>
      <c r="D2233" s="2" t="s">
        <v>4674</v>
      </c>
      <c r="E2233" s="2" t="s">
        <v>59</v>
      </c>
      <c r="F2233" t="s">
        <v>30</v>
      </c>
      <c r="G2233" t="s">
        <v>24</v>
      </c>
      <c r="N2233" s="2" t="s">
        <v>18</v>
      </c>
      <c r="O2233" s="2" t="s">
        <v>159</v>
      </c>
      <c r="P2233" s="2">
        <v>18000000</v>
      </c>
      <c r="Q2233" s="2">
        <v>7.1</v>
      </c>
      <c r="R2233" s="2" t="s">
        <v>4675</v>
      </c>
      <c r="S2233" s="2"/>
      <c r="AC2233" s="2"/>
      <c r="AD2233" t="str">
        <f>IFERROR(__xludf.DUMMYFUNCTION("""COMPUTED_VALUE"""),"Birth ")</f>
        <v>Birth </v>
      </c>
      <c r="AE2233">
        <f t="shared" si="64"/>
        <v>5005783</v>
      </c>
    </row>
    <row r="2234" customHeight="1" spans="1:31">
      <c r="A2234" s="2" t="s">
        <v>2423</v>
      </c>
      <c r="B2234" s="2">
        <v>144</v>
      </c>
      <c r="C2234" s="2">
        <v>2222647</v>
      </c>
      <c r="D2234" s="2" t="s">
        <v>3388</v>
      </c>
      <c r="E2234" s="2" t="s">
        <v>30</v>
      </c>
      <c r="F2234" t="s">
        <v>23</v>
      </c>
      <c r="G2234" t="s">
        <v>30</v>
      </c>
      <c r="N2234" s="2" t="s">
        <v>4574</v>
      </c>
      <c r="O2234" s="2" t="s">
        <v>293</v>
      </c>
      <c r="P2234" s="2">
        <v>12000000</v>
      </c>
      <c r="Q2234" s="2">
        <v>7.8</v>
      </c>
      <c r="R2234" s="2" t="s">
        <v>4676</v>
      </c>
      <c r="S2234" s="2"/>
      <c r="AC2234" s="2"/>
      <c r="AD2234" t="str">
        <f>IFERROR(__xludf.DUMMYFUNCTION("""COMPUTED_VALUE"""),"A Most Violent Year ")</f>
        <v>A Most Violent Year </v>
      </c>
      <c r="AE2234">
        <f t="shared" si="64"/>
        <v>5749009</v>
      </c>
    </row>
    <row r="2235" customHeight="1" spans="1:31">
      <c r="A2235" s="2" t="s">
        <v>2425</v>
      </c>
      <c r="B2235" s="2">
        <v>93</v>
      </c>
      <c r="C2235" s="2">
        <v>3500000</v>
      </c>
      <c r="D2235" s="2" t="s">
        <v>4677</v>
      </c>
      <c r="E2235" s="2" t="s">
        <v>12</v>
      </c>
      <c r="F2235" t="s">
        <v>30</v>
      </c>
      <c r="G2235" t="s">
        <v>24</v>
      </c>
      <c r="N2235" s="2" t="s">
        <v>18</v>
      </c>
      <c r="O2235" s="2" t="s">
        <v>19</v>
      </c>
      <c r="P2235" s="2">
        <v>2700000</v>
      </c>
      <c r="Q2235" s="2">
        <v>5.9</v>
      </c>
      <c r="R2235" s="2" t="s">
        <v>4678</v>
      </c>
      <c r="S2235" s="2"/>
      <c r="AC2235" s="2"/>
      <c r="AD2235" t="str">
        <f>IFERROR(__xludf.DUMMYFUNCTION("""COMPUTED_VALUE"""),"Flash of Genius ")</f>
        <v>Flash of Genius </v>
      </c>
      <c r="AE2235">
        <f t="shared" si="64"/>
        <v>4233921</v>
      </c>
    </row>
    <row r="2236" customHeight="1" spans="1:31">
      <c r="A2236" s="2" t="s">
        <v>798</v>
      </c>
      <c r="B2236" s="2">
        <v>103</v>
      </c>
      <c r="C2236" s="2">
        <v>676698</v>
      </c>
      <c r="D2236" s="2" t="s">
        <v>814</v>
      </c>
      <c r="E2236" s="2" t="s">
        <v>56</v>
      </c>
      <c r="F2236" t="s">
        <v>72</v>
      </c>
      <c r="G2236" t="s">
        <v>65</v>
      </c>
      <c r="N2236" s="2" t="s">
        <v>18</v>
      </c>
      <c r="O2236" s="2" t="s">
        <v>19</v>
      </c>
      <c r="P2236" s="2">
        <v>18000000</v>
      </c>
      <c r="Q2236" s="2">
        <v>7.2</v>
      </c>
      <c r="R2236" s="2" t="s">
        <v>4679</v>
      </c>
      <c r="S2236" s="2"/>
      <c r="AC2236" s="2"/>
      <c r="AD2236" t="str">
        <f>IFERROR(__xludf.DUMMYFUNCTION("""COMPUTED_VALUE"""),"I'm Not There. ")</f>
        <v>I'm Not There. </v>
      </c>
      <c r="AE2236">
        <f t="shared" si="64"/>
        <v>4000986</v>
      </c>
    </row>
    <row r="2237" customHeight="1" spans="1:31">
      <c r="A2237" s="2" t="s">
        <v>2427</v>
      </c>
      <c r="B2237" s="2">
        <v>121</v>
      </c>
      <c r="C2237" s="2">
        <v>229311</v>
      </c>
      <c r="D2237" s="2" t="s">
        <v>4680</v>
      </c>
      <c r="E2237" s="2" t="s">
        <v>12</v>
      </c>
      <c r="F2237" t="s">
        <v>23</v>
      </c>
      <c r="G2237" t="s">
        <v>23</v>
      </c>
      <c r="N2237" s="2" t="s">
        <v>18</v>
      </c>
      <c r="O2237" s="2" t="s">
        <v>1431</v>
      </c>
      <c r="P2237" s="2">
        <v>11350000</v>
      </c>
      <c r="Q2237" s="2">
        <v>6.2</v>
      </c>
      <c r="R2237" s="2" t="s">
        <v>4681</v>
      </c>
      <c r="S2237" s="2"/>
      <c r="AC2237" s="2"/>
      <c r="AD2237" t="str">
        <f>IFERROR(__xludf.DUMMYFUNCTION("""COMPUTED_VALUE"""),"The Cold Light of Day ")</f>
        <v>The Cold Light of Day </v>
      </c>
      <c r="AE2237">
        <f t="shared" si="64"/>
        <v>3748968</v>
      </c>
    </row>
    <row r="2238" customHeight="1" spans="1:31">
      <c r="A2238" s="2" t="s">
        <v>2429</v>
      </c>
      <c r="B2238" s="2">
        <v>105</v>
      </c>
      <c r="C2238" s="2">
        <v>63260</v>
      </c>
      <c r="D2238" s="2" t="s">
        <v>4682</v>
      </c>
      <c r="E2238" s="2" t="s">
        <v>12</v>
      </c>
      <c r="F2238" t="s">
        <v>30</v>
      </c>
      <c r="G2238" t="s">
        <v>29</v>
      </c>
      <c r="N2238" s="2" t="s">
        <v>18</v>
      </c>
      <c r="O2238" s="2" t="s">
        <v>707</v>
      </c>
      <c r="P2238" s="2">
        <v>14000000</v>
      </c>
      <c r="Q2238" s="2">
        <v>6.7</v>
      </c>
      <c r="R2238" s="2" t="s">
        <v>4683</v>
      </c>
      <c r="S2238" s="2"/>
      <c r="AC2238" s="2"/>
      <c r="AD2238" t="str">
        <f>IFERROR(__xludf.DUMMYFUNCTION("""COMPUTED_VALUE"""),"The Brothers Bloom ")</f>
        <v>The Brothers Bloom </v>
      </c>
      <c r="AE2238">
        <f t="shared" si="64"/>
        <v>3519513</v>
      </c>
    </row>
    <row r="2239" customHeight="1" spans="1:31">
      <c r="A2239" s="2" t="s">
        <v>1529</v>
      </c>
      <c r="B2239" s="2">
        <v>119</v>
      </c>
      <c r="C2239" s="2">
        <v>121463226</v>
      </c>
      <c r="D2239" s="2" t="s">
        <v>40</v>
      </c>
      <c r="E2239" s="2" t="s">
        <v>40</v>
      </c>
      <c r="F2239" t="s">
        <v>17</v>
      </c>
      <c r="G2239" t="s">
        <v>15</v>
      </c>
      <c r="N2239" s="2" t="s">
        <v>18</v>
      </c>
      <c r="O2239" s="2" t="s">
        <v>19</v>
      </c>
      <c r="P2239" s="2">
        <v>20000000</v>
      </c>
      <c r="Q2239" s="2">
        <v>7.6</v>
      </c>
      <c r="R2239" s="2" t="s">
        <v>4684</v>
      </c>
      <c r="S2239" s="2"/>
      <c r="AC2239" s="2"/>
      <c r="AD2239" t="str">
        <f>IFERROR(__xludf.DUMMYFUNCTION("""COMPUTED_VALUE"""),"Synecdoche, New York ")</f>
        <v>Synecdoche, New York </v>
      </c>
      <c r="AE2239">
        <f t="shared" si="64"/>
        <v>3081801</v>
      </c>
    </row>
    <row r="2240" customHeight="1" spans="1:31">
      <c r="A2240" s="2" t="s">
        <v>403</v>
      </c>
      <c r="B2240" s="2">
        <v>98</v>
      </c>
      <c r="C2240" s="2">
        <v>58006147</v>
      </c>
      <c r="D2240" s="2" t="s">
        <v>1969</v>
      </c>
      <c r="E2240" s="2" t="s">
        <v>30</v>
      </c>
      <c r="F2240" t="s">
        <v>40</v>
      </c>
      <c r="G2240" t="s">
        <v>24</v>
      </c>
      <c r="N2240" s="2" t="s">
        <v>18</v>
      </c>
      <c r="O2240" s="2" t="s">
        <v>19</v>
      </c>
      <c r="P2240" s="2">
        <v>23000000</v>
      </c>
      <c r="Q2240" s="2">
        <v>6.2</v>
      </c>
      <c r="R2240" s="2" t="s">
        <v>4685</v>
      </c>
      <c r="S2240" s="2"/>
      <c r="AC2240" s="2"/>
      <c r="AD2240" t="str">
        <f>IFERROR(__xludf.DUMMYFUNCTION("""COMPUTED_VALUE"""),"Princess Mononoke ")</f>
        <v>Princess Mononoke </v>
      </c>
      <c r="AE2240">
        <f t="shared" si="64"/>
        <v>2298057</v>
      </c>
    </row>
    <row r="2241" customHeight="1" spans="1:31">
      <c r="A2241" s="2" t="s">
        <v>2431</v>
      </c>
      <c r="B2241" s="2">
        <v>80</v>
      </c>
      <c r="C2241" s="2">
        <v>51053787</v>
      </c>
      <c r="D2241" s="2" t="s">
        <v>4686</v>
      </c>
      <c r="E2241" s="2" t="s">
        <v>12</v>
      </c>
      <c r="F2241" t="s">
        <v>17</v>
      </c>
      <c r="G2241" t="s">
        <v>83</v>
      </c>
      <c r="N2241" s="2" t="s">
        <v>18</v>
      </c>
      <c r="O2241" s="2" t="s">
        <v>19</v>
      </c>
      <c r="P2241" s="2">
        <v>17500000</v>
      </c>
      <c r="Q2241" s="2">
        <v>6.5</v>
      </c>
      <c r="R2241" s="2" t="s">
        <v>4687</v>
      </c>
      <c r="S2241" s="2"/>
      <c r="AC2241" s="2"/>
      <c r="AD2241" t="str">
        <f>IFERROR(__xludf.DUMMYFUNCTION("""COMPUTED_VALUE"""),"Bon voyage ")</f>
        <v>Bon voyage </v>
      </c>
      <c r="AE2241">
        <f t="shared" si="64"/>
        <v>2353614</v>
      </c>
    </row>
    <row r="2242" customHeight="1" spans="1:31">
      <c r="A2242" s="2" t="s">
        <v>2434</v>
      </c>
      <c r="B2242" s="2">
        <v>121</v>
      </c>
      <c r="C2242" s="2">
        <v>23472900</v>
      </c>
      <c r="D2242" s="2" t="s">
        <v>731</v>
      </c>
      <c r="E2242" s="2" t="s">
        <v>30</v>
      </c>
      <c r="F2242" t="s">
        <v>14</v>
      </c>
      <c r="G2242" t="s">
        <v>56</v>
      </c>
      <c r="N2242" s="2" t="s">
        <v>18</v>
      </c>
      <c r="O2242" s="2" t="s">
        <v>31</v>
      </c>
      <c r="P2242" s="2">
        <v>17500000</v>
      </c>
      <c r="Q2242" s="2">
        <v>8.1</v>
      </c>
      <c r="R2242" s="2" t="s">
        <v>4688</v>
      </c>
      <c r="S2242" s="2"/>
      <c r="AC2242" s="2"/>
      <c r="AD2242" t="str">
        <f>IFERROR(__xludf.DUMMYFUNCTION("""COMPUTED_VALUE"""),"Can't Stop the Music ")</f>
        <v>Can't Stop the Music </v>
      </c>
      <c r="AE2242">
        <f t="shared" si="64"/>
        <v>1999876</v>
      </c>
    </row>
    <row r="2243" customHeight="1" spans="1:31">
      <c r="A2243" s="2" t="s">
        <v>2436</v>
      </c>
      <c r="B2243" s="2">
        <v>94</v>
      </c>
      <c r="C2243" s="2">
        <v>39687528</v>
      </c>
      <c r="D2243" s="2" t="s">
        <v>186</v>
      </c>
      <c r="E2243" s="2" t="s">
        <v>12</v>
      </c>
      <c r="F2243" t="s">
        <v>14</v>
      </c>
      <c r="G2243" t="s">
        <v>72</v>
      </c>
      <c r="N2243" s="2" t="s">
        <v>18</v>
      </c>
      <c r="O2243" s="2" t="s">
        <v>707</v>
      </c>
      <c r="P2243" s="2">
        <v>24000000</v>
      </c>
      <c r="Q2243" s="2">
        <v>6.3</v>
      </c>
      <c r="R2243" s="2" t="s">
        <v>4689</v>
      </c>
      <c r="S2243" s="2"/>
      <c r="AC2243" s="2"/>
      <c r="AD2243" t="str">
        <f>IFERROR(__xludf.DUMMYFUNCTION("""COMPUTED_VALUE"""),"The Proposition ")</f>
        <v>The Proposition </v>
      </c>
      <c r="AE2243">
        <f t="shared" si="64"/>
        <v>1900621</v>
      </c>
    </row>
    <row r="2244" customHeight="1" spans="1:31">
      <c r="A2244" s="2" t="s">
        <v>2438</v>
      </c>
      <c r="B2244" s="2">
        <v>93</v>
      </c>
      <c r="C2244" s="2">
        <v>7017178</v>
      </c>
      <c r="D2244" s="2" t="s">
        <v>4690</v>
      </c>
      <c r="E2244" s="2" t="s">
        <v>30</v>
      </c>
      <c r="F2244" t="s">
        <v>17</v>
      </c>
      <c r="G2244" t="s">
        <v>55</v>
      </c>
      <c r="N2244" s="2" t="s">
        <v>18</v>
      </c>
      <c r="O2244" s="2" t="s">
        <v>19</v>
      </c>
      <c r="P2244" s="2">
        <v>17500000</v>
      </c>
      <c r="Q2244" s="2">
        <v>4.4</v>
      </c>
      <c r="R2244" s="2" t="s">
        <v>4691</v>
      </c>
      <c r="S2244" s="2"/>
      <c r="AC2244" s="2"/>
      <c r="AD2244" t="str">
        <f>IFERROR(__xludf.DUMMYFUNCTION("""COMPUTED_VALUE"""),"Courage ")</f>
        <v>Courage </v>
      </c>
      <c r="AE2244">
        <f t="shared" si="64"/>
        <v>2245882</v>
      </c>
    </row>
    <row r="2245" customHeight="1" spans="1:31">
      <c r="A2245" s="2" t="s">
        <v>2440</v>
      </c>
      <c r="B2245" s="2">
        <v>116</v>
      </c>
      <c r="C2245" s="2">
        <v>325491</v>
      </c>
      <c r="D2245" s="2" t="s">
        <v>805</v>
      </c>
      <c r="E2245" s="2" t="s">
        <v>56</v>
      </c>
      <c r="F2245" t="s">
        <v>40</v>
      </c>
      <c r="G2245" t="s">
        <v>24</v>
      </c>
      <c r="N2245" s="2" t="s">
        <v>18</v>
      </c>
      <c r="O2245" s="2" t="s">
        <v>19</v>
      </c>
      <c r="P2245" s="2">
        <v>17500000</v>
      </c>
      <c r="Q2245" s="2">
        <v>6</v>
      </c>
      <c r="R2245" s="2" t="s">
        <v>4692</v>
      </c>
      <c r="S2245" s="2"/>
      <c r="AC2245" s="2"/>
      <c r="AD2245" t="str">
        <f>IFERROR(__xludf.DUMMYFUNCTION("""COMPUTED_VALUE"""),"Marci X ")</f>
        <v>Marci X </v>
      </c>
      <c r="AE2245">
        <f t="shared" si="64"/>
        <v>1646584</v>
      </c>
    </row>
    <row r="2246" customHeight="1" spans="1:31">
      <c r="A2246" s="2" t="s">
        <v>977</v>
      </c>
      <c r="B2246" s="2">
        <v>101</v>
      </c>
      <c r="C2246" s="2">
        <v>96471845</v>
      </c>
      <c r="D2246" s="2" t="s">
        <v>4101</v>
      </c>
      <c r="E2246" s="2" t="s">
        <v>14</v>
      </c>
      <c r="F2246" t="s">
        <v>17</v>
      </c>
      <c r="G2246" t="s">
        <v>72</v>
      </c>
      <c r="N2246" s="2" t="s">
        <v>18</v>
      </c>
      <c r="O2246" s="2" t="s">
        <v>19</v>
      </c>
      <c r="P2246" s="2">
        <v>17000000</v>
      </c>
      <c r="Q2246" s="2">
        <v>7.6</v>
      </c>
      <c r="R2246" s="2" t="s">
        <v>4693</v>
      </c>
      <c r="S2246" s="2"/>
      <c r="AC2246" s="2"/>
      <c r="AD2246" t="str">
        <f>IFERROR(__xludf.DUMMYFUNCTION("""COMPUTED_VALUE"""),"Equilibrium ")</f>
        <v>Equilibrium </v>
      </c>
      <c r="AE2246">
        <f t="shared" si="64"/>
        <v>1189911</v>
      </c>
    </row>
    <row r="2247" customHeight="1" spans="1:31">
      <c r="A2247" s="2" t="s">
        <v>10</v>
      </c>
      <c r="B2247" s="2">
        <v>154</v>
      </c>
      <c r="C2247" s="2">
        <v>85200000</v>
      </c>
      <c r="D2247" s="2" t="s">
        <v>38</v>
      </c>
      <c r="E2247" s="2" t="s">
        <v>12</v>
      </c>
      <c r="F2247" t="s">
        <v>56</v>
      </c>
      <c r="G2247" t="s">
        <v>24</v>
      </c>
      <c r="N2247" s="2" t="s">
        <v>18</v>
      </c>
      <c r="O2247" s="2" t="s">
        <v>19</v>
      </c>
      <c r="P2247" s="2">
        <v>18500000</v>
      </c>
      <c r="Q2247" s="2">
        <v>8.4</v>
      </c>
      <c r="R2247" s="2" t="s">
        <v>4694</v>
      </c>
      <c r="S2247" s="2"/>
      <c r="AC2247" s="2"/>
      <c r="AD2247" t="str">
        <f>IFERROR(__xludf.DUMMYFUNCTION("""COMPUTED_VALUE"""),"The Children of Huang Shi ")</f>
        <v>The Children of Huang Shi </v>
      </c>
      <c r="AE2247">
        <f t="shared" si="64"/>
        <v>1027624</v>
      </c>
    </row>
    <row r="2248" customHeight="1" spans="1:31">
      <c r="A2248" s="2" t="s">
        <v>2442</v>
      </c>
      <c r="B2248" s="2">
        <v>170</v>
      </c>
      <c r="C2248" s="2">
        <v>72000000</v>
      </c>
      <c r="D2248" s="2" t="s">
        <v>4695</v>
      </c>
      <c r="E2248" s="2" t="s">
        <v>30</v>
      </c>
      <c r="F2248" t="s">
        <v>30</v>
      </c>
      <c r="G2248" t="s">
        <v>24</v>
      </c>
      <c r="N2248" s="2" t="s">
        <v>18</v>
      </c>
      <c r="O2248" s="2" t="s">
        <v>19</v>
      </c>
      <c r="P2248" s="2">
        <v>17000000</v>
      </c>
      <c r="Q2248" s="2">
        <v>7.9</v>
      </c>
      <c r="R2248" s="2" t="s">
        <v>4696</v>
      </c>
      <c r="S2248" s="2"/>
      <c r="AC2248" s="2"/>
      <c r="AD2248" t="str">
        <f>IFERROR(__xludf.DUMMYFUNCTION("""COMPUTED_VALUE"""),"The Yards ")</f>
        <v>The Yards </v>
      </c>
      <c r="AE2248">
        <f t="shared" si="64"/>
        <v>882595</v>
      </c>
    </row>
    <row r="2249" customHeight="1" spans="1:31">
      <c r="A2249" s="2" t="s">
        <v>2444</v>
      </c>
      <c r="B2249" s="2">
        <v>99</v>
      </c>
      <c r="C2249" s="2">
        <v>72219395</v>
      </c>
      <c r="D2249" s="2" t="s">
        <v>1189</v>
      </c>
      <c r="E2249" s="2" t="s">
        <v>72</v>
      </c>
      <c r="F2249" t="s">
        <v>28</v>
      </c>
      <c r="G2249" t="s">
        <v>17</v>
      </c>
      <c r="N2249" s="2" t="s">
        <v>18</v>
      </c>
      <c r="O2249" s="2" t="s">
        <v>19</v>
      </c>
      <c r="P2249" s="2">
        <v>17000000</v>
      </c>
      <c r="Q2249" s="2">
        <v>5.6</v>
      </c>
      <c r="R2249" s="2" t="s">
        <v>4697</v>
      </c>
      <c r="S2249" s="2"/>
      <c r="AC2249" s="2"/>
      <c r="AD2249" t="str">
        <f>IFERROR(__xludf.DUMMYFUNCTION("""COMPUTED_VALUE"""),"The Oogieloves in the Big Balloon Adventure ")</f>
        <v>The Oogieloves in the Big Balloon Adventure </v>
      </c>
      <c r="AE2249">
        <f t="shared" si="64"/>
        <v>1064189</v>
      </c>
    </row>
    <row r="2250" customHeight="1" spans="1:31">
      <c r="A2250" s="2" t="s">
        <v>1670</v>
      </c>
      <c r="B2250" s="2">
        <v>104</v>
      </c>
      <c r="C2250" s="2">
        <v>82389560</v>
      </c>
      <c r="D2250" s="2" t="s">
        <v>40</v>
      </c>
      <c r="E2250" s="2" t="s">
        <v>40</v>
      </c>
      <c r="F2250" t="s">
        <v>23</v>
      </c>
      <c r="G2250" t="s">
        <v>29</v>
      </c>
      <c r="N2250" s="2" t="s">
        <v>18</v>
      </c>
      <c r="O2250" s="2" t="s">
        <v>19</v>
      </c>
      <c r="P2250" s="2">
        <v>17000000</v>
      </c>
      <c r="Q2250" s="2">
        <v>6.5</v>
      </c>
      <c r="R2250" s="2" t="s">
        <v>4698</v>
      </c>
      <c r="S2250" s="2"/>
      <c r="AC2250" s="2"/>
      <c r="AD2250" t="str">
        <f>IFERROR(__xludf.DUMMYFUNCTION("""COMPUTED_VALUE"""),"By the Sea ")</f>
        <v>By the Sea </v>
      </c>
      <c r="AE2250">
        <f t="shared" si="64"/>
        <v>530887</v>
      </c>
    </row>
    <row r="2251" customHeight="1" spans="1:31">
      <c r="A2251" s="2" t="s">
        <v>1796</v>
      </c>
      <c r="B2251" s="2">
        <v>126</v>
      </c>
      <c r="C2251" s="2">
        <v>71502303</v>
      </c>
      <c r="D2251" s="2" t="s">
        <v>4544</v>
      </c>
      <c r="E2251" s="2" t="s">
        <v>13</v>
      </c>
      <c r="F2251" t="s">
        <v>30</v>
      </c>
      <c r="G2251" t="s">
        <v>24</v>
      </c>
      <c r="N2251" s="2" t="s">
        <v>18</v>
      </c>
      <c r="O2251" s="2" t="s">
        <v>19</v>
      </c>
      <c r="P2251" s="2">
        <v>12000000</v>
      </c>
      <c r="Q2251" s="2">
        <v>7.5</v>
      </c>
      <c r="R2251" s="2" t="s">
        <v>4699</v>
      </c>
      <c r="S2251" s="2"/>
      <c r="AC2251" s="2"/>
      <c r="AD2251" t="str">
        <f>IFERROR(__xludf.DUMMYFUNCTION("""COMPUTED_VALUE"""),"Steamboy ")</f>
        <v>Steamboy </v>
      </c>
      <c r="AE2251">
        <f t="shared" si="64"/>
        <v>410285</v>
      </c>
    </row>
    <row r="2252" customHeight="1" spans="1:31">
      <c r="A2252" s="2" t="s">
        <v>1233</v>
      </c>
      <c r="B2252" s="2">
        <v>110</v>
      </c>
      <c r="C2252" s="2">
        <v>19179969</v>
      </c>
      <c r="D2252" s="2" t="s">
        <v>40</v>
      </c>
      <c r="E2252" s="2" t="s">
        <v>40</v>
      </c>
      <c r="F2252" t="s">
        <v>40</v>
      </c>
      <c r="G2252" t="s">
        <v>83</v>
      </c>
      <c r="N2252" s="2" t="s">
        <v>18</v>
      </c>
      <c r="O2252" s="2" t="s">
        <v>19</v>
      </c>
      <c r="P2252" s="2">
        <v>17500000</v>
      </c>
      <c r="Q2252" s="2">
        <v>6.3</v>
      </c>
      <c r="R2252" s="2" t="s">
        <v>4700</v>
      </c>
      <c r="S2252" s="2"/>
      <c r="AC2252" s="2"/>
      <c r="AD2252" t="str">
        <f>IFERROR(__xludf.DUMMYFUNCTION("""COMPUTED_VALUE"""),"The Game of Their Lives ")</f>
        <v>The Game of Their Lives </v>
      </c>
      <c r="AE2252">
        <f t="shared" si="64"/>
        <v>375373</v>
      </c>
    </row>
    <row r="2253" customHeight="1" spans="1:31">
      <c r="A2253" s="2" t="s">
        <v>1335</v>
      </c>
      <c r="B2253" s="2">
        <v>101</v>
      </c>
      <c r="C2253" s="2">
        <v>47000000</v>
      </c>
      <c r="D2253" s="2" t="s">
        <v>2781</v>
      </c>
      <c r="E2253" s="2" t="s">
        <v>72</v>
      </c>
      <c r="F2253" t="s">
        <v>83</v>
      </c>
      <c r="G2253" t="s">
        <v>17</v>
      </c>
      <c r="N2253" s="2" t="s">
        <v>18</v>
      </c>
      <c r="O2253" s="2" t="s">
        <v>19</v>
      </c>
      <c r="P2253" s="2">
        <v>300000</v>
      </c>
      <c r="Q2253" s="2">
        <v>7.9</v>
      </c>
      <c r="R2253" s="2" t="s">
        <v>4701</v>
      </c>
      <c r="S2253" s="2"/>
      <c r="AC2253" s="2"/>
      <c r="AD2253" t="str">
        <f>IFERROR(__xludf.DUMMYFUNCTION("""COMPUTED_VALUE"""),"Rapa Nui ")</f>
        <v>Rapa Nui </v>
      </c>
      <c r="AE2253">
        <f t="shared" si="64"/>
        <v>304963</v>
      </c>
    </row>
    <row r="2254" customHeight="1" spans="1:31">
      <c r="A2254" s="2" t="s">
        <v>2447</v>
      </c>
      <c r="B2254" s="2">
        <v>87</v>
      </c>
      <c r="C2254" s="2">
        <v>37566230</v>
      </c>
      <c r="D2254" s="2" t="s">
        <v>4702</v>
      </c>
      <c r="E2254" s="2" t="s">
        <v>40</v>
      </c>
      <c r="F2254" t="s">
        <v>28</v>
      </c>
      <c r="G2254" t="s">
        <v>14</v>
      </c>
      <c r="N2254" s="2" t="s">
        <v>18</v>
      </c>
      <c r="O2254" s="2" t="s">
        <v>19</v>
      </c>
      <c r="P2254" s="2">
        <v>17000000</v>
      </c>
      <c r="Q2254" s="2">
        <v>5.1</v>
      </c>
      <c r="R2254" s="2" t="s">
        <v>4703</v>
      </c>
      <c r="S2254" s="2"/>
      <c r="AC2254" s="2"/>
      <c r="AD2254" t="str">
        <f>IFERROR(__xludf.DUMMYFUNCTION("""COMPUTED_VALUE"""),"Les couloirs du temps: Les visiteurs II ")</f>
        <v>Les couloirs du temps: Les visiteurs II </v>
      </c>
      <c r="AE2254">
        <f t="shared" si="64"/>
        <v>145954</v>
      </c>
    </row>
    <row r="2255" customHeight="1" spans="1:31">
      <c r="A2255" s="2" t="s">
        <v>1952</v>
      </c>
      <c r="B2255" s="2">
        <v>123</v>
      </c>
      <c r="C2255" s="2">
        <v>70492685</v>
      </c>
      <c r="D2255" s="2" t="s">
        <v>975</v>
      </c>
      <c r="E2255" s="2" t="s">
        <v>40</v>
      </c>
      <c r="F2255" t="s">
        <v>30</v>
      </c>
      <c r="G2255" t="s">
        <v>15</v>
      </c>
      <c r="N2255" s="2" t="s">
        <v>18</v>
      </c>
      <c r="O2255" s="2" t="s">
        <v>19</v>
      </c>
      <c r="P2255" s="2">
        <v>17000000</v>
      </c>
      <c r="Q2255" s="2">
        <v>6.7</v>
      </c>
      <c r="R2255" s="2" t="s">
        <v>4704</v>
      </c>
      <c r="S2255" s="2"/>
      <c r="AC2255" s="2"/>
      <c r="AD2255" t="str">
        <f>IFERROR(__xludf.DUMMYFUNCTION("""COMPUTED_VALUE"""),"Dylan Dog: Dead of Night ")</f>
        <v>Dylan Dog: Dead of Night </v>
      </c>
      <c r="AE2255">
        <f t="shared" si="64"/>
        <v>1183247</v>
      </c>
    </row>
    <row r="2256" customHeight="1" spans="1:31">
      <c r="A2256" s="2" t="s">
        <v>2008</v>
      </c>
      <c r="B2256" s="2">
        <v>109</v>
      </c>
      <c r="C2256" s="2">
        <v>35635046</v>
      </c>
      <c r="D2256" s="2" t="s">
        <v>186</v>
      </c>
      <c r="E2256" s="2" t="s">
        <v>12</v>
      </c>
      <c r="F2256" t="s">
        <v>56</v>
      </c>
      <c r="G2256" t="s">
        <v>83</v>
      </c>
      <c r="N2256" s="2" t="s">
        <v>18</v>
      </c>
      <c r="O2256" s="2" t="s">
        <v>31</v>
      </c>
      <c r="P2256" s="2">
        <v>17000000</v>
      </c>
      <c r="Q2256" s="2">
        <v>6.7</v>
      </c>
      <c r="R2256" s="2" t="s">
        <v>4705</v>
      </c>
      <c r="S2256" s="2"/>
      <c r="AC2256" s="2"/>
      <c r="AD2256" t="str">
        <f>IFERROR(__xludf.DUMMYFUNCTION("""COMPUTED_VALUE"""),"People I Know ")</f>
        <v>People I Know </v>
      </c>
      <c r="AE2256">
        <f t="shared" si="64"/>
        <v>121872</v>
      </c>
    </row>
    <row r="2257" customHeight="1" spans="1:31">
      <c r="A2257" s="2" t="s">
        <v>2449</v>
      </c>
      <c r="B2257" s="2">
        <v>90</v>
      </c>
      <c r="C2257" s="2">
        <v>45670855</v>
      </c>
      <c r="D2257" s="2" t="s">
        <v>2613</v>
      </c>
      <c r="E2257" s="2" t="s">
        <v>72</v>
      </c>
      <c r="F2257" t="s">
        <v>28</v>
      </c>
      <c r="G2257" t="s">
        <v>15</v>
      </c>
      <c r="N2257" s="2" t="s">
        <v>18</v>
      </c>
      <c r="O2257" s="2" t="s">
        <v>121</v>
      </c>
      <c r="P2257" s="2">
        <v>20000000</v>
      </c>
      <c r="Q2257" s="2">
        <v>5.6</v>
      </c>
      <c r="R2257" s="2" t="s">
        <v>4706</v>
      </c>
      <c r="S2257" s="2"/>
      <c r="AC2257" s="2"/>
      <c r="AD2257" t="str">
        <f>IFERROR(__xludf.DUMMYFUNCTION("""COMPUTED_VALUE"""),"The Tempest ")</f>
        <v>The Tempest </v>
      </c>
      <c r="AE2257">
        <f t="shared" si="64"/>
        <v>263255</v>
      </c>
    </row>
    <row r="2258" customHeight="1" spans="1:31">
      <c r="A2258" s="2" t="s">
        <v>1014</v>
      </c>
      <c r="B2258" s="2">
        <v>96</v>
      </c>
      <c r="C2258" s="2">
        <v>37939782</v>
      </c>
      <c r="D2258" s="2" t="s">
        <v>607</v>
      </c>
      <c r="E2258" s="2" t="s">
        <v>40</v>
      </c>
      <c r="F2258" t="s">
        <v>55</v>
      </c>
      <c r="G2258" t="s">
        <v>17</v>
      </c>
      <c r="N2258" s="2" t="s">
        <v>18</v>
      </c>
      <c r="O2258" s="2" t="s">
        <v>19</v>
      </c>
      <c r="P2258" s="2">
        <v>17000000</v>
      </c>
      <c r="Q2258" s="2">
        <v>5.6</v>
      </c>
      <c r="R2258" s="2" t="s">
        <v>4707</v>
      </c>
      <c r="S2258" s="2"/>
      <c r="AC2258" s="2"/>
      <c r="AD2258" t="str">
        <f>IFERROR(__xludf.DUMMYFUNCTION("""COMPUTED_VALUE"""),"The Painted Veil ")</f>
        <v>The Painted Veil </v>
      </c>
      <c r="AE2258">
        <f t="shared" si="64"/>
        <v>8047565</v>
      </c>
    </row>
    <row r="2259" customHeight="1" spans="1:31">
      <c r="A2259" s="2" t="s">
        <v>2452</v>
      </c>
      <c r="B2259" s="2">
        <v>82</v>
      </c>
      <c r="C2259" s="2">
        <v>30324946</v>
      </c>
      <c r="D2259" s="2" t="s">
        <v>4708</v>
      </c>
      <c r="E2259" s="2" t="s">
        <v>40</v>
      </c>
      <c r="F2259" t="s">
        <v>72</v>
      </c>
      <c r="G2259" t="s">
        <v>30</v>
      </c>
      <c r="N2259" s="2" t="s">
        <v>18</v>
      </c>
      <c r="O2259" s="2" t="s">
        <v>19</v>
      </c>
      <c r="P2259" s="2">
        <v>17000000</v>
      </c>
      <c r="Q2259" s="2">
        <v>6.2</v>
      </c>
      <c r="R2259" s="2" t="s">
        <v>4709</v>
      </c>
      <c r="S2259" s="2"/>
      <c r="AC2259" s="2"/>
      <c r="AD2259" t="str">
        <f>IFERROR(__xludf.DUMMYFUNCTION("""COMPUTED_VALUE"""),"The Baader Meinhof Complex ")</f>
        <v>The Baader Meinhof Complex </v>
      </c>
      <c r="AE2259">
        <f t="shared" si="64"/>
        <v>476086</v>
      </c>
    </row>
    <row r="2260" customHeight="1" spans="1:31">
      <c r="A2260" s="2" t="s">
        <v>2454</v>
      </c>
      <c r="B2260" s="2">
        <v>86</v>
      </c>
      <c r="C2260" s="2">
        <v>27854896</v>
      </c>
      <c r="D2260" s="2" t="s">
        <v>266</v>
      </c>
      <c r="E2260" s="2" t="s">
        <v>30</v>
      </c>
      <c r="F2260" t="s">
        <v>24</v>
      </c>
      <c r="G2260" t="s">
        <v>17</v>
      </c>
      <c r="N2260" s="2" t="s">
        <v>18</v>
      </c>
      <c r="O2260" s="2" t="s">
        <v>19</v>
      </c>
      <c r="P2260" s="2">
        <v>17000000</v>
      </c>
      <c r="Q2260" s="2">
        <v>5.6</v>
      </c>
      <c r="R2260" s="2" t="s">
        <v>4710</v>
      </c>
      <c r="S2260" s="2"/>
      <c r="AC2260" s="2"/>
      <c r="AD2260" t="str">
        <f>IFERROR(__xludf.DUMMYFUNCTION("""COMPUTED_VALUE"""),"Dances with Wolves ")</f>
        <v>Dances with Wolves </v>
      </c>
      <c r="AE2260">
        <f t="shared" si="64"/>
        <v>184208612</v>
      </c>
    </row>
    <row r="2261" customHeight="1" spans="1:31">
      <c r="A2261" s="2" t="s">
        <v>1677</v>
      </c>
      <c r="B2261" s="2">
        <v>108</v>
      </c>
      <c r="C2261" s="2">
        <v>41777564</v>
      </c>
      <c r="D2261" s="2" t="s">
        <v>72</v>
      </c>
      <c r="E2261" s="2" t="s">
        <v>72</v>
      </c>
      <c r="F2261" t="s">
        <v>30</v>
      </c>
      <c r="G2261" t="s">
        <v>16</v>
      </c>
      <c r="N2261" s="2" t="s">
        <v>18</v>
      </c>
      <c r="O2261" s="2" t="s">
        <v>19</v>
      </c>
      <c r="P2261" s="2">
        <v>15000000</v>
      </c>
      <c r="Q2261" s="2">
        <v>6.4</v>
      </c>
      <c r="R2261" s="2" t="s">
        <v>4711</v>
      </c>
      <c r="S2261" s="2"/>
      <c r="AC2261" s="2"/>
      <c r="AD2261" t="str">
        <f>IFERROR(__xludf.DUMMYFUNCTION("""COMPUTED_VALUE"""),"Bad Teacher ")</f>
        <v>Bad Teacher </v>
      </c>
      <c r="AE2261">
        <f t="shared" si="64"/>
        <v>100292759</v>
      </c>
    </row>
    <row r="2262" customHeight="1" spans="1:31">
      <c r="A2262" s="2" t="s">
        <v>1172</v>
      </c>
      <c r="B2262" s="2">
        <v>98</v>
      </c>
      <c r="C2262" s="2">
        <v>22734486</v>
      </c>
      <c r="D2262" s="2" t="s">
        <v>40</v>
      </c>
      <c r="E2262" s="2" t="s">
        <v>40</v>
      </c>
      <c r="F2262" t="s">
        <v>35</v>
      </c>
      <c r="G2262" t="s">
        <v>29</v>
      </c>
      <c r="N2262" s="2" t="s">
        <v>18</v>
      </c>
      <c r="O2262" s="2" t="s">
        <v>19</v>
      </c>
      <c r="P2262" s="2">
        <v>17000000</v>
      </c>
      <c r="Q2262" s="2">
        <v>5.6</v>
      </c>
      <c r="R2262" s="2" t="s">
        <v>4712</v>
      </c>
      <c r="S2262" s="2"/>
      <c r="AC2262" s="2"/>
      <c r="AD2262" t="str">
        <f>IFERROR(__xludf.DUMMYFUNCTION("""COMPUTED_VALUE"""),"Sea of Love ")</f>
        <v>Sea of Love </v>
      </c>
      <c r="AE2262">
        <f t="shared" si="64"/>
        <v>58571400</v>
      </c>
    </row>
    <row r="2263" customHeight="1" spans="1:31">
      <c r="A2263" s="2" t="s">
        <v>1881</v>
      </c>
      <c r="B2263" s="2">
        <v>129</v>
      </c>
      <c r="C2263" s="2">
        <v>44469602</v>
      </c>
      <c r="D2263" s="2" t="s">
        <v>592</v>
      </c>
      <c r="E2263" s="2" t="s">
        <v>59</v>
      </c>
      <c r="F2263" t="s">
        <v>13</v>
      </c>
      <c r="G2263" t="s">
        <v>23</v>
      </c>
      <c r="N2263" s="2" t="s">
        <v>18</v>
      </c>
      <c r="O2263" s="2" t="s">
        <v>19</v>
      </c>
      <c r="P2263" s="2">
        <v>17000000</v>
      </c>
      <c r="Q2263" s="2">
        <v>7.4</v>
      </c>
      <c r="R2263" s="2" t="s">
        <v>4713</v>
      </c>
      <c r="S2263" s="2"/>
      <c r="AC2263" s="2"/>
      <c r="AD2263" t="str">
        <f>IFERROR(__xludf.DUMMYFUNCTION("""COMPUTED_VALUE"""),"A Cinderella Story ")</f>
        <v>A Cinderella Story </v>
      </c>
      <c r="AE2263">
        <f t="shared" si="64"/>
        <v>51431065</v>
      </c>
    </row>
    <row r="2264" customHeight="1" spans="1:31">
      <c r="A2264" s="2" t="s">
        <v>2456</v>
      </c>
      <c r="B2264" s="2">
        <v>112</v>
      </c>
      <c r="C2264" s="2">
        <v>64998368</v>
      </c>
      <c r="D2264" s="2" t="s">
        <v>4708</v>
      </c>
      <c r="E2264" s="2" t="s">
        <v>40</v>
      </c>
      <c r="F2264" t="s">
        <v>30</v>
      </c>
      <c r="G2264" t="s">
        <v>17</v>
      </c>
      <c r="N2264" s="2" t="s">
        <v>18</v>
      </c>
      <c r="O2264" s="2" t="s">
        <v>19</v>
      </c>
      <c r="P2264" s="2">
        <v>17000000</v>
      </c>
      <c r="Q2264" s="2">
        <v>7.2</v>
      </c>
      <c r="R2264" s="2" t="s">
        <v>4714</v>
      </c>
      <c r="S2264" s="2"/>
      <c r="AC2264" s="2"/>
      <c r="AD2264" t="str">
        <f>IFERROR(__xludf.DUMMYFUNCTION("""COMPUTED_VALUE"""),"Scream ")</f>
        <v>Scream </v>
      </c>
      <c r="AE2264">
        <f t="shared" si="64"/>
        <v>103001183</v>
      </c>
    </row>
    <row r="2265" customHeight="1" spans="1:31">
      <c r="A2265" s="2" t="s">
        <v>1657</v>
      </c>
      <c r="B2265" s="2">
        <v>108</v>
      </c>
      <c r="C2265" s="2">
        <v>19693891</v>
      </c>
      <c r="D2265" s="2" t="s">
        <v>1826</v>
      </c>
      <c r="E2265" s="2" t="s">
        <v>40</v>
      </c>
      <c r="F2265" t="s">
        <v>17</v>
      </c>
      <c r="G2265" t="s">
        <v>15</v>
      </c>
      <c r="N2265" s="2" t="s">
        <v>18</v>
      </c>
      <c r="O2265" s="2" t="s">
        <v>19</v>
      </c>
      <c r="P2265" s="2">
        <v>34000000</v>
      </c>
      <c r="Q2265" s="2">
        <v>4.9</v>
      </c>
      <c r="R2265" s="2" t="s">
        <v>4715</v>
      </c>
      <c r="S2265" s="2"/>
      <c r="AC2265" s="2"/>
      <c r="AD2265" t="str">
        <f>IFERROR(__xludf.DUMMYFUNCTION("""COMPUTED_VALUE"""),"Thir13en Ghosts ")</f>
        <v>Thir13en Ghosts </v>
      </c>
      <c r="AE2265">
        <f t="shared" si="64"/>
        <v>41867869</v>
      </c>
    </row>
    <row r="2266" customHeight="1" spans="1:31">
      <c r="A2266" s="2" t="s">
        <v>50</v>
      </c>
      <c r="B2266" s="2">
        <v>121</v>
      </c>
      <c r="C2266" s="2">
        <v>16311763</v>
      </c>
      <c r="D2266" s="2" t="s">
        <v>805</v>
      </c>
      <c r="E2266" s="2" t="s">
        <v>56</v>
      </c>
      <c r="F2266" t="s">
        <v>39</v>
      </c>
      <c r="G2266" t="s">
        <v>30</v>
      </c>
      <c r="N2266" s="2" t="s">
        <v>18</v>
      </c>
      <c r="O2266" s="2" t="s">
        <v>31</v>
      </c>
      <c r="P2266" s="2">
        <v>17000000</v>
      </c>
      <c r="Q2266" s="2">
        <v>7.5</v>
      </c>
      <c r="R2266" s="2" t="s">
        <v>4716</v>
      </c>
      <c r="S2266" s="2"/>
      <c r="AC2266" s="2"/>
      <c r="AD2266" t="str">
        <f>IFERROR(__xludf.DUMMYFUNCTION("""COMPUTED_VALUE"""),"Back to the Future ")</f>
        <v>Back to the Future </v>
      </c>
      <c r="AE2266">
        <f t="shared" si="64"/>
        <v>210609646</v>
      </c>
    </row>
    <row r="2267" customHeight="1" spans="1:31">
      <c r="A2267" s="2" t="s">
        <v>2459</v>
      </c>
      <c r="B2267" s="2">
        <v>89</v>
      </c>
      <c r="C2267" s="2">
        <v>12693621</v>
      </c>
      <c r="D2267" s="2" t="s">
        <v>1189</v>
      </c>
      <c r="E2267" s="2" t="s">
        <v>72</v>
      </c>
      <c r="F2267" t="s">
        <v>24</v>
      </c>
      <c r="G2267" t="s">
        <v>28</v>
      </c>
      <c r="N2267" s="2" t="s">
        <v>18</v>
      </c>
      <c r="O2267" s="2" t="s">
        <v>19</v>
      </c>
      <c r="P2267" s="2">
        <v>17000000</v>
      </c>
      <c r="Q2267" s="2">
        <v>4.8</v>
      </c>
      <c r="R2267" s="2" t="s">
        <v>4717</v>
      </c>
      <c r="S2267" s="2"/>
      <c r="AC2267" s="2"/>
      <c r="AD2267" t="str">
        <f>IFERROR(__xludf.DUMMYFUNCTION("""COMPUTED_VALUE"""),"House on Haunted Hill ")</f>
        <v>House on Haunted Hill </v>
      </c>
      <c r="AE2267">
        <f t="shared" si="64"/>
        <v>40845989</v>
      </c>
    </row>
    <row r="2268" customHeight="1" spans="1:31">
      <c r="A2268" s="2" t="s">
        <v>2461</v>
      </c>
      <c r="B2268" s="2">
        <v>89</v>
      </c>
      <c r="C2268" s="2">
        <v>15655665</v>
      </c>
      <c r="D2268" s="2" t="s">
        <v>607</v>
      </c>
      <c r="E2268" s="2" t="s">
        <v>40</v>
      </c>
      <c r="F2268" t="s">
        <v>30</v>
      </c>
      <c r="G2268" t="s">
        <v>14</v>
      </c>
      <c r="N2268" s="2" t="s">
        <v>18</v>
      </c>
      <c r="O2268" s="2" t="s">
        <v>19</v>
      </c>
      <c r="P2268" s="2">
        <v>4000000</v>
      </c>
      <c r="Q2268" s="2">
        <v>3.1</v>
      </c>
      <c r="R2268" s="2" t="s">
        <v>4718</v>
      </c>
      <c r="S2268" s="2"/>
      <c r="AC2268" s="2"/>
      <c r="AD2268" t="str">
        <f>IFERROR(__xludf.DUMMYFUNCTION("""COMPUTED_VALUE"""),"I Can Do Bad All by Myself ")</f>
        <v>I Can Do Bad All by Myself </v>
      </c>
      <c r="AE2268">
        <f t="shared" si="64"/>
        <v>51697336</v>
      </c>
    </row>
    <row r="2269" customHeight="1" spans="1:31">
      <c r="A2269" s="2" t="s">
        <v>2463</v>
      </c>
      <c r="B2269" s="2">
        <v>73</v>
      </c>
      <c r="C2269" s="2">
        <v>11634458</v>
      </c>
      <c r="D2269" s="2" t="s">
        <v>4719</v>
      </c>
      <c r="E2269" s="2" t="s">
        <v>13</v>
      </c>
      <c r="F2269" t="s">
        <v>30</v>
      </c>
      <c r="G2269" t="s">
        <v>24</v>
      </c>
      <c r="N2269" s="2" t="s">
        <v>18</v>
      </c>
      <c r="O2269" s="2" t="s">
        <v>19</v>
      </c>
      <c r="P2269" s="2">
        <v>17000000</v>
      </c>
      <c r="Q2269" s="2">
        <v>5.8</v>
      </c>
      <c r="R2269" s="2" t="s">
        <v>4720</v>
      </c>
      <c r="S2269" s="2"/>
      <c r="AC2269" s="2"/>
      <c r="AD2269" t="str">
        <f>IFERROR(__xludf.DUMMYFUNCTION("""COMPUTED_VALUE"""),"The Switch ")</f>
        <v>The Switch </v>
      </c>
      <c r="AE2269">
        <f t="shared" si="64"/>
        <v>27758364</v>
      </c>
    </row>
    <row r="2270" customHeight="1" spans="1:31">
      <c r="A2270" s="2" t="s">
        <v>881</v>
      </c>
      <c r="B2270" s="2">
        <v>132</v>
      </c>
      <c r="C2270" s="2">
        <v>27154426</v>
      </c>
      <c r="D2270" s="2" t="s">
        <v>805</v>
      </c>
      <c r="E2270" s="2" t="s">
        <v>56</v>
      </c>
      <c r="F2270" t="s">
        <v>23</v>
      </c>
      <c r="G2270" t="s">
        <v>29</v>
      </c>
      <c r="N2270" s="2" t="s">
        <v>18</v>
      </c>
      <c r="O2270" s="2" t="s">
        <v>19</v>
      </c>
      <c r="P2270" s="2">
        <v>17000000</v>
      </c>
      <c r="Q2270" s="2">
        <v>6.7</v>
      </c>
      <c r="R2270" s="2" t="s">
        <v>4721</v>
      </c>
      <c r="S2270" s="2"/>
      <c r="AC2270" s="2"/>
      <c r="AD2270" t="str">
        <f>IFERROR(__xludf.DUMMYFUNCTION("""COMPUTED_VALUE"""),"Just Married ")</f>
        <v>Just Married </v>
      </c>
      <c r="AE2270">
        <f t="shared" si="64"/>
        <v>56127067</v>
      </c>
    </row>
    <row r="2271" customHeight="1" spans="1:31">
      <c r="A2271" s="2" t="s">
        <v>2466</v>
      </c>
      <c r="B2271" s="2">
        <v>96</v>
      </c>
      <c r="C2271" s="2">
        <v>54239856</v>
      </c>
      <c r="D2271" s="2" t="s">
        <v>72</v>
      </c>
      <c r="E2271" s="2" t="s">
        <v>72</v>
      </c>
      <c r="F2271" t="s">
        <v>30</v>
      </c>
      <c r="G2271" t="s">
        <v>24</v>
      </c>
      <c r="N2271" s="2" t="s">
        <v>18</v>
      </c>
      <c r="O2271" s="2" t="s">
        <v>19</v>
      </c>
      <c r="P2271" s="2">
        <v>17000000</v>
      </c>
      <c r="Q2271" s="2">
        <v>6.5</v>
      </c>
      <c r="R2271" s="2" t="s">
        <v>4722</v>
      </c>
      <c r="S2271" s="2"/>
      <c r="AC2271" s="2"/>
      <c r="AD2271" t="str">
        <f>IFERROR(__xludf.DUMMYFUNCTION("""COMPUTED_VALUE"""),"The Devil's Double ")</f>
        <v>The Devil's Double </v>
      </c>
      <c r="AE2271">
        <f t="shared" si="64"/>
        <v>1356933</v>
      </c>
    </row>
    <row r="2272" customHeight="1" spans="1:31">
      <c r="A2272" s="2" t="s">
        <v>1111</v>
      </c>
      <c r="B2272" s="2">
        <v>98</v>
      </c>
      <c r="C2272" s="2">
        <v>8662318</v>
      </c>
      <c r="D2272" s="2" t="s">
        <v>607</v>
      </c>
      <c r="E2272" s="2" t="s">
        <v>40</v>
      </c>
      <c r="F2272" t="s">
        <v>17</v>
      </c>
      <c r="G2272" t="s">
        <v>72</v>
      </c>
      <c r="N2272" s="2" t="s">
        <v>18</v>
      </c>
      <c r="O2272" s="2" t="s">
        <v>19</v>
      </c>
      <c r="P2272" s="2">
        <v>17000000</v>
      </c>
      <c r="Q2272" s="2">
        <v>5.9</v>
      </c>
      <c r="R2272" s="2" t="s">
        <v>4723</v>
      </c>
      <c r="S2272" s="2"/>
      <c r="AC2272" s="2"/>
      <c r="AD2272" t="str">
        <f>IFERROR(__xludf.DUMMYFUNCTION("""COMPUTED_VALUE"""),"Thomas and the Magic Railroad ")</f>
        <v>Thomas and the Magic Railroad </v>
      </c>
      <c r="AE2272">
        <f t="shared" si="64"/>
        <v>15911248</v>
      </c>
    </row>
    <row r="2273" customHeight="1" spans="1:31">
      <c r="A2273" s="2" t="s">
        <v>619</v>
      </c>
      <c r="B2273" s="2">
        <v>107</v>
      </c>
      <c r="C2273" s="2">
        <v>7156725</v>
      </c>
      <c r="D2273" s="2" t="s">
        <v>3198</v>
      </c>
      <c r="E2273" s="2" t="s">
        <v>40</v>
      </c>
      <c r="F2273" t="s">
        <v>15</v>
      </c>
      <c r="G2273" t="s">
        <v>15</v>
      </c>
      <c r="N2273" s="2" t="s">
        <v>18</v>
      </c>
      <c r="O2273" s="2" t="s">
        <v>19</v>
      </c>
      <c r="P2273" s="2">
        <v>19000000</v>
      </c>
      <c r="Q2273" s="2">
        <v>5.5</v>
      </c>
      <c r="R2273" s="2" t="s">
        <v>4724</v>
      </c>
      <c r="S2273" s="2"/>
      <c r="AC2273" s="2"/>
      <c r="AD2273" t="str">
        <f>IFERROR(__xludf.DUMMYFUNCTION("""COMPUTED_VALUE"""),"The Crazies ")</f>
        <v>The Crazies </v>
      </c>
      <c r="AE2273">
        <f t="shared" si="64"/>
        <v>39103277</v>
      </c>
    </row>
    <row r="2274" customHeight="1" spans="1:31">
      <c r="A2274" s="2" t="s">
        <v>2468</v>
      </c>
      <c r="B2274" s="2">
        <v>134</v>
      </c>
      <c r="C2274" s="2">
        <v>15681020</v>
      </c>
      <c r="D2274" s="2" t="s">
        <v>3221</v>
      </c>
      <c r="E2274" s="2" t="s">
        <v>12</v>
      </c>
      <c r="F2274" t="s">
        <v>83</v>
      </c>
      <c r="G2274" t="s">
        <v>30</v>
      </c>
      <c r="N2274" s="2" t="s">
        <v>18</v>
      </c>
      <c r="O2274" s="2" t="s">
        <v>31</v>
      </c>
      <c r="P2274" s="2">
        <v>17000000</v>
      </c>
      <c r="Q2274" s="2">
        <v>3.6</v>
      </c>
      <c r="R2274" s="2" t="s">
        <v>4725</v>
      </c>
      <c r="S2274" s="2"/>
      <c r="AC2274" s="2"/>
      <c r="AD2274" t="str">
        <f>IFERROR(__xludf.DUMMYFUNCTION("""COMPUTED_VALUE"""),"Spirited Away ")</f>
        <v>Spirited Away </v>
      </c>
      <c r="AE2274">
        <f t="shared" si="64"/>
        <v>10049761</v>
      </c>
    </row>
    <row r="2275" customHeight="1" spans="1:31">
      <c r="A2275" s="2" t="s">
        <v>2470</v>
      </c>
      <c r="B2275" s="2">
        <v>122</v>
      </c>
      <c r="C2275" s="2">
        <v>6855137</v>
      </c>
      <c r="D2275" s="2" t="s">
        <v>186</v>
      </c>
      <c r="E2275" s="2" t="s">
        <v>12</v>
      </c>
      <c r="F2275" t="s">
        <v>56</v>
      </c>
      <c r="G2275" t="s">
        <v>28</v>
      </c>
      <c r="N2275" s="2" t="s">
        <v>18</v>
      </c>
      <c r="O2275" s="2" t="s">
        <v>293</v>
      </c>
      <c r="P2275" s="2">
        <v>17000000</v>
      </c>
      <c r="Q2275" s="2">
        <v>7.4</v>
      </c>
      <c r="R2275" s="2" t="s">
        <v>4726</v>
      </c>
      <c r="S2275" s="2"/>
      <c r="AC2275" s="2"/>
      <c r="AD2275" t="str">
        <f>IFERROR(__xludf.DUMMYFUNCTION("""COMPUTED_VALUE"""),"The Bounty ")</f>
        <v>The Bounty </v>
      </c>
      <c r="AE2275">
        <f t="shared" si="64"/>
        <v>8599868</v>
      </c>
    </row>
    <row r="2276" customHeight="1" spans="1:31">
      <c r="A2276" s="2" t="s">
        <v>2473</v>
      </c>
      <c r="B2276" s="2">
        <v>97</v>
      </c>
      <c r="C2276" s="2">
        <v>2315683</v>
      </c>
      <c r="D2276" s="2" t="s">
        <v>4727</v>
      </c>
      <c r="E2276" s="2" t="s">
        <v>13</v>
      </c>
      <c r="F2276" t="s">
        <v>83</v>
      </c>
      <c r="G2276" t="s">
        <v>30</v>
      </c>
      <c r="N2276" s="2" t="s">
        <v>18</v>
      </c>
      <c r="O2276" s="2" t="s">
        <v>31</v>
      </c>
      <c r="P2276" s="2">
        <v>17000000</v>
      </c>
      <c r="Q2276" s="2">
        <v>3</v>
      </c>
      <c r="R2276" s="2" t="s">
        <v>4728</v>
      </c>
      <c r="S2276" s="2"/>
      <c r="AC2276" s="2"/>
      <c r="AD2276" t="str">
        <f>IFERROR(__xludf.DUMMYFUNCTION("""COMPUTED_VALUE"""),"The Book Thief ")</f>
        <v>The Book Thief </v>
      </c>
      <c r="AE2276">
        <f t="shared" si="64"/>
        <v>21483023</v>
      </c>
    </row>
    <row r="2277" customHeight="1" spans="1:31">
      <c r="A2277" s="2" t="s">
        <v>763</v>
      </c>
      <c r="B2277" s="2">
        <v>110</v>
      </c>
      <c r="C2277" s="2">
        <v>39825798</v>
      </c>
      <c r="D2277" s="2" t="s">
        <v>1300</v>
      </c>
      <c r="E2277" s="2" t="s">
        <v>30</v>
      </c>
      <c r="F2277" t="s">
        <v>30</v>
      </c>
      <c r="G2277" t="s">
        <v>17</v>
      </c>
      <c r="N2277" s="2" t="s">
        <v>18</v>
      </c>
      <c r="O2277" s="2" t="s">
        <v>19</v>
      </c>
      <c r="P2277" s="2">
        <v>16000000</v>
      </c>
      <c r="Q2277" s="2">
        <v>7.6</v>
      </c>
      <c r="R2277" s="2" t="s">
        <v>4729</v>
      </c>
      <c r="S2277" s="2"/>
      <c r="AC2277" s="2"/>
      <c r="AD2277" t="str">
        <f>IFERROR(__xludf.DUMMYFUNCTION("""COMPUTED_VALUE"""),"Sex Drive ")</f>
        <v>Sex Drive </v>
      </c>
      <c r="AE2277">
        <f t="shared" si="64"/>
        <v>8396813</v>
      </c>
    </row>
    <row r="2278" customHeight="1" spans="1:31">
      <c r="A2278" s="2" t="s">
        <v>2475</v>
      </c>
      <c r="B2278" s="2">
        <v>102</v>
      </c>
      <c r="C2278" s="2">
        <v>2000000</v>
      </c>
      <c r="D2278" s="2" t="s">
        <v>3619</v>
      </c>
      <c r="E2278" s="2" t="s">
        <v>13</v>
      </c>
      <c r="F2278" t="s">
        <v>30</v>
      </c>
      <c r="G2278" t="s">
        <v>30</v>
      </c>
      <c r="N2278" s="2" t="s">
        <v>18</v>
      </c>
      <c r="O2278" s="2" t="s">
        <v>19</v>
      </c>
      <c r="P2278" s="2">
        <v>17000000</v>
      </c>
      <c r="Q2278" s="2">
        <v>6.4</v>
      </c>
      <c r="R2278" s="2" t="s">
        <v>4730</v>
      </c>
      <c r="S2278" s="2"/>
      <c r="AC2278" s="2"/>
      <c r="AD2278" t="str">
        <f>IFERROR(__xludf.DUMMYFUNCTION("""COMPUTED_VALUE"""),"Leap Year ")</f>
        <v>Leap Year </v>
      </c>
      <c r="AE2278">
        <f t="shared" si="64"/>
        <v>12461</v>
      </c>
    </row>
    <row r="2279" customHeight="1" spans="1:31">
      <c r="A2279" s="2" t="s">
        <v>490</v>
      </c>
      <c r="B2279" s="2">
        <v>98</v>
      </c>
      <c r="C2279" s="2">
        <v>1569918</v>
      </c>
      <c r="D2279" s="2" t="s">
        <v>2341</v>
      </c>
      <c r="E2279" s="2" t="s">
        <v>59</v>
      </c>
      <c r="F2279" t="s">
        <v>30</v>
      </c>
      <c r="G2279" t="s">
        <v>24</v>
      </c>
      <c r="N2279" s="2" t="s">
        <v>18</v>
      </c>
      <c r="O2279" s="2" t="s">
        <v>3349</v>
      </c>
      <c r="P2279" s="2">
        <v>17000000</v>
      </c>
      <c r="Q2279" s="2">
        <v>6.9</v>
      </c>
      <c r="R2279" s="2" t="s">
        <v>4731</v>
      </c>
      <c r="S2279" s="2"/>
      <c r="AC2279" s="2"/>
      <c r="AD2279" t="str">
        <f>IFERROR(__xludf.DUMMYFUNCTION("""COMPUTED_VALUE"""),"Take Me Home Tonight ")</f>
        <v>Take Me Home Tonight </v>
      </c>
      <c r="AE2279">
        <f t="shared" si="64"/>
        <v>6923794</v>
      </c>
    </row>
    <row r="2280" customHeight="1" spans="1:31">
      <c r="A2280" s="2" t="s">
        <v>2477</v>
      </c>
      <c r="B2280" s="2">
        <v>120</v>
      </c>
      <c r="C2280" s="2">
        <v>106869</v>
      </c>
      <c r="D2280" s="2" t="s">
        <v>2171</v>
      </c>
      <c r="E2280" s="2" t="s">
        <v>56</v>
      </c>
      <c r="F2280" t="s">
        <v>30</v>
      </c>
      <c r="G2280" t="s">
        <v>24</v>
      </c>
      <c r="N2280" s="2" t="s">
        <v>18</v>
      </c>
      <c r="O2280" s="2" t="s">
        <v>707</v>
      </c>
      <c r="P2280" s="2">
        <v>17000000</v>
      </c>
      <c r="Q2280" s="2">
        <v>6.6</v>
      </c>
      <c r="R2280" s="2" t="s">
        <v>4732</v>
      </c>
      <c r="S2280" s="2"/>
      <c r="AC2280" s="2"/>
      <c r="AD2280" t="str">
        <f>IFERROR(__xludf.DUMMYFUNCTION("""COMPUTED_VALUE"""),"The Nutcracker ")</f>
        <v>The Nutcracker </v>
      </c>
      <c r="AE2280">
        <f t="shared" si="64"/>
        <v>2119902</v>
      </c>
    </row>
    <row r="2281" customHeight="1" spans="1:31">
      <c r="A2281" s="2" t="s">
        <v>2068</v>
      </c>
      <c r="B2281" s="2">
        <v>160</v>
      </c>
      <c r="C2281" s="2">
        <v>273420</v>
      </c>
      <c r="D2281" s="2" t="s">
        <v>4733</v>
      </c>
      <c r="E2281" s="2" t="s">
        <v>40</v>
      </c>
      <c r="F2281" t="s">
        <v>40</v>
      </c>
      <c r="G2281" t="s">
        <v>17</v>
      </c>
      <c r="N2281" s="2" t="s">
        <v>18</v>
      </c>
      <c r="O2281" s="2" t="s">
        <v>707</v>
      </c>
      <c r="P2281" s="2">
        <v>17000000</v>
      </c>
      <c r="Q2281" s="2">
        <v>5.5</v>
      </c>
      <c r="R2281" s="2" t="s">
        <v>4734</v>
      </c>
      <c r="S2281" s="2"/>
      <c r="AC2281" s="2"/>
      <c r="AD2281" t="str">
        <f>IFERROR(__xludf.DUMMYFUNCTION("""COMPUTED_VALUE"""),"Kansas City ")</f>
        <v>Kansas City </v>
      </c>
      <c r="AE2281">
        <f t="shared" si="64"/>
        <v>1292411</v>
      </c>
    </row>
    <row r="2282" customHeight="1" spans="1:31">
      <c r="A2282" s="2" t="s">
        <v>2479</v>
      </c>
      <c r="B2282" s="2">
        <v>83</v>
      </c>
      <c r="C2282" s="2">
        <v>4930798</v>
      </c>
      <c r="D2282" s="2" t="s">
        <v>2781</v>
      </c>
      <c r="E2282" s="2" t="s">
        <v>72</v>
      </c>
      <c r="F2282" t="s">
        <v>56</v>
      </c>
      <c r="G2282" t="s">
        <v>65</v>
      </c>
      <c r="N2282" s="2" t="s">
        <v>18</v>
      </c>
      <c r="O2282" s="2" t="s">
        <v>19</v>
      </c>
      <c r="P2282" s="2">
        <v>17000000</v>
      </c>
      <c r="Q2282" s="2">
        <v>4.1</v>
      </c>
      <c r="R2282" s="2" t="s">
        <v>4735</v>
      </c>
      <c r="S2282" s="2"/>
      <c r="AC2282" s="2"/>
      <c r="AD2282" t="str">
        <f>IFERROR(__xludf.DUMMYFUNCTION("""COMPUTED_VALUE"""),"The Amityville Horror ")</f>
        <v>The Amityville Horror </v>
      </c>
      <c r="AE2282">
        <f t="shared" si="64"/>
        <v>64255153</v>
      </c>
    </row>
    <row r="2283" customHeight="1" spans="1:31">
      <c r="A2283" s="2" t="s">
        <v>2482</v>
      </c>
      <c r="B2283" s="2">
        <v>102</v>
      </c>
      <c r="C2283" s="2">
        <v>59847242</v>
      </c>
      <c r="D2283" s="2" t="s">
        <v>3937</v>
      </c>
      <c r="E2283" s="2" t="s">
        <v>40</v>
      </c>
      <c r="F2283" t="s">
        <v>17</v>
      </c>
      <c r="G2283" t="s">
        <v>55</v>
      </c>
      <c r="N2283" s="2" t="s">
        <v>18</v>
      </c>
      <c r="O2283" s="2" t="s">
        <v>19</v>
      </c>
      <c r="P2283" s="2">
        <v>16500000</v>
      </c>
      <c r="Q2283" s="2">
        <v>6.8</v>
      </c>
      <c r="R2283" s="2" t="s">
        <v>4736</v>
      </c>
      <c r="S2283" s="2"/>
      <c r="AC2283" s="2"/>
      <c r="AD2283" t="str">
        <f>IFERROR(__xludf.DUMMYFUNCTION("""COMPUTED_VALUE"""),"Adaptation. ")</f>
        <v>Adaptation. </v>
      </c>
      <c r="AE2283">
        <f t="shared" si="64"/>
        <v>22245780</v>
      </c>
    </row>
    <row r="2284" customHeight="1" spans="1:31">
      <c r="A2284" s="2" t="s">
        <v>2485</v>
      </c>
      <c r="B2284" s="2">
        <v>122</v>
      </c>
      <c r="C2284" s="2">
        <v>220914</v>
      </c>
      <c r="D2284" s="2" t="s">
        <v>2624</v>
      </c>
      <c r="E2284" s="2" t="s">
        <v>59</v>
      </c>
      <c r="F2284" t="s">
        <v>83</v>
      </c>
      <c r="G2284" t="s">
        <v>40</v>
      </c>
      <c r="N2284" s="2" t="s">
        <v>18</v>
      </c>
      <c r="O2284" s="2" t="s">
        <v>19</v>
      </c>
      <c r="P2284" s="2">
        <v>16800000</v>
      </c>
      <c r="Q2284" s="2">
        <v>6.5</v>
      </c>
      <c r="R2284" s="2" t="s">
        <v>4737</v>
      </c>
      <c r="S2284" s="2"/>
      <c r="AC2284" s="2"/>
      <c r="AD2284" t="str">
        <f>IFERROR(__xludf.DUMMYFUNCTION("""COMPUTED_VALUE"""),"Land of the Dead ")</f>
        <v>Land of the Dead </v>
      </c>
      <c r="AE2284">
        <f t="shared" si="64"/>
        <v>20433843</v>
      </c>
    </row>
    <row r="2285" customHeight="1" spans="1:31">
      <c r="A2285" s="2" t="s">
        <v>291</v>
      </c>
      <c r="B2285" s="2">
        <v>126</v>
      </c>
      <c r="C2285" s="2">
        <v>43848100</v>
      </c>
      <c r="D2285" s="2" t="s">
        <v>718</v>
      </c>
      <c r="E2285" s="2" t="s">
        <v>56</v>
      </c>
      <c r="F2285" t="s">
        <v>17</v>
      </c>
      <c r="G2285" t="s">
        <v>30</v>
      </c>
      <c r="N2285" s="2" t="s">
        <v>18</v>
      </c>
      <c r="O2285" s="2" t="s">
        <v>19</v>
      </c>
      <c r="P2285" s="2">
        <v>15000000</v>
      </c>
      <c r="Q2285" s="2">
        <v>7.4</v>
      </c>
      <c r="R2285" s="2" t="s">
        <v>4738</v>
      </c>
      <c r="S2285" s="2"/>
      <c r="AC2285" s="2"/>
      <c r="AD2285" t="str">
        <f>IFERROR(__xludf.DUMMYFUNCTION("""COMPUTED_VALUE"""),"Fear and Loathing in Las Vegas ")</f>
        <v>Fear and Loathing in Las Vegas </v>
      </c>
      <c r="AE2285">
        <f t="shared" si="64"/>
        <v>10562269</v>
      </c>
    </row>
    <row r="2286" customHeight="1" spans="1:31">
      <c r="A2286" s="2" t="s">
        <v>401</v>
      </c>
      <c r="B2286" s="2">
        <v>136</v>
      </c>
      <c r="C2286" s="2">
        <v>42700000</v>
      </c>
      <c r="D2286" s="2" t="s">
        <v>103</v>
      </c>
      <c r="E2286" s="2" t="s">
        <v>30</v>
      </c>
      <c r="F2286" t="s">
        <v>17</v>
      </c>
      <c r="G2286" t="s">
        <v>4739</v>
      </c>
      <c r="N2286" s="2" t="s">
        <v>18</v>
      </c>
      <c r="O2286" s="2" t="s">
        <v>19</v>
      </c>
      <c r="P2286" s="2">
        <v>16500000</v>
      </c>
      <c r="Q2286" s="2">
        <v>7.7</v>
      </c>
      <c r="R2286" s="2" t="s">
        <v>4740</v>
      </c>
      <c r="S2286" s="2"/>
      <c r="AC2286" s="2"/>
      <c r="AD2286" t="str">
        <f>IFERROR(__xludf.DUMMYFUNCTION("""COMPUTED_VALUE"""),"The Invention of Lying ")</f>
        <v>The Invention of Lying </v>
      </c>
      <c r="AE2286">
        <f t="shared" si="64"/>
        <v>18438982</v>
      </c>
    </row>
    <row r="2287" customHeight="1" spans="1:31">
      <c r="A2287" s="2" t="s">
        <v>2487</v>
      </c>
      <c r="B2287" s="2">
        <v>120</v>
      </c>
      <c r="C2287" s="2">
        <v>18663911</v>
      </c>
      <c r="D2287" s="2" t="s">
        <v>2624</v>
      </c>
      <c r="E2287" s="2" t="s">
        <v>59</v>
      </c>
      <c r="F2287" t="s">
        <v>28</v>
      </c>
      <c r="G2287" t="s">
        <v>16</v>
      </c>
      <c r="N2287" s="2" t="s">
        <v>18</v>
      </c>
      <c r="O2287" s="2" t="s">
        <v>31</v>
      </c>
      <c r="P2287" s="2">
        <v>16500000</v>
      </c>
      <c r="Q2287" s="2">
        <v>7.1</v>
      </c>
      <c r="R2287" s="2" t="s">
        <v>4741</v>
      </c>
      <c r="S2287" s="2"/>
      <c r="AC2287" s="2"/>
      <c r="AD2287" t="str">
        <f>IFERROR(__xludf.DUMMYFUNCTION("""COMPUTED_VALUE"""),"Neighbors ")</f>
        <v>Neighbors </v>
      </c>
      <c r="AE2287">
        <f t="shared" si="64"/>
        <v>150056408</v>
      </c>
    </row>
    <row r="2288" customHeight="1" spans="1:31">
      <c r="A2288" s="2" t="s">
        <v>2489</v>
      </c>
      <c r="B2288" s="2">
        <v>108</v>
      </c>
      <c r="C2288" s="2">
        <v>11702090</v>
      </c>
      <c r="D2288" s="2" t="s">
        <v>607</v>
      </c>
      <c r="E2288" s="2" t="s">
        <v>40</v>
      </c>
      <c r="F2288" t="s">
        <v>56</v>
      </c>
      <c r="G2288" t="s">
        <v>24</v>
      </c>
      <c r="N2288" s="2" t="s">
        <v>18</v>
      </c>
      <c r="O2288" s="2" t="s">
        <v>19</v>
      </c>
      <c r="P2288" s="2">
        <v>16500000</v>
      </c>
      <c r="Q2288" s="2">
        <v>6.3</v>
      </c>
      <c r="R2288" s="2" t="s">
        <v>4742</v>
      </c>
      <c r="S2288" s="2"/>
      <c r="AC2288" s="2"/>
      <c r="AD2288" t="str">
        <f>IFERROR(__xludf.DUMMYFUNCTION("""COMPUTED_VALUE"""),"The Mask ")</f>
        <v>The Mask </v>
      </c>
      <c r="AE2288">
        <f t="shared" si="64"/>
        <v>119938616</v>
      </c>
    </row>
    <row r="2289" customHeight="1" spans="1:31">
      <c r="A2289" s="2" t="s">
        <v>2491</v>
      </c>
      <c r="B2289" s="2">
        <v>126</v>
      </c>
      <c r="C2289" s="2">
        <v>13005485</v>
      </c>
      <c r="D2289" s="2" t="s">
        <v>30</v>
      </c>
      <c r="E2289" s="2" t="s">
        <v>30</v>
      </c>
      <c r="F2289" t="s">
        <v>29</v>
      </c>
      <c r="G2289" t="s">
        <v>65</v>
      </c>
      <c r="N2289" s="2" t="s">
        <v>18</v>
      </c>
      <c r="O2289" s="2" t="s">
        <v>19</v>
      </c>
      <c r="P2289" s="2">
        <v>15000000</v>
      </c>
      <c r="Q2289" s="2">
        <v>7.6</v>
      </c>
      <c r="R2289" s="2" t="s">
        <v>4743</v>
      </c>
      <c r="S2289" s="2"/>
      <c r="AC2289" s="2"/>
      <c r="AD2289" t="str">
        <f>IFERROR(__xludf.DUMMYFUNCTION("""COMPUTED_VALUE"""),"Big ")</f>
        <v>Big </v>
      </c>
      <c r="AE2289">
        <f t="shared" si="64"/>
        <v>114968644</v>
      </c>
    </row>
    <row r="2290" customHeight="1" spans="1:31">
      <c r="A2290" s="2" t="s">
        <v>413</v>
      </c>
      <c r="B2290" s="2">
        <v>128</v>
      </c>
      <c r="C2290" s="2">
        <v>95860116</v>
      </c>
      <c r="D2290" s="2" t="s">
        <v>975</v>
      </c>
      <c r="E2290" s="2" t="s">
        <v>40</v>
      </c>
      <c r="F2290" t="s">
        <v>56</v>
      </c>
      <c r="G2290" t="s">
        <v>24</v>
      </c>
      <c r="N2290" s="2" t="s">
        <v>18</v>
      </c>
      <c r="O2290" s="2" t="s">
        <v>19</v>
      </c>
      <c r="P2290" s="2">
        <v>16400000</v>
      </c>
      <c r="Q2290" s="2">
        <v>8</v>
      </c>
      <c r="R2290" s="2" t="s">
        <v>4744</v>
      </c>
      <c r="S2290" s="2"/>
      <c r="AC2290" s="2"/>
      <c r="AD2290" t="str">
        <f>IFERROR(__xludf.DUMMYFUNCTION("""COMPUTED_VALUE"""),"Borat: Cultural Learnings of America for Make Benefit Glorious Nation of Kazakhstan ")</f>
        <v>Borat: Cultural Learnings of America for Make Benefit Glorious Nation of Kazakhstan </v>
      </c>
      <c r="AE2290">
        <f t="shared" si="64"/>
        <v>128505876</v>
      </c>
    </row>
    <row r="2291" customHeight="1" spans="1:31">
      <c r="A2291" s="2" t="s">
        <v>2493</v>
      </c>
      <c r="B2291" s="2">
        <v>113</v>
      </c>
      <c r="C2291" s="2">
        <v>127175354</v>
      </c>
      <c r="D2291" s="2" t="s">
        <v>40</v>
      </c>
      <c r="E2291" s="2" t="s">
        <v>40</v>
      </c>
      <c r="F2291" t="s">
        <v>14</v>
      </c>
      <c r="G2291" t="s">
        <v>17</v>
      </c>
      <c r="N2291" s="2" t="s">
        <v>18</v>
      </c>
      <c r="O2291" s="2" t="s">
        <v>19</v>
      </c>
      <c r="P2291" s="2">
        <v>16000000</v>
      </c>
      <c r="Q2291" s="2">
        <v>7.3</v>
      </c>
      <c r="R2291" s="2" t="s">
        <v>4745</v>
      </c>
      <c r="S2291" s="2"/>
      <c r="AC2291" s="2"/>
      <c r="AD2291" t="str">
        <f>IFERROR(__xludf.DUMMYFUNCTION("""COMPUTED_VALUE"""),"Legally Blonde ")</f>
        <v>Legally Blonde </v>
      </c>
      <c r="AE2291">
        <f t="shared" si="64"/>
        <v>95001255</v>
      </c>
    </row>
    <row r="2292" customHeight="1" spans="1:31">
      <c r="A2292" s="2" t="s">
        <v>1030</v>
      </c>
      <c r="B2292" s="2">
        <v>89</v>
      </c>
      <c r="C2292" s="2">
        <v>92823600</v>
      </c>
      <c r="D2292" s="2" t="s">
        <v>521</v>
      </c>
      <c r="E2292" s="2" t="s">
        <v>40</v>
      </c>
      <c r="F2292" t="s">
        <v>28</v>
      </c>
      <c r="G2292" t="s">
        <v>17</v>
      </c>
      <c r="N2292" s="2" t="s">
        <v>18</v>
      </c>
      <c r="O2292" s="2" t="s">
        <v>19</v>
      </c>
      <c r="P2292" s="2">
        <v>16000000</v>
      </c>
      <c r="Q2292" s="2">
        <v>7.6</v>
      </c>
      <c r="R2292" s="2" t="s">
        <v>4746</v>
      </c>
      <c r="S2292" s="2"/>
      <c r="AC2292" s="2"/>
      <c r="AD2292" t="str">
        <f>IFERROR(__xludf.DUMMYFUNCTION("""COMPUTED_VALUE"""),"Star Trek III: The Search for Spock ")</f>
        <v>Star Trek III: The Search for Spock </v>
      </c>
      <c r="AE2292">
        <f t="shared" si="64"/>
        <v>76399895</v>
      </c>
    </row>
    <row r="2293" customHeight="1" spans="1:31">
      <c r="A2293" s="2" t="s">
        <v>2122</v>
      </c>
      <c r="B2293" s="2">
        <v>129</v>
      </c>
      <c r="C2293" s="2">
        <v>54000000</v>
      </c>
      <c r="D2293" s="2" t="s">
        <v>30</v>
      </c>
      <c r="E2293" s="2" t="s">
        <v>30</v>
      </c>
      <c r="F2293" t="s">
        <v>30</v>
      </c>
      <c r="G2293" t="s">
        <v>17</v>
      </c>
      <c r="N2293" s="2" t="s">
        <v>18</v>
      </c>
      <c r="O2293" s="2" t="s">
        <v>19</v>
      </c>
      <c r="P2293" s="2">
        <v>16000000</v>
      </c>
      <c r="Q2293" s="2">
        <v>7.8</v>
      </c>
      <c r="R2293" s="2" t="s">
        <v>4747</v>
      </c>
      <c r="S2293" s="2"/>
      <c r="AC2293" s="2"/>
      <c r="AD2293" t="str">
        <f>IFERROR(__xludf.DUMMYFUNCTION("""COMPUTED_VALUE"""),"The Exorcism of Emily Rose ")</f>
        <v>The Exorcism of Emily Rose </v>
      </c>
      <c r="AE2293">
        <f t="shared" si="64"/>
        <v>75072332</v>
      </c>
    </row>
    <row r="2294" customHeight="1" spans="1:31">
      <c r="A2294" s="2" t="s">
        <v>788</v>
      </c>
      <c r="B2294" s="2">
        <v>94</v>
      </c>
      <c r="C2294" s="2">
        <v>68525609</v>
      </c>
      <c r="D2294" s="2" t="s">
        <v>40</v>
      </c>
      <c r="E2294" s="2" t="s">
        <v>40</v>
      </c>
      <c r="F2294" t="s">
        <v>17</v>
      </c>
      <c r="G2294" t="s">
        <v>17</v>
      </c>
      <c r="N2294" s="2" t="s">
        <v>18</v>
      </c>
      <c r="O2294" s="2" t="s">
        <v>19</v>
      </c>
      <c r="P2294" s="2">
        <v>15600000</v>
      </c>
      <c r="Q2294" s="2">
        <v>6.5</v>
      </c>
      <c r="R2294" s="2" t="s">
        <v>4748</v>
      </c>
      <c r="S2294" s="2"/>
      <c r="AC2294" s="2"/>
      <c r="AD2294" t="str">
        <f>IFERROR(__xludf.DUMMYFUNCTION("""COMPUTED_VALUE"""),"Deuce Bigalow: Male Gigolo ")</f>
        <v>Deuce Bigalow: Male Gigolo </v>
      </c>
      <c r="AE2294">
        <f t="shared" si="64"/>
        <v>65534979</v>
      </c>
    </row>
    <row r="2295" customHeight="1" spans="1:31">
      <c r="A2295" s="2" t="s">
        <v>1070</v>
      </c>
      <c r="B2295" s="2">
        <v>106</v>
      </c>
      <c r="C2295" s="2">
        <v>52885587</v>
      </c>
      <c r="D2295" s="2" t="s">
        <v>1826</v>
      </c>
      <c r="E2295" s="2" t="s">
        <v>40</v>
      </c>
      <c r="F2295" t="s">
        <v>30</v>
      </c>
      <c r="G2295" t="s">
        <v>17</v>
      </c>
      <c r="N2295" s="2" t="s">
        <v>18</v>
      </c>
      <c r="O2295" s="2" t="s">
        <v>19</v>
      </c>
      <c r="P2295" s="2">
        <v>16000000</v>
      </c>
      <c r="Q2295" s="2">
        <v>6.4</v>
      </c>
      <c r="R2295" s="2" t="s">
        <v>4749</v>
      </c>
      <c r="S2295" s="2"/>
      <c r="AC2295" s="2"/>
      <c r="AD2295" t="str">
        <f>IFERROR(__xludf.DUMMYFUNCTION("""COMPUTED_VALUE"""),"Left Behind ")</f>
        <v>Left Behind </v>
      </c>
      <c r="AE2295">
        <f t="shared" ref="AE2295:AE2358" si="65">C2179-B2179</f>
        <v>13998172</v>
      </c>
    </row>
    <row r="2296" customHeight="1" spans="1:31">
      <c r="A2296" s="2" t="s">
        <v>2496</v>
      </c>
      <c r="B2296" s="2">
        <v>100</v>
      </c>
      <c r="C2296" s="2">
        <v>44667095</v>
      </c>
      <c r="D2296" s="2" t="s">
        <v>521</v>
      </c>
      <c r="E2296" s="2" t="s">
        <v>40</v>
      </c>
      <c r="F2296" t="s">
        <v>30</v>
      </c>
      <c r="G2296" t="s">
        <v>30</v>
      </c>
      <c r="N2296" s="2" t="s">
        <v>18</v>
      </c>
      <c r="O2296" s="2" t="s">
        <v>707</v>
      </c>
      <c r="P2296" s="2">
        <v>15000000</v>
      </c>
      <c r="Q2296" s="2">
        <v>8</v>
      </c>
      <c r="R2296" s="2" t="s">
        <v>4750</v>
      </c>
      <c r="S2296" s="2"/>
      <c r="AC2296" s="2"/>
      <c r="AD2296" t="str">
        <f>IFERROR(__xludf.DUMMYFUNCTION("""COMPUTED_VALUE"""),"The Family Stone ")</f>
        <v>The Family Stone </v>
      </c>
      <c r="AE2296">
        <f t="shared" si="65"/>
        <v>6061656</v>
      </c>
    </row>
    <row r="2297" customHeight="1" spans="1:31">
      <c r="A2297" s="2" t="s">
        <v>1010</v>
      </c>
      <c r="B2297" s="2">
        <v>89</v>
      </c>
      <c r="C2297" s="2">
        <v>42638165</v>
      </c>
      <c r="D2297" s="2" t="s">
        <v>791</v>
      </c>
      <c r="E2297" s="2" t="s">
        <v>30</v>
      </c>
      <c r="F2297" t="s">
        <v>56</v>
      </c>
      <c r="G2297" t="s">
        <v>17</v>
      </c>
      <c r="N2297" s="2" t="s">
        <v>18</v>
      </c>
      <c r="O2297" s="2" t="s">
        <v>19</v>
      </c>
      <c r="P2297" s="2">
        <v>16000000</v>
      </c>
      <c r="Q2297" s="2">
        <v>4.8</v>
      </c>
      <c r="R2297" s="2" t="s">
        <v>4751</v>
      </c>
      <c r="S2297" s="2"/>
      <c r="AC2297" s="2"/>
      <c r="AD2297" t="str">
        <f>IFERROR(__xludf.DUMMYFUNCTION("""COMPUTED_VALUE"""),"Barbershop 2: Back in Business ")</f>
        <v>Barbershop 2: Back in Business </v>
      </c>
      <c r="AE2297">
        <f t="shared" si="65"/>
        <v>64955850</v>
      </c>
    </row>
    <row r="2298" customHeight="1" spans="1:31">
      <c r="A2298" s="2" t="s">
        <v>1337</v>
      </c>
      <c r="B2298" s="2">
        <v>94</v>
      </c>
      <c r="C2298" s="2">
        <v>45507053</v>
      </c>
      <c r="D2298" s="2" t="s">
        <v>4544</v>
      </c>
      <c r="E2298" s="2" t="s">
        <v>13</v>
      </c>
      <c r="F2298" t="s">
        <v>30</v>
      </c>
      <c r="G2298" t="s">
        <v>17</v>
      </c>
      <c r="N2298" s="2" t="s">
        <v>18</v>
      </c>
      <c r="O2298" s="2" t="s">
        <v>19</v>
      </c>
      <c r="P2298" s="2">
        <v>16000000</v>
      </c>
      <c r="Q2298" s="2">
        <v>7.8</v>
      </c>
      <c r="R2298" s="2" t="s">
        <v>4752</v>
      </c>
      <c r="S2298" s="2"/>
      <c r="AC2298" s="2"/>
      <c r="AD2298" t="str">
        <f>IFERROR(__xludf.DUMMYFUNCTION("""COMPUTED_VALUE"""),"Bad Santa ")</f>
        <v>Bad Santa </v>
      </c>
      <c r="AE2298">
        <f t="shared" si="65"/>
        <v>60057541</v>
      </c>
    </row>
    <row r="2299" customHeight="1" spans="1:31">
      <c r="A2299" s="2" t="s">
        <v>338</v>
      </c>
      <c r="B2299" s="2">
        <v>83</v>
      </c>
      <c r="C2299" s="2">
        <v>39511038</v>
      </c>
      <c r="D2299" s="2" t="s">
        <v>72</v>
      </c>
      <c r="E2299" s="2" t="s">
        <v>72</v>
      </c>
      <c r="F2299" t="s">
        <v>15</v>
      </c>
      <c r="G2299" t="s">
        <v>30</v>
      </c>
      <c r="N2299" s="2" t="s">
        <v>18</v>
      </c>
      <c r="O2299" s="2" t="s">
        <v>19</v>
      </c>
      <c r="P2299" s="2">
        <v>16000000</v>
      </c>
      <c r="Q2299" s="2">
        <v>5.9</v>
      </c>
      <c r="R2299" s="2" t="s">
        <v>4753</v>
      </c>
      <c r="S2299" s="2"/>
      <c r="AC2299" s="2"/>
      <c r="AD2299" t="str">
        <f>IFERROR(__xludf.DUMMYFUNCTION("""COMPUTED_VALUE"""),"Austin Powers: International Man of Mystery ")</f>
        <v>Austin Powers: International Man of Mystery </v>
      </c>
      <c r="AE2299">
        <f t="shared" si="65"/>
        <v>53867962</v>
      </c>
    </row>
    <row r="2300" customHeight="1" spans="1:31">
      <c r="A2300" s="2" t="s">
        <v>2499</v>
      </c>
      <c r="B2300" s="2">
        <v>111</v>
      </c>
      <c r="C2300" s="2">
        <v>6462576</v>
      </c>
      <c r="D2300" s="2" t="s">
        <v>30</v>
      </c>
      <c r="E2300" s="2" t="s">
        <v>30</v>
      </c>
      <c r="F2300" t="s">
        <v>56</v>
      </c>
      <c r="G2300" t="s">
        <v>28</v>
      </c>
      <c r="N2300" s="2" t="s">
        <v>18</v>
      </c>
      <c r="O2300" s="2" t="s">
        <v>19</v>
      </c>
      <c r="P2300" s="2">
        <v>18500000</v>
      </c>
      <c r="Q2300" s="2">
        <v>5.4</v>
      </c>
      <c r="R2300" s="2" t="s">
        <v>4754</v>
      </c>
      <c r="S2300" s="2"/>
      <c r="AC2300" s="2"/>
      <c r="AD2300" t="str">
        <f>IFERROR(__xludf.DUMMYFUNCTION("""COMPUTED_VALUE"""),"My Big Fat Greek Wedding 2 ")</f>
        <v>My Big Fat Greek Wedding 2 </v>
      </c>
      <c r="AE2300">
        <f t="shared" si="65"/>
        <v>59572991</v>
      </c>
    </row>
    <row r="2301" customHeight="1" spans="1:31">
      <c r="A2301" s="2" t="s">
        <v>2501</v>
      </c>
      <c r="B2301" s="2">
        <v>80</v>
      </c>
      <c r="C2301" s="2">
        <v>40363530</v>
      </c>
      <c r="D2301" s="2" t="s">
        <v>1201</v>
      </c>
      <c r="E2301" s="2" t="s">
        <v>40</v>
      </c>
      <c r="F2301" t="s">
        <v>30</v>
      </c>
      <c r="G2301" t="s">
        <v>24</v>
      </c>
      <c r="N2301" s="2" t="s">
        <v>18</v>
      </c>
      <c r="O2301" s="2" t="s">
        <v>19</v>
      </c>
      <c r="P2301" s="2">
        <v>16000000</v>
      </c>
      <c r="Q2301" s="2">
        <v>3.3</v>
      </c>
      <c r="R2301" s="2" t="s">
        <v>4755</v>
      </c>
      <c r="S2301" s="2"/>
      <c r="AC2301" s="2"/>
      <c r="AD2301" t="str">
        <f>IFERROR(__xludf.DUMMYFUNCTION("""COMPUTED_VALUE"""),"Diary of a Wimpy Kid: Rodrick Rules ")</f>
        <v>Diary of a Wimpy Kid: Rodrick Rules </v>
      </c>
      <c r="AE2301">
        <f t="shared" si="65"/>
        <v>52690910</v>
      </c>
    </row>
    <row r="2302" customHeight="1" spans="1:31">
      <c r="A2302" s="2" t="s">
        <v>163</v>
      </c>
      <c r="B2302" s="2">
        <v>112</v>
      </c>
      <c r="C2302" s="2">
        <v>37623143</v>
      </c>
      <c r="D2302" s="2" t="s">
        <v>4756</v>
      </c>
      <c r="E2302" s="2" t="s">
        <v>30</v>
      </c>
      <c r="F2302" t="s">
        <v>30</v>
      </c>
      <c r="G2302" t="s">
        <v>24</v>
      </c>
      <c r="N2302" s="2" t="s">
        <v>1081</v>
      </c>
      <c r="O2302" s="2" t="s">
        <v>1431</v>
      </c>
      <c r="P2302" s="2">
        <v>13500000</v>
      </c>
      <c r="Q2302" s="2">
        <v>8.2</v>
      </c>
      <c r="R2302" s="2" t="s">
        <v>4757</v>
      </c>
      <c r="S2302" s="2"/>
      <c r="AC2302" s="2"/>
      <c r="AD2302" t="str">
        <f>IFERROR(__xludf.DUMMYFUNCTION("""COMPUTED_VALUE"""),"Predator ")</f>
        <v>Predator </v>
      </c>
      <c r="AE2302">
        <f t="shared" si="65"/>
        <v>59735441</v>
      </c>
    </row>
    <row r="2303" customHeight="1" spans="1:31">
      <c r="A2303" s="2" t="s">
        <v>1507</v>
      </c>
      <c r="B2303" s="2">
        <v>94</v>
      </c>
      <c r="C2303" s="2">
        <v>33357476</v>
      </c>
      <c r="D2303" s="2" t="s">
        <v>4758</v>
      </c>
      <c r="E2303" s="2" t="s">
        <v>12</v>
      </c>
      <c r="F2303" t="s">
        <v>56</v>
      </c>
      <c r="G2303" t="s">
        <v>23</v>
      </c>
      <c r="N2303" s="2" t="s">
        <v>18</v>
      </c>
      <c r="O2303" s="2" t="s">
        <v>19</v>
      </c>
      <c r="P2303" s="2">
        <v>35000000</v>
      </c>
      <c r="Q2303" s="2">
        <v>5.4</v>
      </c>
      <c r="R2303" s="2" t="s">
        <v>4759</v>
      </c>
      <c r="S2303" s="2"/>
      <c r="AC2303" s="2"/>
      <c r="AD2303" t="str">
        <f>IFERROR(__xludf.DUMMYFUNCTION("""COMPUTED_VALUE"""),"Amadeus ")</f>
        <v>Amadeus </v>
      </c>
      <c r="AE2303">
        <f t="shared" si="65"/>
        <v>51599820</v>
      </c>
    </row>
    <row r="2304" customHeight="1" spans="1:31">
      <c r="A2304" s="2" t="s">
        <v>859</v>
      </c>
      <c r="B2304" s="2">
        <v>130</v>
      </c>
      <c r="C2304" s="2">
        <v>28734552</v>
      </c>
      <c r="D2304" s="2" t="s">
        <v>2171</v>
      </c>
      <c r="E2304" s="2" t="s">
        <v>56</v>
      </c>
      <c r="F2304" t="s">
        <v>72</v>
      </c>
      <c r="G2304" t="s">
        <v>72</v>
      </c>
      <c r="N2304" s="2" t="s">
        <v>18</v>
      </c>
      <c r="O2304" s="2" t="s">
        <v>19</v>
      </c>
      <c r="P2304" s="2">
        <v>16000000</v>
      </c>
      <c r="Q2304" s="2">
        <v>6.4</v>
      </c>
      <c r="R2304" s="2" t="s">
        <v>4760</v>
      </c>
      <c r="S2304" s="2"/>
      <c r="AC2304" s="2"/>
      <c r="AD2304" t="str">
        <f>IFERROR(__xludf.DUMMYFUNCTION("""COMPUTED_VALUE"""),"Prom Night ")</f>
        <v>Prom Night </v>
      </c>
      <c r="AE2304">
        <f t="shared" si="65"/>
        <v>43818070</v>
      </c>
    </row>
    <row r="2305" customHeight="1" spans="1:31">
      <c r="A2305" s="2" t="s">
        <v>2503</v>
      </c>
      <c r="B2305" s="2">
        <v>91</v>
      </c>
      <c r="C2305" s="2">
        <v>37300107</v>
      </c>
      <c r="D2305" s="2" t="s">
        <v>1788</v>
      </c>
      <c r="E2305" s="2" t="s">
        <v>30</v>
      </c>
      <c r="F2305" t="s">
        <v>30</v>
      </c>
      <c r="G2305" t="s">
        <v>14</v>
      </c>
      <c r="N2305" s="2" t="s">
        <v>18</v>
      </c>
      <c r="O2305" s="2" t="s">
        <v>19</v>
      </c>
      <c r="P2305" s="2">
        <v>16000000</v>
      </c>
      <c r="Q2305" s="2">
        <v>4.8</v>
      </c>
      <c r="R2305" s="2" t="s">
        <v>4761</v>
      </c>
      <c r="S2305" s="2"/>
      <c r="AC2305" s="2"/>
      <c r="AD2305" t="str">
        <f>IFERROR(__xludf.DUMMYFUNCTION("""COMPUTED_VALUE"""),"Mean Girls ")</f>
        <v>Mean Girls </v>
      </c>
      <c r="AE2305">
        <f t="shared" si="65"/>
        <v>86049321</v>
      </c>
    </row>
    <row r="2306" customHeight="1" spans="1:31">
      <c r="A2306" s="2" t="s">
        <v>1565</v>
      </c>
      <c r="B2306" s="2">
        <v>91</v>
      </c>
      <c r="C2306" s="2">
        <v>27087695</v>
      </c>
      <c r="D2306" s="2" t="s">
        <v>2214</v>
      </c>
      <c r="E2306" s="2" t="s">
        <v>13</v>
      </c>
      <c r="F2306" t="s">
        <v>40</v>
      </c>
      <c r="G2306" t="s">
        <v>72</v>
      </c>
      <c r="N2306" s="2" t="s">
        <v>18</v>
      </c>
      <c r="O2306" s="2" t="s">
        <v>19</v>
      </c>
      <c r="P2306" s="2">
        <v>17700000</v>
      </c>
      <c r="Q2306" s="2">
        <v>5.9</v>
      </c>
      <c r="R2306" s="2" t="s">
        <v>4762</v>
      </c>
      <c r="S2306" s="2"/>
      <c r="AC2306" s="2"/>
      <c r="AD2306" t="str">
        <f>IFERROR(__xludf.DUMMYFUNCTION("""COMPUTED_VALUE"""),"Under the Tuscan Sun ")</f>
        <v>Under the Tuscan Sun </v>
      </c>
      <c r="AE2306">
        <f t="shared" si="65"/>
        <v>43601395</v>
      </c>
    </row>
    <row r="2307" customHeight="1" spans="1:31">
      <c r="A2307" s="2" t="s">
        <v>2505</v>
      </c>
      <c r="B2307" s="2">
        <v>110</v>
      </c>
      <c r="C2307" s="2">
        <v>30102717</v>
      </c>
      <c r="D2307" s="2" t="s">
        <v>1854</v>
      </c>
      <c r="E2307" s="2" t="s">
        <v>12</v>
      </c>
      <c r="F2307" t="s">
        <v>30</v>
      </c>
      <c r="G2307" t="s">
        <v>17</v>
      </c>
      <c r="N2307" s="2" t="s">
        <v>18</v>
      </c>
      <c r="O2307" s="2" t="s">
        <v>19</v>
      </c>
      <c r="P2307" s="2">
        <v>15000000</v>
      </c>
      <c r="Q2307" s="2">
        <v>5.5</v>
      </c>
      <c r="R2307" s="2" t="s">
        <v>4763</v>
      </c>
      <c r="S2307" s="2"/>
      <c r="AC2307" s="2"/>
      <c r="AD2307" t="str">
        <f>IFERROR(__xludf.DUMMYFUNCTION("""COMPUTED_VALUE"""),"Gosford Park ")</f>
        <v>Gosford Park </v>
      </c>
      <c r="AE2307">
        <f t="shared" si="65"/>
        <v>41299974</v>
      </c>
    </row>
    <row r="2308" customHeight="1" spans="1:31">
      <c r="A2308" s="2" t="s">
        <v>777</v>
      </c>
      <c r="B2308" s="2">
        <v>121</v>
      </c>
      <c r="C2308" s="2">
        <v>23618786</v>
      </c>
      <c r="D2308" s="2" t="s">
        <v>4764</v>
      </c>
      <c r="E2308" s="2" t="s">
        <v>12</v>
      </c>
      <c r="F2308" t="s">
        <v>14</v>
      </c>
      <c r="G2308" t="s">
        <v>24</v>
      </c>
      <c r="N2308" s="2" t="s">
        <v>18</v>
      </c>
      <c r="O2308" s="2" t="s">
        <v>31</v>
      </c>
      <c r="P2308" s="2">
        <v>8000000</v>
      </c>
      <c r="Q2308" s="2">
        <v>7.9</v>
      </c>
      <c r="R2308" s="2" t="s">
        <v>4765</v>
      </c>
      <c r="S2308" s="2"/>
      <c r="AC2308" s="2"/>
      <c r="AD2308" t="str">
        <f>IFERROR(__xludf.DUMMYFUNCTION("""COMPUTED_VALUE"""),"Peggy Sue Got Married ")</f>
        <v>Peggy Sue Got Married </v>
      </c>
      <c r="AE2308">
        <f t="shared" si="65"/>
        <v>41382738</v>
      </c>
    </row>
    <row r="2309" customHeight="1" spans="1:31">
      <c r="A2309" s="2" t="s">
        <v>2507</v>
      </c>
      <c r="B2309" s="2">
        <v>114</v>
      </c>
      <c r="C2309" s="2">
        <v>26896744</v>
      </c>
      <c r="D2309" s="2" t="s">
        <v>975</v>
      </c>
      <c r="E2309" s="2" t="s">
        <v>40</v>
      </c>
      <c r="F2309" t="s">
        <v>30</v>
      </c>
      <c r="G2309" t="s">
        <v>24</v>
      </c>
      <c r="N2309" s="2" t="s">
        <v>18</v>
      </c>
      <c r="O2309" s="2" t="s">
        <v>19</v>
      </c>
      <c r="P2309" s="2">
        <v>16500000</v>
      </c>
      <c r="Q2309" s="2">
        <v>4.9</v>
      </c>
      <c r="R2309" s="2" t="s">
        <v>4766</v>
      </c>
      <c r="S2309" s="2"/>
      <c r="AC2309" s="2"/>
      <c r="AD2309" t="str">
        <f>IFERROR(__xludf.DUMMYFUNCTION("""COMPUTED_VALUE"""),"Birdman or (The Unexpected Virtue of Ignorance) ")</f>
        <v>Birdman or (The Unexpected Virtue of Ignorance) </v>
      </c>
      <c r="AE2309">
        <f t="shared" si="65"/>
        <v>42335579</v>
      </c>
    </row>
    <row r="2310" customHeight="1" spans="1:31">
      <c r="A2310" s="2" t="s">
        <v>1814</v>
      </c>
      <c r="B2310" s="2">
        <v>96</v>
      </c>
      <c r="C2310" s="2">
        <v>23213577</v>
      </c>
      <c r="D2310" s="2" t="s">
        <v>103</v>
      </c>
      <c r="E2310" s="2" t="s">
        <v>30</v>
      </c>
      <c r="F2310" t="s">
        <v>17</v>
      </c>
      <c r="G2310" t="s">
        <v>28</v>
      </c>
      <c r="N2310" s="2" t="s">
        <v>18</v>
      </c>
      <c r="O2310" s="2" t="s">
        <v>1431</v>
      </c>
      <c r="P2310" s="2">
        <v>15500000</v>
      </c>
      <c r="Q2310" s="2">
        <v>7.2</v>
      </c>
      <c r="R2310" s="2" t="s">
        <v>4767</v>
      </c>
      <c r="S2310" s="2"/>
      <c r="AC2310" s="2"/>
      <c r="AD2310" t="str">
        <f>IFERROR(__xludf.DUMMYFUNCTION("""COMPUTED_VALUE"""),"Blue Jasmine ")</f>
        <v>Blue Jasmine </v>
      </c>
      <c r="AE2310">
        <f t="shared" si="65"/>
        <v>33404773</v>
      </c>
    </row>
    <row r="2311" customHeight="1" spans="1:31">
      <c r="A2311" s="2" t="s">
        <v>2509</v>
      </c>
      <c r="B2311" s="2">
        <v>94</v>
      </c>
      <c r="C2311" s="2">
        <v>20627372</v>
      </c>
      <c r="D2311" s="2" t="s">
        <v>521</v>
      </c>
      <c r="E2311" s="2" t="s">
        <v>40</v>
      </c>
      <c r="F2311" t="s">
        <v>29</v>
      </c>
      <c r="G2311" t="s">
        <v>17</v>
      </c>
      <c r="N2311" s="2" t="s">
        <v>18</v>
      </c>
      <c r="O2311" s="2" t="s">
        <v>19</v>
      </c>
      <c r="P2311" s="2">
        <v>16000000</v>
      </c>
      <c r="Q2311" s="2">
        <v>5.3</v>
      </c>
      <c r="R2311" s="2" t="s">
        <v>4768</v>
      </c>
      <c r="S2311" s="2"/>
      <c r="AC2311" s="2"/>
      <c r="AD2311" t="str">
        <f>IFERROR(__xludf.DUMMYFUNCTION("""COMPUTED_VALUE"""),"United 93 ")</f>
        <v>United 93 </v>
      </c>
      <c r="AE2311">
        <f t="shared" si="65"/>
        <v>31471319</v>
      </c>
    </row>
    <row r="2312" customHeight="1" spans="1:31">
      <c r="A2312" s="2" t="s">
        <v>2511</v>
      </c>
      <c r="B2312" s="2">
        <v>109</v>
      </c>
      <c r="C2312" s="2">
        <v>16346122</v>
      </c>
      <c r="D2312" s="2" t="s">
        <v>30</v>
      </c>
      <c r="E2312" s="2" t="s">
        <v>30</v>
      </c>
      <c r="F2312" t="s">
        <v>71</v>
      </c>
      <c r="G2312" t="s">
        <v>24</v>
      </c>
      <c r="N2312" s="2" t="s">
        <v>18</v>
      </c>
      <c r="O2312" s="2" t="s">
        <v>19</v>
      </c>
      <c r="P2312" s="2">
        <v>16000000</v>
      </c>
      <c r="Q2312" s="2">
        <v>7.2</v>
      </c>
      <c r="R2312" s="2" t="s">
        <v>4769</v>
      </c>
      <c r="S2312" s="2"/>
      <c r="AC2312" s="2"/>
      <c r="AD2312" t="str">
        <f>IFERROR(__xludf.DUMMYFUNCTION("""COMPUTED_VALUE"""),"Honey ")</f>
        <v>Honey </v>
      </c>
      <c r="AE2312">
        <f t="shared" si="65"/>
        <v>30222546</v>
      </c>
    </row>
    <row r="2313" customHeight="1" spans="1:31">
      <c r="A2313" s="2" t="s">
        <v>1205</v>
      </c>
      <c r="B2313" s="2">
        <v>107</v>
      </c>
      <c r="C2313" s="2">
        <v>16204793</v>
      </c>
      <c r="D2313" s="2" t="s">
        <v>340</v>
      </c>
      <c r="E2313" s="2" t="s">
        <v>40</v>
      </c>
      <c r="F2313" t="s">
        <v>17</v>
      </c>
      <c r="G2313" t="s">
        <v>39</v>
      </c>
      <c r="N2313" s="2" t="s">
        <v>18</v>
      </c>
      <c r="O2313" s="2" t="s">
        <v>19</v>
      </c>
      <c r="P2313" s="2">
        <v>16000000</v>
      </c>
      <c r="Q2313" s="2">
        <v>5.1</v>
      </c>
      <c r="R2313" s="2" t="s">
        <v>4770</v>
      </c>
      <c r="S2313" s="2"/>
      <c r="AC2313" s="2"/>
      <c r="AD2313" t="str">
        <f>IFERROR(__xludf.DUMMYFUNCTION("""COMPUTED_VALUE"""),"Spy Hard ")</f>
        <v>Spy Hard </v>
      </c>
      <c r="AE2313">
        <f t="shared" si="65"/>
        <v>26905958</v>
      </c>
    </row>
    <row r="2314" customHeight="1" spans="1:31">
      <c r="A2314" s="2" t="s">
        <v>2513</v>
      </c>
      <c r="B2314" s="2">
        <v>96</v>
      </c>
      <c r="C2314" s="2">
        <v>15427192</v>
      </c>
      <c r="D2314" s="2" t="s">
        <v>4771</v>
      </c>
      <c r="E2314" s="2" t="s">
        <v>40</v>
      </c>
      <c r="F2314" t="s">
        <v>17</v>
      </c>
      <c r="G2314" t="s">
        <v>24</v>
      </c>
      <c r="N2314" s="2" t="s">
        <v>18</v>
      </c>
      <c r="O2314" s="2" t="s">
        <v>19</v>
      </c>
      <c r="P2314" s="2">
        <v>16000000</v>
      </c>
      <c r="Q2314" s="2">
        <v>5.6</v>
      </c>
      <c r="R2314" s="2" t="s">
        <v>4772</v>
      </c>
      <c r="S2314" s="2"/>
      <c r="AC2314" s="2"/>
      <c r="AD2314" t="str">
        <f>IFERROR(__xludf.DUMMYFUNCTION("""COMPUTED_VALUE"""),"The Fog ")</f>
        <v>The Fog </v>
      </c>
      <c r="AE2314">
        <f t="shared" si="65"/>
        <v>21377911</v>
      </c>
    </row>
    <row r="2315" customHeight="1" spans="1:31">
      <c r="A2315" s="2" t="s">
        <v>1814</v>
      </c>
      <c r="B2315" s="2">
        <v>88</v>
      </c>
      <c r="C2315" s="2">
        <v>14792779</v>
      </c>
      <c r="D2315" s="2" t="s">
        <v>40</v>
      </c>
      <c r="E2315" s="2" t="s">
        <v>40</v>
      </c>
      <c r="F2315" t="s">
        <v>17</v>
      </c>
      <c r="G2315" t="s">
        <v>72</v>
      </c>
      <c r="N2315" s="2" t="s">
        <v>18</v>
      </c>
      <c r="O2315" s="2" t="s">
        <v>19</v>
      </c>
      <c r="P2315" s="2">
        <v>16000000</v>
      </c>
      <c r="Q2315" s="2">
        <v>7.6</v>
      </c>
      <c r="R2315" s="2" t="s">
        <v>4773</v>
      </c>
      <c r="S2315" s="2"/>
      <c r="AC2315" s="2"/>
      <c r="AD2315" t="str">
        <f>IFERROR(__xludf.DUMMYFUNCTION("""COMPUTED_VALUE"""),"Soul Surfer ")</f>
        <v>Soul Surfer </v>
      </c>
      <c r="AE2315">
        <f t="shared" si="65"/>
        <v>43853318</v>
      </c>
    </row>
    <row r="2316" customHeight="1" spans="1:31">
      <c r="A2316" s="2" t="s">
        <v>2515</v>
      </c>
      <c r="B2316" s="2">
        <v>113</v>
      </c>
      <c r="C2316" s="2">
        <v>19057024</v>
      </c>
      <c r="D2316" s="2" t="s">
        <v>103</v>
      </c>
      <c r="E2316" s="2" t="s">
        <v>30</v>
      </c>
      <c r="F2316" t="s">
        <v>13</v>
      </c>
      <c r="G2316" t="s">
        <v>16</v>
      </c>
      <c r="N2316" s="2" t="s">
        <v>18</v>
      </c>
      <c r="O2316" s="2" t="s">
        <v>19</v>
      </c>
      <c r="P2316" s="2">
        <v>16000000</v>
      </c>
      <c r="Q2316" s="2">
        <v>7.2</v>
      </c>
      <c r="R2316" s="2" t="s">
        <v>4774</v>
      </c>
      <c r="S2316" s="2"/>
      <c r="AC2316" s="2"/>
      <c r="AD2316" t="str">
        <f>IFERROR(__xludf.DUMMYFUNCTION("""COMPUTED_VALUE"""),"Observe and Report ")</f>
        <v>Observe and Report </v>
      </c>
      <c r="AE2316">
        <f t="shared" si="65"/>
        <v>23993519</v>
      </c>
    </row>
    <row r="2317" customHeight="1" spans="1:31">
      <c r="A2317" s="2" t="s">
        <v>2517</v>
      </c>
      <c r="B2317" s="2">
        <v>101</v>
      </c>
      <c r="C2317" s="2">
        <v>14108518</v>
      </c>
      <c r="D2317" s="2" t="s">
        <v>521</v>
      </c>
      <c r="E2317" s="2" t="s">
        <v>40</v>
      </c>
      <c r="F2317" t="s">
        <v>30</v>
      </c>
      <c r="G2317" t="s">
        <v>24</v>
      </c>
      <c r="N2317" s="2" t="s">
        <v>18</v>
      </c>
      <c r="O2317" s="2" t="s">
        <v>19</v>
      </c>
      <c r="P2317" s="2">
        <v>16000000</v>
      </c>
      <c r="Q2317" s="2">
        <v>5.7</v>
      </c>
      <c r="R2317" s="2" t="s">
        <v>4775</v>
      </c>
      <c r="S2317" s="2"/>
      <c r="AC2317" s="2"/>
      <c r="AD2317" t="str">
        <f>IFERROR(__xludf.DUMMYFUNCTION("""COMPUTED_VALUE"""),"Conan the Destroyer ")</f>
        <v>Conan the Destroyer </v>
      </c>
      <c r="AE2317">
        <f t="shared" si="65"/>
        <v>26399897</v>
      </c>
    </row>
    <row r="2318" customHeight="1" spans="1:31">
      <c r="A2318" s="2" t="s">
        <v>2086</v>
      </c>
      <c r="B2318" s="2">
        <v>105</v>
      </c>
      <c r="C2318" s="2">
        <v>13854000</v>
      </c>
      <c r="D2318" s="2" t="s">
        <v>951</v>
      </c>
      <c r="E2318" s="2" t="s">
        <v>40</v>
      </c>
      <c r="F2318" t="s">
        <v>40</v>
      </c>
      <c r="G2318" t="s">
        <v>24</v>
      </c>
      <c r="N2318" s="2" t="s">
        <v>18</v>
      </c>
      <c r="O2318" s="2" t="s">
        <v>19</v>
      </c>
      <c r="P2318" s="2">
        <v>20000000</v>
      </c>
      <c r="Q2318" s="2">
        <v>5.2</v>
      </c>
      <c r="R2318" s="2" t="s">
        <v>4776</v>
      </c>
      <c r="S2318" s="2"/>
      <c r="AC2318" s="2"/>
      <c r="AD2318" t="str">
        <f>IFERROR(__xludf.DUMMYFUNCTION("""COMPUTED_VALUE"""),"Raging Bull ")</f>
        <v>Raging Bull </v>
      </c>
      <c r="AE2318">
        <f t="shared" si="65"/>
        <v>45129</v>
      </c>
    </row>
    <row r="2319" customHeight="1" spans="1:31">
      <c r="A2319" s="2" t="s">
        <v>826</v>
      </c>
      <c r="B2319" s="2">
        <v>125</v>
      </c>
      <c r="C2319" s="2">
        <v>77324422</v>
      </c>
      <c r="D2319" s="2" t="s">
        <v>30</v>
      </c>
      <c r="E2319" s="2" t="s">
        <v>30</v>
      </c>
      <c r="F2319" t="s">
        <v>24</v>
      </c>
      <c r="G2319" t="s">
        <v>24</v>
      </c>
      <c r="N2319" s="2" t="s">
        <v>18</v>
      </c>
      <c r="O2319" s="2" t="s">
        <v>19</v>
      </c>
      <c r="P2319" s="2">
        <v>26000000</v>
      </c>
      <c r="Q2319" s="2">
        <v>7.7</v>
      </c>
      <c r="R2319" s="2" t="s">
        <v>4777</v>
      </c>
      <c r="S2319" s="2"/>
      <c r="AC2319" s="2"/>
      <c r="AD2319" t="str">
        <f>IFERROR(__xludf.DUMMYFUNCTION("""COMPUTED_VALUE"""),"Love Happens ")</f>
        <v>Love Happens </v>
      </c>
      <c r="AE2319">
        <f t="shared" si="65"/>
        <v>22927281</v>
      </c>
    </row>
    <row r="2320" customHeight="1" spans="1:31">
      <c r="A2320" s="2" t="s">
        <v>2519</v>
      </c>
      <c r="B2320" s="2">
        <v>100</v>
      </c>
      <c r="C2320" s="2">
        <v>15500000</v>
      </c>
      <c r="D2320" s="2" t="s">
        <v>2069</v>
      </c>
      <c r="E2320" s="2" t="s">
        <v>28</v>
      </c>
      <c r="F2320" t="s">
        <v>83</v>
      </c>
      <c r="G2320" t="s">
        <v>15</v>
      </c>
      <c r="N2320" s="2" t="s">
        <v>18</v>
      </c>
      <c r="O2320" s="2" t="s">
        <v>293</v>
      </c>
      <c r="P2320" s="2">
        <v>16000000</v>
      </c>
      <c r="Q2320" s="2">
        <v>7</v>
      </c>
      <c r="R2320" s="2" t="s">
        <v>4778</v>
      </c>
      <c r="S2320" s="2"/>
      <c r="AC2320" s="2"/>
      <c r="AD2320" t="str">
        <f>IFERROR(__xludf.DUMMYFUNCTION("""COMPUTED_VALUE"""),"Young Sherlock Holmes ")</f>
        <v>Young Sherlock Holmes </v>
      </c>
      <c r="AE2320">
        <f t="shared" si="65"/>
        <v>4250211</v>
      </c>
    </row>
    <row r="2321" customHeight="1" spans="1:31">
      <c r="A2321" s="2" t="s">
        <v>2521</v>
      </c>
      <c r="B2321" s="2">
        <v>112</v>
      </c>
      <c r="C2321" s="2">
        <v>4734235</v>
      </c>
      <c r="D2321" s="2" t="s">
        <v>3722</v>
      </c>
      <c r="E2321" s="2" t="s">
        <v>40</v>
      </c>
      <c r="F2321" t="s">
        <v>13</v>
      </c>
      <c r="G2321" t="s">
        <v>28</v>
      </c>
      <c r="N2321" s="2" t="s">
        <v>18</v>
      </c>
      <c r="O2321" s="2" t="s">
        <v>19</v>
      </c>
      <c r="P2321" s="2">
        <v>15000000</v>
      </c>
      <c r="Q2321" s="2">
        <v>6</v>
      </c>
      <c r="R2321" s="2" t="s">
        <v>4779</v>
      </c>
      <c r="S2321" s="2"/>
      <c r="AC2321" s="2"/>
      <c r="AD2321" t="str">
        <f>IFERROR(__xludf.DUMMYFUNCTION("""COMPUTED_VALUE"""),"Fame ")</f>
        <v>Fame </v>
      </c>
      <c r="AE2321">
        <f t="shared" si="65"/>
        <v>22452086</v>
      </c>
    </row>
    <row r="2322" customHeight="1" spans="1:31">
      <c r="A2322" s="2" t="s">
        <v>1814</v>
      </c>
      <c r="B2322" s="2">
        <v>112</v>
      </c>
      <c r="C2322" s="2">
        <v>4839383</v>
      </c>
      <c r="D2322" s="2" t="s">
        <v>607</v>
      </c>
      <c r="E2322" s="2" t="s">
        <v>40</v>
      </c>
      <c r="F2322" t="s">
        <v>28</v>
      </c>
      <c r="G2322" t="s">
        <v>30</v>
      </c>
      <c r="N2322" s="2" t="s">
        <v>18</v>
      </c>
      <c r="O2322" s="2" t="s">
        <v>19</v>
      </c>
      <c r="P2322" s="2">
        <v>16000000</v>
      </c>
      <c r="Q2322" s="2">
        <v>6.6</v>
      </c>
      <c r="R2322" s="2" t="s">
        <v>4780</v>
      </c>
      <c r="S2322" s="2"/>
      <c r="AC2322" s="2"/>
      <c r="AD2322" t="str">
        <f>IFERROR(__xludf.DUMMYFUNCTION("""COMPUTED_VALUE"""),"127 Hours ")</f>
        <v>127 Hours </v>
      </c>
      <c r="AE2322">
        <f t="shared" si="65"/>
        <v>18329372</v>
      </c>
    </row>
    <row r="2323" customHeight="1" spans="1:31">
      <c r="A2323" s="2" t="s">
        <v>2523</v>
      </c>
      <c r="B2323" s="2">
        <v>95</v>
      </c>
      <c r="C2323" s="2">
        <v>4193025</v>
      </c>
      <c r="D2323" s="2" t="s">
        <v>3198</v>
      </c>
      <c r="E2323" s="2" t="s">
        <v>40</v>
      </c>
      <c r="F2323" t="s">
        <v>30</v>
      </c>
      <c r="G2323" t="s">
        <v>30</v>
      </c>
      <c r="N2323" s="2" t="s">
        <v>18</v>
      </c>
      <c r="O2323" s="2" t="s">
        <v>19</v>
      </c>
      <c r="P2323" s="2">
        <v>15000000</v>
      </c>
      <c r="Q2323" s="2">
        <v>6.8</v>
      </c>
      <c r="R2323" s="2" t="s">
        <v>4781</v>
      </c>
      <c r="S2323" s="2"/>
      <c r="AC2323" s="2"/>
      <c r="AD2323" t="str">
        <f>IFERROR(__xludf.DUMMYFUNCTION("""COMPUTED_VALUE"""),"Small Time Crooks ")</f>
        <v>Small Time Crooks </v>
      </c>
      <c r="AE2323">
        <f t="shared" si="65"/>
        <v>17071136</v>
      </c>
    </row>
    <row r="2324" customHeight="1" spans="1:31">
      <c r="A2324" s="2" t="s">
        <v>1405</v>
      </c>
      <c r="B2324" s="2">
        <v>110</v>
      </c>
      <c r="C2324" s="2">
        <v>5900000</v>
      </c>
      <c r="D2324" s="2" t="s">
        <v>22</v>
      </c>
      <c r="E2324" s="2" t="s">
        <v>12</v>
      </c>
      <c r="F2324" t="s">
        <v>17</v>
      </c>
      <c r="G2324" t="s">
        <v>83</v>
      </c>
      <c r="N2324" s="2" t="s">
        <v>18</v>
      </c>
      <c r="O2324" s="2" t="s">
        <v>31</v>
      </c>
      <c r="P2324" s="2">
        <v>16000000</v>
      </c>
      <c r="Q2324" s="2">
        <v>7.2</v>
      </c>
      <c r="R2324" s="2" t="s">
        <v>4782</v>
      </c>
      <c r="S2324" s="2"/>
      <c r="AC2324" s="2"/>
      <c r="AD2324" t="str">
        <f>IFERROR(__xludf.DUMMYFUNCTION("""COMPUTED_VALUE"""),"Center Stage ")</f>
        <v>Center Stage </v>
      </c>
      <c r="AE2324">
        <f t="shared" si="65"/>
        <v>17174755</v>
      </c>
    </row>
    <row r="2325" customHeight="1" spans="1:31">
      <c r="A2325" s="2" t="s">
        <v>2525</v>
      </c>
      <c r="B2325" s="2">
        <v>118</v>
      </c>
      <c r="C2325" s="2">
        <v>2849142</v>
      </c>
      <c r="D2325" s="2" t="s">
        <v>30</v>
      </c>
      <c r="E2325" s="2" t="s">
        <v>30</v>
      </c>
      <c r="F2325" t="s">
        <v>30</v>
      </c>
      <c r="G2325" t="s">
        <v>30</v>
      </c>
      <c r="N2325" s="2" t="s">
        <v>18</v>
      </c>
      <c r="O2325" s="2" t="s">
        <v>19</v>
      </c>
      <c r="P2325" s="2">
        <v>16000000</v>
      </c>
      <c r="Q2325" s="2">
        <v>7.2</v>
      </c>
      <c r="R2325" s="2" t="s">
        <v>4783</v>
      </c>
      <c r="S2325" s="2"/>
      <c r="AC2325" s="2"/>
      <c r="AD2325" t="str">
        <f>IFERROR(__xludf.DUMMYFUNCTION("""COMPUTED_VALUE"""),"Love the Coopers ")</f>
        <v>Love the Coopers </v>
      </c>
      <c r="AE2325">
        <f t="shared" si="65"/>
        <v>26284368</v>
      </c>
    </row>
    <row r="2326" customHeight="1" spans="1:31">
      <c r="A2326" s="2" t="s">
        <v>2527</v>
      </c>
      <c r="B2326" s="2">
        <v>97</v>
      </c>
      <c r="C2326" s="2">
        <v>1686429</v>
      </c>
      <c r="D2326" s="2" t="s">
        <v>4784</v>
      </c>
      <c r="E2326" s="2" t="s">
        <v>12</v>
      </c>
      <c r="F2326" t="s">
        <v>35</v>
      </c>
      <c r="G2326" t="s">
        <v>17</v>
      </c>
      <c r="N2326" s="2" t="s">
        <v>18</v>
      </c>
      <c r="O2326" s="2" t="s">
        <v>19</v>
      </c>
      <c r="P2326" s="2">
        <v>16000000</v>
      </c>
      <c r="Q2326" s="2">
        <v>2.8</v>
      </c>
      <c r="R2326" s="2" t="s">
        <v>4785</v>
      </c>
      <c r="S2326" s="2"/>
      <c r="AC2326" s="2"/>
      <c r="AD2326" t="str">
        <f>IFERROR(__xludf.DUMMYFUNCTION("""COMPUTED_VALUE"""),"Catch That Kid ")</f>
        <v>Catch That Kid </v>
      </c>
      <c r="AE2326">
        <f t="shared" si="65"/>
        <v>16702773</v>
      </c>
    </row>
    <row r="2327" customHeight="1" spans="1:31">
      <c r="A2327" s="2" t="s">
        <v>1938</v>
      </c>
      <c r="B2327" s="2">
        <v>120</v>
      </c>
      <c r="C2327" s="2">
        <v>1984743</v>
      </c>
      <c r="D2327" s="2" t="s">
        <v>103</v>
      </c>
      <c r="E2327" s="2" t="s">
        <v>30</v>
      </c>
      <c r="F2327" t="s">
        <v>17</v>
      </c>
      <c r="G2327" t="s">
        <v>17</v>
      </c>
      <c r="N2327" s="2" t="s">
        <v>18</v>
      </c>
      <c r="O2327" s="2" t="s">
        <v>19</v>
      </c>
      <c r="P2327" s="2">
        <v>16000000</v>
      </c>
      <c r="Q2327" s="2">
        <v>6.6</v>
      </c>
      <c r="R2327" s="2" t="s">
        <v>4786</v>
      </c>
      <c r="S2327" s="2"/>
      <c r="AC2327" s="2"/>
      <c r="AD2327" t="str">
        <f>IFERROR(__xludf.DUMMYFUNCTION("""COMPUTED_VALUE"""),"Life as a House ")</f>
        <v>Life as a House </v>
      </c>
      <c r="AE2327">
        <f t="shared" si="65"/>
        <v>15561502</v>
      </c>
    </row>
    <row r="2328" customHeight="1" spans="1:31">
      <c r="A2328" s="2" t="s">
        <v>2529</v>
      </c>
      <c r="B2328" s="2">
        <v>135</v>
      </c>
      <c r="C2328" s="2">
        <v>1666262</v>
      </c>
      <c r="D2328" s="2" t="s">
        <v>721</v>
      </c>
      <c r="E2328" s="2" t="s">
        <v>30</v>
      </c>
      <c r="F2328" t="s">
        <v>40</v>
      </c>
      <c r="G2328" t="s">
        <v>17</v>
      </c>
      <c r="N2328" s="2" t="s">
        <v>18</v>
      </c>
      <c r="O2328" s="2" t="s">
        <v>31</v>
      </c>
      <c r="P2328" s="2">
        <v>16000000</v>
      </c>
      <c r="Q2328" s="2">
        <v>6.7</v>
      </c>
      <c r="R2328" s="2" t="s">
        <v>4787</v>
      </c>
      <c r="S2328" s="2"/>
      <c r="AC2328" s="2"/>
      <c r="AD2328" t="str">
        <f>IFERROR(__xludf.DUMMYFUNCTION("""COMPUTED_VALUE"""),"Steve Jobs ")</f>
        <v>Steve Jobs </v>
      </c>
      <c r="AE2328">
        <f t="shared" si="65"/>
        <v>17750461</v>
      </c>
    </row>
    <row r="2329" customHeight="1" spans="1:31">
      <c r="A2329" s="2" t="s">
        <v>1322</v>
      </c>
      <c r="B2329" s="2">
        <v>101</v>
      </c>
      <c r="C2329" s="2">
        <v>2319187</v>
      </c>
      <c r="D2329" s="2" t="s">
        <v>814</v>
      </c>
      <c r="E2329" s="2" t="s">
        <v>56</v>
      </c>
      <c r="F2329" t="s">
        <v>14</v>
      </c>
      <c r="G2329" t="s">
        <v>28</v>
      </c>
      <c r="N2329" s="2" t="s">
        <v>18</v>
      </c>
      <c r="O2329" s="2" t="s">
        <v>31</v>
      </c>
      <c r="P2329" s="2">
        <v>20000000</v>
      </c>
      <c r="Q2329" s="2">
        <v>7</v>
      </c>
      <c r="R2329" s="2" t="s">
        <v>4788</v>
      </c>
      <c r="S2329" s="2"/>
      <c r="AC2329" s="2"/>
      <c r="AD2329" t="str">
        <f>IFERROR(__xludf.DUMMYFUNCTION("""COMPUTED_VALUE"""),"I Love You, Beth Cooper ")</f>
        <v>I Love You, Beth Cooper </v>
      </c>
      <c r="AE2329">
        <f t="shared" si="65"/>
        <v>14793802</v>
      </c>
    </row>
    <row r="2330" customHeight="1" spans="1:31">
      <c r="A2330" s="2" t="s">
        <v>2532</v>
      </c>
      <c r="B2330" s="2">
        <v>92</v>
      </c>
      <c r="C2330" s="2">
        <v>13922211</v>
      </c>
      <c r="D2330" s="2" t="s">
        <v>40</v>
      </c>
      <c r="E2330" s="2" t="s">
        <v>40</v>
      </c>
      <c r="F2330" t="s">
        <v>28</v>
      </c>
      <c r="G2330" t="s">
        <v>14</v>
      </c>
      <c r="N2330" s="2" t="s">
        <v>18</v>
      </c>
      <c r="O2330" s="2" t="s">
        <v>19</v>
      </c>
      <c r="P2330" s="2">
        <v>16000000</v>
      </c>
      <c r="Q2330" s="2">
        <v>4.4</v>
      </c>
      <c r="R2330" s="2" t="s">
        <v>4789</v>
      </c>
      <c r="S2330" s="2"/>
      <c r="AC2330" s="2"/>
      <c r="AD2330" t="str">
        <f>IFERROR(__xludf.DUMMYFUNCTION("""COMPUTED_VALUE"""),"Youth in Revolt ")</f>
        <v>Youth in Revolt </v>
      </c>
      <c r="AE2330">
        <f t="shared" si="65"/>
        <v>15281196</v>
      </c>
    </row>
    <row r="2331" customHeight="1" spans="1:31">
      <c r="A2331" s="2" t="s">
        <v>2534</v>
      </c>
      <c r="B2331" s="2">
        <v>92</v>
      </c>
      <c r="C2331" s="2">
        <v>23091</v>
      </c>
      <c r="D2331" s="2" t="s">
        <v>3062</v>
      </c>
      <c r="E2331" s="2" t="s">
        <v>30</v>
      </c>
      <c r="F2331" t="s">
        <v>17</v>
      </c>
      <c r="G2331" t="s">
        <v>17</v>
      </c>
      <c r="N2331" s="2" t="s">
        <v>18</v>
      </c>
      <c r="O2331" s="2" t="s">
        <v>31</v>
      </c>
      <c r="P2331" s="2">
        <v>15000000</v>
      </c>
      <c r="Q2331" s="2">
        <v>6.2</v>
      </c>
      <c r="R2331" s="2" t="s">
        <v>4790</v>
      </c>
      <c r="S2331" s="2"/>
      <c r="AC2331" s="2"/>
      <c r="AD2331" t="str">
        <f>IFERROR(__xludf.DUMMYFUNCTION("""COMPUTED_VALUE"""),"The Legend of the Lone Ranger ")</f>
        <v>The Legend of the Lone Ranger </v>
      </c>
      <c r="AE2331">
        <f t="shared" si="65"/>
        <v>7999902</v>
      </c>
    </row>
    <row r="2332" customHeight="1" spans="1:31">
      <c r="A2332" s="2" t="s">
        <v>2536</v>
      </c>
      <c r="B2332" s="2">
        <v>161</v>
      </c>
      <c r="C2332" s="2">
        <v>336467</v>
      </c>
      <c r="D2332" s="2" t="s">
        <v>2191</v>
      </c>
      <c r="E2332" s="2" t="s">
        <v>30</v>
      </c>
      <c r="F2332" t="s">
        <v>28</v>
      </c>
      <c r="G2332" t="s">
        <v>65</v>
      </c>
      <c r="N2332" s="2" t="s">
        <v>18</v>
      </c>
      <c r="O2332" s="2" t="s">
        <v>707</v>
      </c>
      <c r="P2332" s="2">
        <v>13000000</v>
      </c>
      <c r="Q2332" s="2">
        <v>7.3</v>
      </c>
      <c r="R2332" s="2" t="s">
        <v>4791</v>
      </c>
      <c r="S2332" s="2"/>
      <c r="AC2332" s="2"/>
      <c r="AD2332" t="str">
        <f>IFERROR(__xludf.DUMMYFUNCTION("""COMPUTED_VALUE"""),"The Tailor of Panama ")</f>
        <v>The Tailor of Panama </v>
      </c>
      <c r="AE2332">
        <f t="shared" si="65"/>
        <v>13491544</v>
      </c>
    </row>
    <row r="2333" customHeight="1" spans="1:31">
      <c r="A2333" s="2" t="s">
        <v>2289</v>
      </c>
      <c r="B2333" s="2">
        <v>92</v>
      </c>
      <c r="C2333" s="2">
        <v>2964</v>
      </c>
      <c r="D2333" s="2" t="s">
        <v>3462</v>
      </c>
      <c r="E2333" s="2" t="s">
        <v>40</v>
      </c>
      <c r="F2333" t="s">
        <v>17</v>
      </c>
      <c r="G2333" t="s">
        <v>29</v>
      </c>
      <c r="N2333" s="2" t="s">
        <v>18</v>
      </c>
      <c r="O2333" s="2" t="s">
        <v>19</v>
      </c>
      <c r="P2333" s="2">
        <v>16000000</v>
      </c>
      <c r="Q2333" s="2">
        <v>5.1</v>
      </c>
      <c r="R2333" s="2" t="s">
        <v>4792</v>
      </c>
      <c r="S2333" s="2"/>
      <c r="AC2333" s="2"/>
      <c r="AD2333" t="str">
        <f>IFERROR(__xludf.DUMMYFUNCTION("""COMPUTED_VALUE"""),"Getaway ")</f>
        <v>Getaway </v>
      </c>
      <c r="AE2333">
        <f t="shared" si="65"/>
        <v>10494404</v>
      </c>
    </row>
    <row r="2334" customHeight="1" spans="1:31">
      <c r="A2334" s="2" t="s">
        <v>2538</v>
      </c>
      <c r="B2334" s="2">
        <v>122</v>
      </c>
      <c r="C2334" s="2">
        <v>2428883</v>
      </c>
      <c r="D2334" s="2" t="s">
        <v>641</v>
      </c>
      <c r="E2334" s="2" t="s">
        <v>30</v>
      </c>
      <c r="F2334" t="s">
        <v>30</v>
      </c>
      <c r="G2334" t="s">
        <v>65</v>
      </c>
      <c r="N2334" s="2" t="s">
        <v>18</v>
      </c>
      <c r="O2334" s="2" t="s">
        <v>19</v>
      </c>
      <c r="P2334" s="2">
        <v>16000000</v>
      </c>
      <c r="Q2334" s="2">
        <v>6.6</v>
      </c>
      <c r="R2334" s="2" t="s">
        <v>4793</v>
      </c>
      <c r="S2334" s="2"/>
      <c r="AC2334" s="2"/>
      <c r="AD2334" t="str">
        <f>IFERROR(__xludf.DUMMYFUNCTION("""COMPUTED_VALUE"""),"The Ice Storm ")</f>
        <v>The Ice Storm </v>
      </c>
      <c r="AE2334">
        <f t="shared" si="65"/>
        <v>7837520</v>
      </c>
    </row>
    <row r="2335" customHeight="1" spans="1:31">
      <c r="A2335" s="2" t="s">
        <v>2541</v>
      </c>
      <c r="B2335" s="2">
        <v>91</v>
      </c>
      <c r="C2335" s="2">
        <v>13571817</v>
      </c>
      <c r="D2335" s="2" t="s">
        <v>1826</v>
      </c>
      <c r="E2335" s="2" t="s">
        <v>40</v>
      </c>
      <c r="F2335" t="s">
        <v>72</v>
      </c>
      <c r="G2335" t="s">
        <v>24</v>
      </c>
      <c r="N2335" s="2" t="s">
        <v>18</v>
      </c>
      <c r="O2335" s="2" t="s">
        <v>19</v>
      </c>
      <c r="P2335" s="2">
        <v>15600000</v>
      </c>
      <c r="Q2335" s="2">
        <v>4.5</v>
      </c>
      <c r="R2335" s="2" t="s">
        <v>4794</v>
      </c>
      <c r="S2335" s="2"/>
      <c r="AC2335" s="2"/>
      <c r="AD2335" t="str">
        <f>IFERROR(__xludf.DUMMYFUNCTION("""COMPUTED_VALUE"""),"And So It Goes ")</f>
        <v>And So It Goes </v>
      </c>
      <c r="AE2335">
        <f t="shared" si="65"/>
        <v>15155678</v>
      </c>
    </row>
    <row r="2336" customHeight="1" spans="1:31">
      <c r="A2336" s="2" t="s">
        <v>2543</v>
      </c>
      <c r="B2336" s="2">
        <v>93</v>
      </c>
      <c r="C2336" s="2">
        <v>1181197</v>
      </c>
      <c r="D2336" s="2" t="s">
        <v>712</v>
      </c>
      <c r="E2336" s="2" t="s">
        <v>30</v>
      </c>
      <c r="F2336" t="s">
        <v>30</v>
      </c>
      <c r="G2336" t="s">
        <v>14</v>
      </c>
      <c r="N2336" s="2" t="s">
        <v>18</v>
      </c>
      <c r="O2336" s="2" t="s">
        <v>19</v>
      </c>
      <c r="P2336" s="2">
        <v>15500000</v>
      </c>
      <c r="Q2336" s="2">
        <v>5.9</v>
      </c>
      <c r="R2336" s="2" t="s">
        <v>4795</v>
      </c>
      <c r="S2336" s="2"/>
      <c r="AC2336" s="2"/>
      <c r="AD2336" t="str">
        <f>IFERROR(__xludf.DUMMYFUNCTION("""COMPUTED_VALUE"""),"Troop Beverly Hills ")</f>
        <v>Troop Beverly Hills </v>
      </c>
      <c r="AE2336">
        <f t="shared" si="65"/>
        <v>8508738</v>
      </c>
    </row>
    <row r="2337" customHeight="1" spans="1:31">
      <c r="A2337" s="2" t="s">
        <v>2545</v>
      </c>
      <c r="B2337" s="2">
        <v>94</v>
      </c>
      <c r="C2337" s="2">
        <v>81525</v>
      </c>
      <c r="D2337" s="2" t="s">
        <v>1425</v>
      </c>
      <c r="E2337" s="2" t="s">
        <v>12</v>
      </c>
      <c r="F2337" t="s">
        <v>72</v>
      </c>
      <c r="G2337" t="s">
        <v>24</v>
      </c>
      <c r="N2337" s="2" t="s">
        <v>1125</v>
      </c>
      <c r="O2337" s="2" t="s">
        <v>707</v>
      </c>
      <c r="P2337" s="2">
        <v>15300000</v>
      </c>
      <c r="Q2337" s="2">
        <v>6.6</v>
      </c>
      <c r="R2337" s="2" t="s">
        <v>4796</v>
      </c>
      <c r="S2337" s="2"/>
      <c r="AC2337" s="2"/>
      <c r="AD2337" t="str">
        <f>IFERROR(__xludf.DUMMYFUNCTION("""COMPUTED_VALUE"""),"Being Julia ")</f>
        <v>Being Julia </v>
      </c>
      <c r="AE2337">
        <f t="shared" si="65"/>
        <v>7738945</v>
      </c>
    </row>
    <row r="2338" customHeight="1" spans="1:31">
      <c r="A2338" s="2" t="s">
        <v>258</v>
      </c>
      <c r="B2338" s="2">
        <v>95</v>
      </c>
      <c r="C2338" s="2">
        <v>7774730</v>
      </c>
      <c r="D2338" s="2" t="s">
        <v>4797</v>
      </c>
      <c r="E2338" s="2" t="s">
        <v>40</v>
      </c>
      <c r="F2338" t="s">
        <v>55</v>
      </c>
      <c r="G2338" t="s">
        <v>15</v>
      </c>
      <c r="N2338" s="2" t="s">
        <v>18</v>
      </c>
      <c r="O2338" s="2" t="s">
        <v>121</v>
      </c>
      <c r="P2338" s="2">
        <v>15500000</v>
      </c>
      <c r="Q2338" s="2">
        <v>6.5</v>
      </c>
      <c r="R2338" s="2" t="s">
        <v>4798</v>
      </c>
      <c r="S2338" s="2"/>
      <c r="AC2338" s="2"/>
      <c r="AD2338" t="str">
        <f>IFERROR(__xludf.DUMMYFUNCTION("""COMPUTED_VALUE"""),"9½ Weeks ")</f>
        <v>9½ Weeks </v>
      </c>
      <c r="AE2338">
        <f t="shared" si="65"/>
        <v>6734732</v>
      </c>
    </row>
    <row r="2339" customHeight="1" spans="1:31">
      <c r="A2339" s="2" t="s">
        <v>769</v>
      </c>
      <c r="B2339" s="2">
        <v>105</v>
      </c>
      <c r="C2339" s="2">
        <v>234760500</v>
      </c>
      <c r="D2339" s="2" t="s">
        <v>635</v>
      </c>
      <c r="E2339" s="2" t="s">
        <v>12</v>
      </c>
      <c r="F2339" t="s">
        <v>28</v>
      </c>
      <c r="G2339" t="s">
        <v>17</v>
      </c>
      <c r="N2339" s="2" t="s">
        <v>18</v>
      </c>
      <c r="O2339" s="2" t="s">
        <v>19</v>
      </c>
      <c r="P2339" s="2">
        <v>14000000</v>
      </c>
      <c r="Q2339" s="2">
        <v>7.3</v>
      </c>
      <c r="R2339" s="2" t="s">
        <v>4799</v>
      </c>
      <c r="S2339" s="2"/>
      <c r="AC2339" s="2"/>
      <c r="AD2339" t="str">
        <f>IFERROR(__xludf.DUMMYFUNCTION("""COMPUTED_VALUE"""),"Dragonslayer ")</f>
        <v>Dragonslayer </v>
      </c>
      <c r="AE2339">
        <f t="shared" si="65"/>
        <v>5999892</v>
      </c>
    </row>
    <row r="2340" customHeight="1" spans="1:31">
      <c r="A2340" s="2" t="s">
        <v>466</v>
      </c>
      <c r="B2340" s="2">
        <v>103</v>
      </c>
      <c r="C2340" s="2">
        <v>285761243</v>
      </c>
      <c r="D2340" s="2" t="s">
        <v>1201</v>
      </c>
      <c r="E2340" s="2" t="s">
        <v>40</v>
      </c>
      <c r="F2340" t="s">
        <v>40</v>
      </c>
      <c r="G2340" t="s">
        <v>24</v>
      </c>
      <c r="N2340" s="2" t="s">
        <v>18</v>
      </c>
      <c r="O2340" s="2" t="s">
        <v>19</v>
      </c>
      <c r="P2340" s="2">
        <v>18000000</v>
      </c>
      <c r="Q2340" s="2">
        <v>7.5</v>
      </c>
      <c r="R2340" s="2" t="s">
        <v>4800</v>
      </c>
      <c r="S2340" s="2"/>
      <c r="AC2340" s="2"/>
      <c r="AD2340" t="str">
        <f>IFERROR(__xludf.DUMMYFUNCTION("""COMPUTED_VALUE"""),"The Last Station ")</f>
        <v>The Last Station </v>
      </c>
      <c r="AE2340">
        <f t="shared" si="65"/>
        <v>6615466</v>
      </c>
    </row>
    <row r="2341" customHeight="1" spans="1:31">
      <c r="A2341" s="2" t="s">
        <v>2109</v>
      </c>
      <c r="B2341" s="2">
        <v>102</v>
      </c>
      <c r="C2341" s="2">
        <v>167780960</v>
      </c>
      <c r="D2341" s="2" t="s">
        <v>1590</v>
      </c>
      <c r="E2341" s="2" t="s">
        <v>40</v>
      </c>
      <c r="F2341" t="s">
        <v>17</v>
      </c>
      <c r="G2341" t="s">
        <v>17</v>
      </c>
      <c r="N2341" s="2" t="s">
        <v>18</v>
      </c>
      <c r="O2341" s="2" t="s">
        <v>19</v>
      </c>
      <c r="P2341" s="2">
        <v>11000000</v>
      </c>
      <c r="Q2341" s="2">
        <v>5.9</v>
      </c>
      <c r="R2341" s="2" t="s">
        <v>4801</v>
      </c>
      <c r="S2341" s="2"/>
      <c r="AC2341" s="2"/>
      <c r="AD2341" t="str">
        <f>IFERROR(__xludf.DUMMYFUNCTION("""COMPUTED_VALUE"""),"Ed Wood ")</f>
        <v>Ed Wood </v>
      </c>
      <c r="AE2341">
        <f t="shared" si="65"/>
        <v>5887330</v>
      </c>
    </row>
    <row r="2342" customHeight="1" spans="1:31">
      <c r="A2342" s="2" t="s">
        <v>727</v>
      </c>
      <c r="B2342" s="2">
        <v>116</v>
      </c>
      <c r="C2342" s="2">
        <v>177200000</v>
      </c>
      <c r="D2342" s="2" t="s">
        <v>521</v>
      </c>
      <c r="E2342" s="2" t="s">
        <v>40</v>
      </c>
      <c r="F2342" t="s">
        <v>28</v>
      </c>
      <c r="G2342" t="s">
        <v>24</v>
      </c>
      <c r="N2342" s="2" t="s">
        <v>18</v>
      </c>
      <c r="O2342" s="2" t="s">
        <v>19</v>
      </c>
      <c r="P2342" s="2">
        <v>22000000</v>
      </c>
      <c r="Q2342" s="2">
        <v>7.4</v>
      </c>
      <c r="R2342" s="2" t="s">
        <v>4802</v>
      </c>
      <c r="S2342" s="2"/>
      <c r="AC2342" s="2"/>
      <c r="AD2342" t="str">
        <f>IFERROR(__xludf.DUMMYFUNCTION("""COMPUTED_VALUE"""),"Labor Day ")</f>
        <v>Labor Day </v>
      </c>
      <c r="AE2342">
        <f t="shared" si="65"/>
        <v>13362197</v>
      </c>
    </row>
    <row r="2343" customHeight="1" spans="1:31">
      <c r="A2343" s="2" t="s">
        <v>617</v>
      </c>
      <c r="B2343" s="2">
        <v>110</v>
      </c>
      <c r="C2343" s="2">
        <v>176781728</v>
      </c>
      <c r="D2343" s="2" t="s">
        <v>612</v>
      </c>
      <c r="E2343" s="2" t="s">
        <v>12</v>
      </c>
      <c r="F2343" t="s">
        <v>30</v>
      </c>
      <c r="G2343" t="s">
        <v>39</v>
      </c>
      <c r="N2343" s="2" t="s">
        <v>18</v>
      </c>
      <c r="O2343" s="2" t="s">
        <v>19</v>
      </c>
      <c r="P2343" s="2">
        <v>15000000</v>
      </c>
      <c r="Q2343" s="2">
        <v>6.9</v>
      </c>
      <c r="R2343" s="2" t="s">
        <v>4803</v>
      </c>
      <c r="S2343" s="2"/>
      <c r="AC2343" s="2"/>
      <c r="AD2343" t="str">
        <f>IFERROR(__xludf.DUMMYFUNCTION("""COMPUTED_VALUE"""),"Mongol: The Rise of Genghis Khan ")</f>
        <v>Mongol: The Rise of Genghis Khan </v>
      </c>
      <c r="AE2343">
        <f t="shared" si="65"/>
        <v>5701517</v>
      </c>
    </row>
    <row r="2344" customHeight="1" spans="1:31">
      <c r="A2344" s="2" t="s">
        <v>401</v>
      </c>
      <c r="B2344" s="2">
        <v>120</v>
      </c>
      <c r="C2344" s="2">
        <v>128067808</v>
      </c>
      <c r="D2344" s="2" t="s">
        <v>612</v>
      </c>
      <c r="E2344" s="2" t="s">
        <v>12</v>
      </c>
      <c r="F2344" t="s">
        <v>72</v>
      </c>
      <c r="G2344" t="s">
        <v>17</v>
      </c>
      <c r="N2344" s="2" t="s">
        <v>722</v>
      </c>
      <c r="O2344" s="2" t="s">
        <v>4804</v>
      </c>
      <c r="P2344" s="2">
        <v>15000000</v>
      </c>
      <c r="Q2344" s="2">
        <v>7.9</v>
      </c>
      <c r="R2344" s="2" t="s">
        <v>4805</v>
      </c>
      <c r="S2344" s="2"/>
      <c r="AC2344" s="2"/>
      <c r="AD2344" t="str">
        <f>IFERROR(__xludf.DUMMYFUNCTION("""COMPUTED_VALUE"""),"RocknRolla ")</f>
        <v>RocknRolla </v>
      </c>
      <c r="AE2344">
        <f t="shared" si="65"/>
        <v>5694287</v>
      </c>
    </row>
    <row r="2345" customHeight="1" spans="1:31">
      <c r="A2345" s="2" t="s">
        <v>26</v>
      </c>
      <c r="B2345" s="2">
        <v>122</v>
      </c>
      <c r="C2345" s="2">
        <v>130058047</v>
      </c>
      <c r="D2345" s="2" t="s">
        <v>30</v>
      </c>
      <c r="E2345" s="2" t="s">
        <v>30</v>
      </c>
      <c r="F2345" t="s">
        <v>30</v>
      </c>
      <c r="G2345" t="s">
        <v>15</v>
      </c>
      <c r="N2345" s="2" t="s">
        <v>18</v>
      </c>
      <c r="O2345" s="2" t="s">
        <v>19</v>
      </c>
      <c r="P2345" s="2">
        <v>15000000</v>
      </c>
      <c r="Q2345" s="2">
        <v>8.4</v>
      </c>
      <c r="R2345" s="2" t="s">
        <v>4806</v>
      </c>
      <c r="S2345" s="2"/>
      <c r="AC2345" s="2"/>
      <c r="AD2345" t="str">
        <f>IFERROR(__xludf.DUMMYFUNCTION("""COMPUTED_VALUE"""),"Megaforce ")</f>
        <v>Megaforce </v>
      </c>
      <c r="AE2345">
        <f t="shared" si="65"/>
        <v>5333559</v>
      </c>
    </row>
    <row r="2346" customHeight="1" spans="1:31">
      <c r="A2346" s="2" t="s">
        <v>992</v>
      </c>
      <c r="B2346" s="2">
        <v>118</v>
      </c>
      <c r="C2346" s="2">
        <v>138795342</v>
      </c>
      <c r="D2346" s="2" t="s">
        <v>2530</v>
      </c>
      <c r="E2346" s="2" t="s">
        <v>59</v>
      </c>
      <c r="F2346" t="s">
        <v>13</v>
      </c>
      <c r="G2346" t="s">
        <v>30</v>
      </c>
      <c r="N2346" s="2" t="s">
        <v>18</v>
      </c>
      <c r="O2346" s="2" t="s">
        <v>31</v>
      </c>
      <c r="P2346" s="2">
        <v>15000000</v>
      </c>
      <c r="Q2346" s="2">
        <v>8</v>
      </c>
      <c r="R2346" s="2" t="s">
        <v>4807</v>
      </c>
      <c r="S2346" s="2"/>
      <c r="AC2346" s="2"/>
      <c r="AD2346" t="str">
        <f>IFERROR(__xludf.DUMMYFUNCTION("""COMPUTED_VALUE"""),"Hamlet ")</f>
        <v>Hamlet </v>
      </c>
      <c r="AE2346">
        <f t="shared" si="65"/>
        <v>4414385</v>
      </c>
    </row>
    <row r="2347" customHeight="1" spans="1:31">
      <c r="A2347" s="2" t="s">
        <v>816</v>
      </c>
      <c r="B2347" s="2">
        <v>107</v>
      </c>
      <c r="C2347" s="2">
        <v>111936400</v>
      </c>
      <c r="D2347" s="2" t="s">
        <v>383</v>
      </c>
      <c r="E2347" s="2" t="s">
        <v>40</v>
      </c>
      <c r="F2347" t="s">
        <v>30</v>
      </c>
      <c r="G2347" t="s">
        <v>83</v>
      </c>
      <c r="N2347" s="2" t="s">
        <v>18</v>
      </c>
      <c r="O2347" s="2" t="s">
        <v>19</v>
      </c>
      <c r="P2347" s="2">
        <v>15000000</v>
      </c>
      <c r="Q2347" s="2">
        <v>6</v>
      </c>
      <c r="R2347" s="2" t="s">
        <v>4808</v>
      </c>
      <c r="S2347" s="2"/>
      <c r="AC2347" s="2"/>
      <c r="AD2347" t="str">
        <f>IFERROR(__xludf.DUMMYFUNCTION("""COMPUTED_VALUE"""),"Midnight Special ")</f>
        <v>Midnight Special </v>
      </c>
      <c r="AE2347">
        <f t="shared" si="65"/>
        <v>3707682</v>
      </c>
    </row>
    <row r="2348" customHeight="1" spans="1:31">
      <c r="A2348" s="2" t="s">
        <v>2547</v>
      </c>
      <c r="B2348" s="2">
        <v>102</v>
      </c>
      <c r="C2348" s="2">
        <v>317040</v>
      </c>
      <c r="D2348" s="2" t="s">
        <v>103</v>
      </c>
      <c r="E2348" s="2" t="s">
        <v>30</v>
      </c>
      <c r="F2348" t="s">
        <v>56</v>
      </c>
      <c r="G2348" t="s">
        <v>35</v>
      </c>
      <c r="N2348" s="2" t="s">
        <v>18</v>
      </c>
      <c r="O2348" s="2" t="s">
        <v>19</v>
      </c>
      <c r="P2348" s="2">
        <v>15500000</v>
      </c>
      <c r="Q2348" s="2">
        <v>6.8</v>
      </c>
      <c r="R2348" s="2" t="s">
        <v>4809</v>
      </c>
      <c r="S2348" s="2"/>
      <c r="AC2348" s="2"/>
      <c r="AD2348" t="str">
        <f>IFERROR(__xludf.DUMMYFUNCTION("""COMPUTED_VALUE"""),"Anything Else ")</f>
        <v>Anything Else </v>
      </c>
      <c r="AE2348">
        <f t="shared" si="65"/>
        <v>3202936</v>
      </c>
    </row>
    <row r="2349" customHeight="1" spans="1:31">
      <c r="A2349" s="2" t="s">
        <v>166</v>
      </c>
      <c r="B2349" s="2">
        <v>154</v>
      </c>
      <c r="C2349" s="2">
        <v>94175854</v>
      </c>
      <c r="D2349" s="2" t="s">
        <v>30</v>
      </c>
      <c r="E2349" s="2" t="s">
        <v>30</v>
      </c>
      <c r="F2349" t="s">
        <v>30</v>
      </c>
      <c r="G2349" t="s">
        <v>17</v>
      </c>
      <c r="N2349" s="2" t="s">
        <v>18</v>
      </c>
      <c r="O2349" s="2" t="s">
        <v>19</v>
      </c>
      <c r="P2349" s="2">
        <v>15000000</v>
      </c>
      <c r="Q2349" s="2">
        <v>7.8</v>
      </c>
      <c r="R2349" s="2" t="s">
        <v>4810</v>
      </c>
      <c r="S2349" s="2"/>
      <c r="AC2349" s="2"/>
      <c r="AD2349" t="str">
        <f>IFERROR(__xludf.DUMMYFUNCTION("""COMPUTED_VALUE"""),"The Railway Man ")</f>
        <v>The Railway Man </v>
      </c>
      <c r="AE2349">
        <f t="shared" si="65"/>
        <v>4434967</v>
      </c>
    </row>
    <row r="2350" customHeight="1" spans="1:31">
      <c r="A2350" s="2" t="s">
        <v>2549</v>
      </c>
      <c r="B2350" s="2">
        <v>114</v>
      </c>
      <c r="C2350" s="2">
        <v>91121452</v>
      </c>
      <c r="D2350" s="2" t="s">
        <v>4157</v>
      </c>
      <c r="E2350" s="2" t="s">
        <v>59</v>
      </c>
      <c r="F2350" t="s">
        <v>30</v>
      </c>
      <c r="G2350" t="s">
        <v>24</v>
      </c>
      <c r="N2350" s="2" t="s">
        <v>18</v>
      </c>
      <c r="O2350" s="2" t="s">
        <v>31</v>
      </c>
      <c r="P2350" s="2">
        <v>14000000</v>
      </c>
      <c r="Q2350" s="2">
        <v>8.1</v>
      </c>
      <c r="R2350" s="2" t="s">
        <v>4811</v>
      </c>
      <c r="S2350" s="2"/>
      <c r="AC2350" s="2"/>
      <c r="AD2350" t="str">
        <f>IFERROR(__xludf.DUMMYFUNCTION("""COMPUTED_VALUE"""),"The White Ribbon ")</f>
        <v>The White Ribbon </v>
      </c>
      <c r="AE2350">
        <f t="shared" si="65"/>
        <v>2222503</v>
      </c>
    </row>
    <row r="2351" customHeight="1" spans="1:31">
      <c r="A2351" s="2" t="s">
        <v>2482</v>
      </c>
      <c r="B2351" s="2">
        <v>109</v>
      </c>
      <c r="C2351" s="2">
        <v>69800000</v>
      </c>
      <c r="D2351" s="2" t="s">
        <v>4245</v>
      </c>
      <c r="E2351" s="2" t="s">
        <v>40</v>
      </c>
      <c r="F2351" t="s">
        <v>17</v>
      </c>
      <c r="G2351" t="s">
        <v>72</v>
      </c>
      <c r="N2351" s="2" t="s">
        <v>18</v>
      </c>
      <c r="O2351" s="2" t="s">
        <v>19</v>
      </c>
      <c r="P2351" s="2">
        <v>10000000</v>
      </c>
      <c r="Q2351" s="2">
        <v>6.1</v>
      </c>
      <c r="R2351" s="2" t="s">
        <v>4812</v>
      </c>
      <c r="S2351" s="2"/>
      <c r="AC2351" s="2"/>
      <c r="AD2351" t="str">
        <f>IFERROR(__xludf.DUMMYFUNCTION("""COMPUTED_VALUE"""),"The Wraith ")</f>
        <v>The Wraith </v>
      </c>
      <c r="AE2351">
        <f t="shared" si="65"/>
        <v>3499907</v>
      </c>
    </row>
    <row r="2352" customHeight="1" spans="1:31">
      <c r="A2352" s="2" t="s">
        <v>730</v>
      </c>
      <c r="B2352" s="2">
        <v>94</v>
      </c>
      <c r="C2352" s="2">
        <v>64001297</v>
      </c>
      <c r="D2352" s="2" t="s">
        <v>1201</v>
      </c>
      <c r="E2352" s="2" t="s">
        <v>40</v>
      </c>
      <c r="F2352" t="s">
        <v>17</v>
      </c>
      <c r="G2352" t="s">
        <v>39</v>
      </c>
      <c r="N2352" s="2" t="s">
        <v>18</v>
      </c>
      <c r="O2352" s="2" t="s">
        <v>19</v>
      </c>
      <c r="P2352" s="2">
        <v>15000000</v>
      </c>
      <c r="Q2352" s="2">
        <v>6.2</v>
      </c>
      <c r="R2352" s="2" t="s">
        <v>4813</v>
      </c>
      <c r="S2352" s="2"/>
      <c r="AC2352" s="2"/>
      <c r="AD2352" t="str">
        <f>IFERROR(__xludf.DUMMYFUNCTION("""COMPUTED_VALUE"""),"The Salton Sea ")</f>
        <v>The Salton Sea </v>
      </c>
      <c r="AE2352">
        <f t="shared" si="65"/>
        <v>676595</v>
      </c>
    </row>
    <row r="2353" customHeight="1" spans="1:31">
      <c r="A2353" s="2" t="s">
        <v>2551</v>
      </c>
      <c r="B2353" s="2">
        <v>100</v>
      </c>
      <c r="C2353" s="2">
        <v>71588220</v>
      </c>
      <c r="D2353" s="2" t="s">
        <v>3112</v>
      </c>
      <c r="E2353" s="2" t="s">
        <v>14</v>
      </c>
      <c r="F2353" t="s">
        <v>17</v>
      </c>
      <c r="G2353" t="s">
        <v>17</v>
      </c>
      <c r="N2353" s="2" t="s">
        <v>18</v>
      </c>
      <c r="O2353" s="2" t="s">
        <v>121</v>
      </c>
      <c r="P2353" s="2">
        <v>20000000</v>
      </c>
      <c r="Q2353" s="2">
        <v>6.2</v>
      </c>
      <c r="R2353" s="2" t="s">
        <v>4814</v>
      </c>
      <c r="S2353" s="2"/>
      <c r="AC2353" s="2"/>
      <c r="AD2353" t="str">
        <f>IFERROR(__xludf.DUMMYFUNCTION("""COMPUTED_VALUE"""),"One Man's Hero ")</f>
        <v>One Man's Hero </v>
      </c>
      <c r="AE2353">
        <f t="shared" si="65"/>
        <v>229190</v>
      </c>
    </row>
    <row r="2354" customHeight="1" spans="1:31">
      <c r="A2354" s="2" t="s">
        <v>1108</v>
      </c>
      <c r="B2354" s="2">
        <v>98</v>
      </c>
      <c r="C2354" s="2">
        <v>61400000</v>
      </c>
      <c r="D2354" s="2" t="s">
        <v>1716</v>
      </c>
      <c r="E2354" s="2" t="s">
        <v>13</v>
      </c>
      <c r="F2354" t="s">
        <v>15</v>
      </c>
      <c r="G2354" t="s">
        <v>83</v>
      </c>
      <c r="N2354" s="2" t="s">
        <v>18</v>
      </c>
      <c r="O2354" s="2" t="s">
        <v>19</v>
      </c>
      <c r="P2354" s="2">
        <v>15000000</v>
      </c>
      <c r="Q2354" s="2">
        <v>7.4</v>
      </c>
      <c r="R2354" s="2" t="s">
        <v>4815</v>
      </c>
      <c r="S2354" s="2"/>
      <c r="AC2354" s="2"/>
      <c r="AD2354" t="str">
        <f>IFERROR(__xludf.DUMMYFUNCTION("""COMPUTED_VALUE"""),"Renaissance ")</f>
        <v>Renaissance </v>
      </c>
      <c r="AE2354">
        <f t="shared" si="65"/>
        <v>63155</v>
      </c>
    </row>
    <row r="2355" customHeight="1" spans="1:31">
      <c r="A2355" s="2" t="s">
        <v>2205</v>
      </c>
      <c r="B2355" s="2">
        <v>102</v>
      </c>
      <c r="C2355" s="2">
        <v>101978840</v>
      </c>
      <c r="D2355" s="2" t="s">
        <v>40</v>
      </c>
      <c r="E2355" s="2" t="s">
        <v>40</v>
      </c>
      <c r="F2355" t="s">
        <v>30</v>
      </c>
      <c r="G2355" t="s">
        <v>30</v>
      </c>
      <c r="N2355" s="2" t="s">
        <v>18</v>
      </c>
      <c r="O2355" s="2" t="s">
        <v>19</v>
      </c>
      <c r="P2355" s="2">
        <v>15000000</v>
      </c>
      <c r="Q2355" s="2">
        <v>6.6</v>
      </c>
      <c r="R2355" s="2" t="s">
        <v>4816</v>
      </c>
      <c r="S2355" s="2"/>
      <c r="AC2355" s="2"/>
      <c r="AD2355" t="str">
        <f>IFERROR(__xludf.DUMMYFUNCTION("""COMPUTED_VALUE"""),"Superbad ")</f>
        <v>Superbad </v>
      </c>
      <c r="AE2355">
        <f t="shared" si="65"/>
        <v>121463107</v>
      </c>
    </row>
    <row r="2356" customHeight="1" spans="1:31">
      <c r="A2356" s="2" t="s">
        <v>1377</v>
      </c>
      <c r="B2356" s="2">
        <v>94</v>
      </c>
      <c r="C2356" s="2">
        <v>56437947</v>
      </c>
      <c r="D2356" s="2" t="s">
        <v>562</v>
      </c>
      <c r="E2356" s="2" t="s">
        <v>59</v>
      </c>
      <c r="F2356" t="s">
        <v>56</v>
      </c>
      <c r="G2356" t="s">
        <v>17</v>
      </c>
      <c r="N2356" s="2" t="s">
        <v>18</v>
      </c>
      <c r="O2356" s="2" t="s">
        <v>31</v>
      </c>
      <c r="P2356" s="2">
        <v>9800000</v>
      </c>
      <c r="Q2356" s="2">
        <v>7.3</v>
      </c>
      <c r="R2356" s="2" t="s">
        <v>4817</v>
      </c>
      <c r="S2356" s="2"/>
      <c r="AC2356" s="2"/>
      <c r="AD2356" t="str">
        <f>IFERROR(__xludf.DUMMYFUNCTION("""COMPUTED_VALUE"""),"Step Up 2: The Streets ")</f>
        <v>Step Up 2: The Streets </v>
      </c>
      <c r="AE2356">
        <f t="shared" si="65"/>
        <v>58006049</v>
      </c>
    </row>
    <row r="2357" customHeight="1" spans="1:31">
      <c r="A2357" s="2" t="s">
        <v>117</v>
      </c>
      <c r="B2357" s="2">
        <v>92</v>
      </c>
      <c r="C2357" s="2">
        <v>73326666</v>
      </c>
      <c r="D2357" s="2" t="s">
        <v>1086</v>
      </c>
      <c r="E2357" s="2" t="s">
        <v>40</v>
      </c>
      <c r="F2357" t="s">
        <v>30</v>
      </c>
      <c r="G2357" t="s">
        <v>30</v>
      </c>
      <c r="N2357" s="2" t="s">
        <v>18</v>
      </c>
      <c r="O2357" s="2" t="s">
        <v>19</v>
      </c>
      <c r="P2357" s="2">
        <v>15000000</v>
      </c>
      <c r="Q2357" s="2">
        <v>7.5</v>
      </c>
      <c r="R2357" s="2" t="s">
        <v>4818</v>
      </c>
      <c r="S2357" s="2"/>
      <c r="AC2357" s="2"/>
      <c r="AD2357" t="str">
        <f>IFERROR(__xludf.DUMMYFUNCTION("""COMPUTED_VALUE"""),"Hoodwinked! ")</f>
        <v>Hoodwinked! </v>
      </c>
      <c r="AE2357">
        <f t="shared" si="65"/>
        <v>51053707</v>
      </c>
    </row>
    <row r="2358" customHeight="1" spans="1:31">
      <c r="A2358" s="2" t="s">
        <v>2006</v>
      </c>
      <c r="B2358" s="2">
        <v>113</v>
      </c>
      <c r="C2358" s="2">
        <v>55184721</v>
      </c>
      <c r="D2358" s="2" t="s">
        <v>975</v>
      </c>
      <c r="E2358" s="2" t="s">
        <v>40</v>
      </c>
      <c r="F2358" t="s">
        <v>30</v>
      </c>
      <c r="G2358" t="s">
        <v>39</v>
      </c>
      <c r="N2358" s="2" t="s">
        <v>18</v>
      </c>
      <c r="O2358" s="2" t="s">
        <v>19</v>
      </c>
      <c r="P2358" s="2">
        <v>15000000</v>
      </c>
      <c r="Q2358" s="2">
        <v>5.6</v>
      </c>
      <c r="R2358" s="2" t="s">
        <v>4819</v>
      </c>
      <c r="S2358" s="2"/>
      <c r="AC2358" s="2"/>
      <c r="AD2358" t="str">
        <f>IFERROR(__xludf.DUMMYFUNCTION("""COMPUTED_VALUE"""),"Hotel Rwanda ")</f>
        <v>Hotel Rwanda </v>
      </c>
      <c r="AE2358">
        <f t="shared" si="65"/>
        <v>23472779</v>
      </c>
    </row>
    <row r="2359" customHeight="1" spans="1:31">
      <c r="A2359" s="2" t="s">
        <v>2553</v>
      </c>
      <c r="B2359" s="2">
        <v>115</v>
      </c>
      <c r="C2359" s="2">
        <v>50003300</v>
      </c>
      <c r="D2359" s="2" t="s">
        <v>4820</v>
      </c>
      <c r="E2359" s="2" t="s">
        <v>30</v>
      </c>
      <c r="F2359" t="s">
        <v>40</v>
      </c>
      <c r="G2359" t="s">
        <v>17</v>
      </c>
      <c r="N2359" s="2" t="s">
        <v>18</v>
      </c>
      <c r="O2359" s="2" t="s">
        <v>19</v>
      </c>
      <c r="P2359" s="2">
        <v>15000000</v>
      </c>
      <c r="Q2359" s="2">
        <v>7.3</v>
      </c>
      <c r="R2359" s="2" t="s">
        <v>4821</v>
      </c>
      <c r="S2359" s="2"/>
      <c r="AC2359" s="2"/>
      <c r="AD2359" t="str">
        <f>IFERROR(__xludf.DUMMYFUNCTION("""COMPUTED_VALUE"""),"Hitman ")</f>
        <v>Hitman </v>
      </c>
      <c r="AE2359">
        <f t="shared" ref="AE2359:AE2422" si="66">C2243-B2243</f>
        <v>39687434</v>
      </c>
    </row>
    <row r="2360" customHeight="1" spans="1:31">
      <c r="A2360" s="2" t="s">
        <v>2555</v>
      </c>
      <c r="B2360" s="2">
        <v>95</v>
      </c>
      <c r="C2360" s="2">
        <v>54322273</v>
      </c>
      <c r="D2360" s="2" t="s">
        <v>346</v>
      </c>
      <c r="E2360" s="2" t="s">
        <v>30</v>
      </c>
      <c r="F2360" t="s">
        <v>83</v>
      </c>
      <c r="G2360" t="s">
        <v>23</v>
      </c>
      <c r="N2360" s="2" t="s">
        <v>18</v>
      </c>
      <c r="O2360" s="2" t="s">
        <v>31</v>
      </c>
      <c r="P2360" s="2">
        <v>17000000</v>
      </c>
      <c r="Q2360" s="2">
        <v>6.4</v>
      </c>
      <c r="R2360" s="2" t="s">
        <v>4822</v>
      </c>
      <c r="S2360" s="2"/>
      <c r="AC2360" s="2"/>
      <c r="AD2360" t="str">
        <f>IFERROR(__xludf.DUMMYFUNCTION("""COMPUTED_VALUE"""),"Black Nativity ")</f>
        <v>Black Nativity </v>
      </c>
      <c r="AE2360">
        <f t="shared" si="66"/>
        <v>7017085</v>
      </c>
    </row>
    <row r="2361" customHeight="1" spans="1:31">
      <c r="A2361" s="2" t="s">
        <v>634</v>
      </c>
      <c r="B2361" s="2">
        <v>87</v>
      </c>
      <c r="C2361" s="2">
        <v>47860214</v>
      </c>
      <c r="D2361" s="2" t="s">
        <v>2781</v>
      </c>
      <c r="E2361" s="2" t="s">
        <v>72</v>
      </c>
      <c r="F2361" t="s">
        <v>24</v>
      </c>
      <c r="G2361" t="s">
        <v>17</v>
      </c>
      <c r="N2361" s="2" t="s">
        <v>18</v>
      </c>
      <c r="O2361" s="2" t="s">
        <v>19</v>
      </c>
      <c r="P2361" s="2">
        <v>15000000</v>
      </c>
      <c r="Q2361" s="2">
        <v>5</v>
      </c>
      <c r="R2361" s="2" t="s">
        <v>4823</v>
      </c>
      <c r="S2361" s="2"/>
      <c r="AC2361" s="2"/>
      <c r="AD2361" t="str">
        <f>IFERROR(__xludf.DUMMYFUNCTION("""COMPUTED_VALUE"""),"City of Ghosts ")</f>
        <v>City of Ghosts </v>
      </c>
      <c r="AE2361">
        <f t="shared" si="66"/>
        <v>325375</v>
      </c>
    </row>
    <row r="2362" customHeight="1" spans="1:31">
      <c r="A2362" s="2" t="s">
        <v>315</v>
      </c>
      <c r="B2362" s="2">
        <v>88</v>
      </c>
      <c r="C2362" s="2">
        <v>47811275</v>
      </c>
      <c r="D2362" s="2" t="s">
        <v>908</v>
      </c>
      <c r="E2362" s="2" t="s">
        <v>13</v>
      </c>
      <c r="F2362" t="s">
        <v>30</v>
      </c>
      <c r="G2362" t="s">
        <v>24</v>
      </c>
      <c r="N2362" s="2" t="s">
        <v>18</v>
      </c>
      <c r="O2362" s="2" t="s">
        <v>19</v>
      </c>
      <c r="P2362" s="2">
        <v>15000000</v>
      </c>
      <c r="Q2362" s="2">
        <v>5.4</v>
      </c>
      <c r="R2362" s="2" t="s">
        <v>4824</v>
      </c>
      <c r="S2362" s="2"/>
      <c r="AC2362" s="2"/>
      <c r="AD2362" t="str">
        <f>IFERROR(__xludf.DUMMYFUNCTION("""COMPUTED_VALUE"""),"The Others ")</f>
        <v>The Others </v>
      </c>
      <c r="AE2362">
        <f t="shared" si="66"/>
        <v>96471744</v>
      </c>
    </row>
    <row r="2363" customHeight="1" spans="1:31">
      <c r="A2363" s="2" t="s">
        <v>889</v>
      </c>
      <c r="B2363" s="2">
        <v>97</v>
      </c>
      <c r="C2363" s="2">
        <v>43022524</v>
      </c>
      <c r="D2363" s="2" t="s">
        <v>975</v>
      </c>
      <c r="E2363" s="2" t="s">
        <v>40</v>
      </c>
      <c r="F2363" t="s">
        <v>83</v>
      </c>
      <c r="G2363" t="s">
        <v>30</v>
      </c>
      <c r="N2363" s="2" t="s">
        <v>18</v>
      </c>
      <c r="O2363" s="2" t="s">
        <v>19</v>
      </c>
      <c r="P2363" s="2">
        <v>15000000</v>
      </c>
      <c r="Q2363" s="2">
        <v>7.1</v>
      </c>
      <c r="R2363" s="2" t="s">
        <v>4825</v>
      </c>
      <c r="S2363" s="2"/>
      <c r="AC2363" s="2"/>
      <c r="AD2363" t="str">
        <f>IFERROR(__xludf.DUMMYFUNCTION("""COMPUTED_VALUE"""),"Aliens ")</f>
        <v>Aliens </v>
      </c>
      <c r="AE2363">
        <f t="shared" si="66"/>
        <v>85199846</v>
      </c>
    </row>
    <row r="2364" customHeight="1" spans="1:31">
      <c r="A2364" s="2" t="s">
        <v>2557</v>
      </c>
      <c r="B2364" s="2">
        <v>94</v>
      </c>
      <c r="C2364" s="2">
        <v>42672630</v>
      </c>
      <c r="D2364" s="2" t="s">
        <v>4826</v>
      </c>
      <c r="E2364" s="2" t="s">
        <v>13</v>
      </c>
      <c r="F2364" t="s">
        <v>72</v>
      </c>
      <c r="G2364" t="s">
        <v>72</v>
      </c>
      <c r="N2364" s="2" t="s">
        <v>18</v>
      </c>
      <c r="O2364" s="2" t="s">
        <v>19</v>
      </c>
      <c r="P2364" s="2">
        <v>17000000</v>
      </c>
      <c r="Q2364" s="2">
        <v>5.3</v>
      </c>
      <c r="R2364" s="2" t="s">
        <v>4827</v>
      </c>
      <c r="S2364" s="2"/>
      <c r="AC2364" s="2"/>
      <c r="AD2364" t="str">
        <f>IFERROR(__xludf.DUMMYFUNCTION("""COMPUTED_VALUE"""),"My Fair Lady ")</f>
        <v>My Fair Lady </v>
      </c>
      <c r="AE2364">
        <f t="shared" si="66"/>
        <v>71999830</v>
      </c>
    </row>
    <row r="2365" customHeight="1" spans="1:31">
      <c r="A2365" s="2" t="s">
        <v>2559</v>
      </c>
      <c r="B2365" s="2">
        <v>112</v>
      </c>
      <c r="C2365" s="2">
        <v>42919096</v>
      </c>
      <c r="D2365" s="2" t="s">
        <v>355</v>
      </c>
      <c r="E2365" s="2" t="s">
        <v>12</v>
      </c>
      <c r="F2365" t="s">
        <v>28</v>
      </c>
      <c r="G2365" t="s">
        <v>24</v>
      </c>
      <c r="N2365" s="2" t="s">
        <v>18</v>
      </c>
      <c r="O2365" s="2" t="s">
        <v>19</v>
      </c>
      <c r="P2365" s="2">
        <v>15000000</v>
      </c>
      <c r="Q2365" s="2">
        <v>6.5</v>
      </c>
      <c r="R2365" s="2" t="s">
        <v>4828</v>
      </c>
      <c r="S2365" s="2"/>
      <c r="AC2365" s="2"/>
      <c r="AD2365" t="str">
        <f>IFERROR(__xludf.DUMMYFUNCTION("""COMPUTED_VALUE"""),"I Know What You Did Last Summer ")</f>
        <v>I Know What You Did Last Summer </v>
      </c>
      <c r="AE2365">
        <f t="shared" si="66"/>
        <v>72219296</v>
      </c>
    </row>
    <row r="2366" customHeight="1" spans="1:31">
      <c r="A2366" s="2" t="s">
        <v>2562</v>
      </c>
      <c r="B2366" s="2">
        <v>98</v>
      </c>
      <c r="C2366" s="2">
        <v>42592530</v>
      </c>
      <c r="D2366" s="2" t="s">
        <v>340</v>
      </c>
      <c r="E2366" s="2" t="s">
        <v>40</v>
      </c>
      <c r="F2366" t="s">
        <v>56</v>
      </c>
      <c r="G2366" t="s">
        <v>65</v>
      </c>
      <c r="N2366" s="2" t="s">
        <v>18</v>
      </c>
      <c r="O2366" s="2" t="s">
        <v>19</v>
      </c>
      <c r="P2366" s="2">
        <v>15000000</v>
      </c>
      <c r="Q2366" s="2">
        <v>6.2</v>
      </c>
      <c r="R2366" s="2" t="s">
        <v>4829</v>
      </c>
      <c r="S2366" s="2"/>
      <c r="AC2366" s="2"/>
      <c r="AD2366" t="str">
        <f>IFERROR(__xludf.DUMMYFUNCTION("""COMPUTED_VALUE"""),"Let's Be Cops ")</f>
        <v>Let's Be Cops </v>
      </c>
      <c r="AE2366">
        <f t="shared" si="66"/>
        <v>82389456</v>
      </c>
    </row>
    <row r="2367" customHeight="1" spans="1:31">
      <c r="A2367" s="2" t="s">
        <v>1225</v>
      </c>
      <c r="B2367" s="2">
        <v>104</v>
      </c>
      <c r="C2367" s="2">
        <v>40064955</v>
      </c>
      <c r="D2367" s="2" t="s">
        <v>2946</v>
      </c>
      <c r="E2367" s="2" t="s">
        <v>72</v>
      </c>
      <c r="F2367" t="s">
        <v>30</v>
      </c>
      <c r="G2367" t="s">
        <v>29</v>
      </c>
      <c r="N2367" s="2" t="s">
        <v>18</v>
      </c>
      <c r="O2367" s="2" t="s">
        <v>19</v>
      </c>
      <c r="P2367" s="2">
        <v>15000000</v>
      </c>
      <c r="Q2367" s="2">
        <v>6.4</v>
      </c>
      <c r="R2367" s="2" t="s">
        <v>4830</v>
      </c>
      <c r="S2367" s="2"/>
      <c r="AC2367" s="2"/>
      <c r="AD2367" t="str">
        <f>IFERROR(__xludf.DUMMYFUNCTION("""COMPUTED_VALUE"""),"Sideways ")</f>
        <v>Sideways </v>
      </c>
      <c r="AE2367">
        <f t="shared" si="66"/>
        <v>71502177</v>
      </c>
    </row>
    <row r="2368" customHeight="1" spans="1:31">
      <c r="A2368" s="2" t="s">
        <v>523</v>
      </c>
      <c r="B2368" s="2">
        <v>120</v>
      </c>
      <c r="C2368" s="2">
        <v>44886089</v>
      </c>
      <c r="D2368" s="2" t="s">
        <v>805</v>
      </c>
      <c r="E2368" s="2" t="s">
        <v>56</v>
      </c>
      <c r="F2368" t="s">
        <v>17</v>
      </c>
      <c r="G2368" t="s">
        <v>17</v>
      </c>
      <c r="N2368" s="2" t="s">
        <v>18</v>
      </c>
      <c r="O2368" s="2" t="s">
        <v>19</v>
      </c>
      <c r="P2368" s="2">
        <v>10000000</v>
      </c>
      <c r="Q2368" s="2">
        <v>6.9</v>
      </c>
      <c r="R2368" s="2" t="s">
        <v>4831</v>
      </c>
      <c r="S2368" s="2"/>
      <c r="AC2368" s="2"/>
      <c r="AD2368" t="str">
        <f>IFERROR(__xludf.DUMMYFUNCTION("""COMPUTED_VALUE"""),"Beerfest ")</f>
        <v>Beerfest </v>
      </c>
      <c r="AE2368">
        <f t="shared" si="66"/>
        <v>19179859</v>
      </c>
    </row>
    <row r="2369" customHeight="1" spans="1:31">
      <c r="A2369" s="2" t="s">
        <v>2564</v>
      </c>
      <c r="B2369" s="2">
        <v>99</v>
      </c>
      <c r="C2369" s="2">
        <v>37882551</v>
      </c>
      <c r="D2369" s="2" t="s">
        <v>40</v>
      </c>
      <c r="E2369" s="2" t="s">
        <v>40</v>
      </c>
      <c r="F2369" t="s">
        <v>30</v>
      </c>
      <c r="G2369" t="s">
        <v>16</v>
      </c>
      <c r="N2369" s="2" t="s">
        <v>18</v>
      </c>
      <c r="O2369" s="2" t="s">
        <v>19</v>
      </c>
      <c r="P2369" s="2">
        <v>16000000</v>
      </c>
      <c r="Q2369" s="2">
        <v>5.7</v>
      </c>
      <c r="R2369" s="2" t="s">
        <v>4832</v>
      </c>
      <c r="S2369" s="2"/>
      <c r="AC2369" s="2"/>
      <c r="AD2369" t="str">
        <f>IFERROR(__xludf.DUMMYFUNCTION("""COMPUTED_VALUE"""),"Halloween ")</f>
        <v>Halloween </v>
      </c>
      <c r="AE2369">
        <f t="shared" si="66"/>
        <v>46999899</v>
      </c>
    </row>
    <row r="2370" customHeight="1" spans="1:31">
      <c r="A2370" s="2" t="s">
        <v>210</v>
      </c>
      <c r="B2370" s="2">
        <v>109</v>
      </c>
      <c r="C2370" s="2">
        <v>40983001</v>
      </c>
      <c r="D2370" s="2" t="s">
        <v>805</v>
      </c>
      <c r="E2370" s="2" t="s">
        <v>56</v>
      </c>
      <c r="F2370" t="s">
        <v>40</v>
      </c>
      <c r="G2370" t="s">
        <v>17</v>
      </c>
      <c r="N2370" s="2" t="s">
        <v>18</v>
      </c>
      <c r="O2370" s="2" t="s">
        <v>19</v>
      </c>
      <c r="P2370" s="2">
        <v>7000000</v>
      </c>
      <c r="Q2370" s="2">
        <v>7.7</v>
      </c>
      <c r="R2370" s="2" t="s">
        <v>4833</v>
      </c>
      <c r="S2370" s="2"/>
      <c r="AC2370" s="2"/>
      <c r="AD2370" t="str">
        <f>IFERROR(__xludf.DUMMYFUNCTION("""COMPUTED_VALUE"""),"Good Boy! ")</f>
        <v>Good Boy! </v>
      </c>
      <c r="AE2370">
        <f t="shared" si="66"/>
        <v>37566143</v>
      </c>
    </row>
    <row r="2371" customHeight="1" spans="1:31">
      <c r="A2371" s="2" t="s">
        <v>207</v>
      </c>
      <c r="B2371" s="2">
        <v>106</v>
      </c>
      <c r="C2371" s="2">
        <v>35007180</v>
      </c>
      <c r="D2371" s="2" t="s">
        <v>186</v>
      </c>
      <c r="E2371" s="2" t="s">
        <v>12</v>
      </c>
      <c r="F2371" t="s">
        <v>72</v>
      </c>
      <c r="G2371" t="s">
        <v>17</v>
      </c>
      <c r="N2371" s="2" t="s">
        <v>18</v>
      </c>
      <c r="O2371" s="2" t="s">
        <v>19</v>
      </c>
      <c r="P2371" s="2">
        <v>15000000</v>
      </c>
      <c r="Q2371" s="2">
        <v>5.6</v>
      </c>
      <c r="R2371" s="2" t="s">
        <v>4834</v>
      </c>
      <c r="S2371" s="2"/>
      <c r="AC2371" s="2"/>
      <c r="AD2371" t="str">
        <f>IFERROR(__xludf.DUMMYFUNCTION("""COMPUTED_VALUE"""),"The Best Man Holiday ")</f>
        <v>The Best Man Holiday </v>
      </c>
      <c r="AE2371">
        <f t="shared" si="66"/>
        <v>70492562</v>
      </c>
    </row>
    <row r="2372" customHeight="1" spans="1:31">
      <c r="A2372" s="2" t="s">
        <v>2567</v>
      </c>
      <c r="B2372" s="2">
        <v>123</v>
      </c>
      <c r="C2372" s="2">
        <v>35887263</v>
      </c>
      <c r="D2372" s="2" t="s">
        <v>2624</v>
      </c>
      <c r="E2372" s="2" t="s">
        <v>59</v>
      </c>
      <c r="F2372" t="s">
        <v>24</v>
      </c>
      <c r="G2372" t="s">
        <v>83</v>
      </c>
      <c r="N2372" s="2" t="s">
        <v>18</v>
      </c>
      <c r="O2372" s="2" t="s">
        <v>31</v>
      </c>
      <c r="P2372" s="2">
        <v>15000000</v>
      </c>
      <c r="Q2372" s="2">
        <v>7.7</v>
      </c>
      <c r="R2372" s="2" t="s">
        <v>4835</v>
      </c>
      <c r="S2372" s="2"/>
      <c r="AC2372" s="2"/>
      <c r="AD2372" t="str">
        <f>IFERROR(__xludf.DUMMYFUNCTION("""COMPUTED_VALUE"""),"Smokin' Aces ")</f>
        <v>Smokin' Aces </v>
      </c>
      <c r="AE2372">
        <f t="shared" si="66"/>
        <v>35634937</v>
      </c>
    </row>
    <row r="2373" customHeight="1" spans="1:31">
      <c r="A2373" s="2" t="s">
        <v>1507</v>
      </c>
      <c r="B2373" s="2">
        <v>86</v>
      </c>
      <c r="C2373" s="2">
        <v>34308901</v>
      </c>
      <c r="D2373" s="2" t="s">
        <v>383</v>
      </c>
      <c r="E2373" s="2" t="s">
        <v>40</v>
      </c>
      <c r="F2373" t="s">
        <v>40</v>
      </c>
      <c r="G2373" t="s">
        <v>24</v>
      </c>
      <c r="N2373" s="2" t="s">
        <v>18</v>
      </c>
      <c r="O2373" s="2" t="s">
        <v>19</v>
      </c>
      <c r="P2373" s="2">
        <v>16000000</v>
      </c>
      <c r="Q2373" s="2">
        <v>5.1</v>
      </c>
      <c r="R2373" s="2" t="s">
        <v>4836</v>
      </c>
      <c r="S2373" s="2"/>
      <c r="AC2373" s="2"/>
      <c r="AD2373" t="str">
        <f>IFERROR(__xludf.DUMMYFUNCTION("""COMPUTED_VALUE"""),"Saw 3D: The Final Chapter ")</f>
        <v>Saw 3D: The Final Chapter </v>
      </c>
      <c r="AE2373">
        <f t="shared" si="66"/>
        <v>45670765</v>
      </c>
    </row>
    <row r="2374" customHeight="1" spans="1:31">
      <c r="A2374" s="2" t="s">
        <v>2569</v>
      </c>
      <c r="B2374" s="2">
        <v>120</v>
      </c>
      <c r="C2374" s="2">
        <v>33771174</v>
      </c>
      <c r="D2374" s="2" t="s">
        <v>521</v>
      </c>
      <c r="E2374" s="2" t="s">
        <v>40</v>
      </c>
      <c r="F2374" t="s">
        <v>30</v>
      </c>
      <c r="G2374" t="s">
        <v>14</v>
      </c>
      <c r="N2374" s="2" t="s">
        <v>18</v>
      </c>
      <c r="O2374" s="2" t="s">
        <v>19</v>
      </c>
      <c r="P2374" s="2">
        <v>15000000</v>
      </c>
      <c r="Q2374" s="2">
        <v>6.8</v>
      </c>
      <c r="R2374" s="2" t="s">
        <v>4837</v>
      </c>
      <c r="S2374" s="2"/>
      <c r="AC2374" s="2"/>
      <c r="AD2374" t="str">
        <f>IFERROR(__xludf.DUMMYFUNCTION("""COMPUTED_VALUE"""),"40 Days and 40 Nights ")</f>
        <v>40 Days and 40 Nights </v>
      </c>
      <c r="AE2374">
        <f t="shared" si="66"/>
        <v>37939686</v>
      </c>
    </row>
    <row r="2375" customHeight="1" spans="1:31">
      <c r="A2375" s="2" t="s">
        <v>1954</v>
      </c>
      <c r="B2375" s="2">
        <v>227</v>
      </c>
      <c r="C2375" s="2">
        <v>6000000</v>
      </c>
      <c r="D2375" s="2" t="s">
        <v>1371</v>
      </c>
      <c r="E2375" s="2" t="s">
        <v>13</v>
      </c>
      <c r="F2375" t="s">
        <v>56</v>
      </c>
      <c r="G2375" t="s">
        <v>72</v>
      </c>
      <c r="N2375" s="2" t="s">
        <v>18</v>
      </c>
      <c r="O2375" s="2" t="s">
        <v>31</v>
      </c>
      <c r="P2375" s="2">
        <v>15000000</v>
      </c>
      <c r="Q2375" s="2">
        <v>8.4</v>
      </c>
      <c r="R2375" s="2" t="s">
        <v>4838</v>
      </c>
      <c r="S2375" s="2"/>
      <c r="AC2375" s="2"/>
      <c r="AD2375" t="str">
        <f>IFERROR(__xludf.DUMMYFUNCTION("""COMPUTED_VALUE"""),"A Night at the Roxbury ")</f>
        <v>A Night at the Roxbury </v>
      </c>
      <c r="AE2375">
        <f t="shared" si="66"/>
        <v>30324864</v>
      </c>
    </row>
    <row r="2376" customHeight="1" spans="1:31">
      <c r="A2376" s="2" t="s">
        <v>2571</v>
      </c>
      <c r="B2376" s="2">
        <v>119</v>
      </c>
      <c r="C2376" s="2">
        <v>33386128</v>
      </c>
      <c r="D2376" s="2" t="s">
        <v>72</v>
      </c>
      <c r="E2376" s="2" t="s">
        <v>72</v>
      </c>
      <c r="F2376" t="s">
        <v>40</v>
      </c>
      <c r="G2376" t="s">
        <v>72</v>
      </c>
      <c r="N2376" s="2" t="s">
        <v>18</v>
      </c>
      <c r="O2376" s="2" t="s">
        <v>19</v>
      </c>
      <c r="P2376" s="2">
        <v>15000000</v>
      </c>
      <c r="Q2376" s="2">
        <v>4.9</v>
      </c>
      <c r="R2376" s="2" t="s">
        <v>4839</v>
      </c>
      <c r="S2376" s="2"/>
      <c r="AC2376" s="2"/>
      <c r="AD2376" t="str">
        <f>IFERROR(__xludf.DUMMYFUNCTION("""COMPUTED_VALUE"""),"Beastly ")</f>
        <v>Beastly </v>
      </c>
      <c r="AE2376">
        <f t="shared" si="66"/>
        <v>27854810</v>
      </c>
    </row>
    <row r="2377" customHeight="1" spans="1:31">
      <c r="A2377" s="2" t="s">
        <v>1701</v>
      </c>
      <c r="B2377" s="2">
        <v>115</v>
      </c>
      <c r="C2377" s="2">
        <v>37877959</v>
      </c>
      <c r="D2377" s="2" t="s">
        <v>4464</v>
      </c>
      <c r="E2377" s="2" t="s">
        <v>13</v>
      </c>
      <c r="F2377" t="s">
        <v>30</v>
      </c>
      <c r="G2377" t="s">
        <v>30</v>
      </c>
      <c r="N2377" s="2" t="s">
        <v>18</v>
      </c>
      <c r="O2377" s="2" t="s">
        <v>19</v>
      </c>
      <c r="P2377" s="2">
        <v>15000000</v>
      </c>
      <c r="Q2377" s="2">
        <v>7.1</v>
      </c>
      <c r="R2377" s="2" t="s">
        <v>4840</v>
      </c>
      <c r="S2377" s="2"/>
      <c r="AC2377" s="2"/>
      <c r="AD2377" t="str">
        <f>IFERROR(__xludf.DUMMYFUNCTION("""COMPUTED_VALUE"""),"The Hills Have Eyes ")</f>
        <v>The Hills Have Eyes </v>
      </c>
      <c r="AE2377">
        <f t="shared" si="66"/>
        <v>41777456</v>
      </c>
    </row>
    <row r="2378" customHeight="1" spans="1:31">
      <c r="A2378" s="2" t="s">
        <v>2573</v>
      </c>
      <c r="B2378" s="2">
        <v>114</v>
      </c>
      <c r="C2378" s="2">
        <v>32721635</v>
      </c>
      <c r="D2378" s="2" t="s">
        <v>2833</v>
      </c>
      <c r="E2378" s="2" t="s">
        <v>56</v>
      </c>
      <c r="F2378" t="s">
        <v>72</v>
      </c>
      <c r="G2378" t="s">
        <v>17</v>
      </c>
      <c r="N2378" s="2" t="s">
        <v>18</v>
      </c>
      <c r="O2378" s="2" t="s">
        <v>19</v>
      </c>
      <c r="P2378" s="2">
        <v>15000000</v>
      </c>
      <c r="Q2378" s="2">
        <v>6.6</v>
      </c>
      <c r="R2378" s="2" t="s">
        <v>4841</v>
      </c>
      <c r="S2378" s="2"/>
      <c r="AC2378" s="2"/>
      <c r="AD2378" t="str">
        <f>IFERROR(__xludf.DUMMYFUNCTION("""COMPUTED_VALUE"""),"Dickie Roberts: Former Child Star ")</f>
        <v>Dickie Roberts: Former Child Star </v>
      </c>
      <c r="AE2378">
        <f t="shared" si="66"/>
        <v>22734388</v>
      </c>
    </row>
    <row r="2379" customHeight="1" spans="1:31">
      <c r="A2379" s="2" t="s">
        <v>2517</v>
      </c>
      <c r="B2379" s="2">
        <v>90</v>
      </c>
      <c r="C2379" s="2">
        <v>31585300</v>
      </c>
      <c r="D2379" s="2" t="s">
        <v>607</v>
      </c>
      <c r="E2379" s="2" t="s">
        <v>40</v>
      </c>
      <c r="F2379" t="s">
        <v>24</v>
      </c>
      <c r="G2379" t="s">
        <v>17</v>
      </c>
      <c r="N2379" s="2" t="s">
        <v>18</v>
      </c>
      <c r="O2379" s="2" t="s">
        <v>19</v>
      </c>
      <c r="P2379" s="2">
        <v>15000000</v>
      </c>
      <c r="Q2379" s="2">
        <v>6.1</v>
      </c>
      <c r="R2379" s="2" t="s">
        <v>4842</v>
      </c>
      <c r="S2379" s="2"/>
      <c r="AC2379" s="2"/>
      <c r="AD2379" t="str">
        <f>IFERROR(__xludf.DUMMYFUNCTION("""COMPUTED_VALUE"""),"McFarland, USA ")</f>
        <v>McFarland, USA </v>
      </c>
      <c r="AE2379">
        <f t="shared" si="66"/>
        <v>44469473</v>
      </c>
    </row>
    <row r="2380" customHeight="1" spans="1:31">
      <c r="A2380" s="2" t="s">
        <v>2575</v>
      </c>
      <c r="B2380" s="2">
        <v>94</v>
      </c>
      <c r="C2380" s="2">
        <v>30259652</v>
      </c>
      <c r="D2380" s="2" t="s">
        <v>4843</v>
      </c>
      <c r="E2380" s="2" t="s">
        <v>40</v>
      </c>
      <c r="F2380" t="s">
        <v>28</v>
      </c>
      <c r="G2380" t="s">
        <v>17</v>
      </c>
      <c r="N2380" s="2" t="s">
        <v>18</v>
      </c>
      <c r="O2380" s="2" t="s">
        <v>19</v>
      </c>
      <c r="P2380" s="2">
        <v>15000000</v>
      </c>
      <c r="Q2380" s="2">
        <v>4.1</v>
      </c>
      <c r="R2380" s="2" t="s">
        <v>4844</v>
      </c>
      <c r="S2380" s="2"/>
      <c r="AC2380" s="2"/>
      <c r="AD2380" t="str">
        <f>IFERROR(__xludf.DUMMYFUNCTION("""COMPUTED_VALUE"""),"Pitch Perfect ")</f>
        <v>Pitch Perfect </v>
      </c>
      <c r="AE2380">
        <f t="shared" si="66"/>
        <v>64998256</v>
      </c>
    </row>
    <row r="2381" customHeight="1" spans="1:31">
      <c r="A2381" s="2" t="s">
        <v>1030</v>
      </c>
      <c r="B2381" s="2">
        <v>98</v>
      </c>
      <c r="C2381" s="2">
        <v>30857814</v>
      </c>
      <c r="D2381" s="2" t="s">
        <v>1368</v>
      </c>
      <c r="E2381" s="2" t="s">
        <v>13</v>
      </c>
      <c r="F2381" t="s">
        <v>30</v>
      </c>
      <c r="G2381" t="s">
        <v>17</v>
      </c>
      <c r="N2381" s="2" t="s">
        <v>18</v>
      </c>
      <c r="O2381" s="2" t="s">
        <v>19</v>
      </c>
      <c r="P2381" s="2">
        <v>16000000</v>
      </c>
      <c r="Q2381" s="2">
        <v>8.1</v>
      </c>
      <c r="R2381" s="2" t="s">
        <v>4845</v>
      </c>
      <c r="S2381" s="2"/>
      <c r="AC2381" s="2"/>
      <c r="AD2381" t="str">
        <f>IFERROR(__xludf.DUMMYFUNCTION("""COMPUTED_VALUE"""),"Summer Catch ")</f>
        <v>Summer Catch </v>
      </c>
      <c r="AE2381">
        <f t="shared" si="66"/>
        <v>19693783</v>
      </c>
    </row>
    <row r="2382" customHeight="1" spans="1:31">
      <c r="A2382" s="2" t="s">
        <v>2577</v>
      </c>
      <c r="B2382" s="2">
        <v>126</v>
      </c>
      <c r="C2382" s="2">
        <v>30226144</v>
      </c>
      <c r="D2382" s="2" t="s">
        <v>562</v>
      </c>
      <c r="E2382" s="2" t="s">
        <v>59</v>
      </c>
      <c r="F2382" t="s">
        <v>17</v>
      </c>
      <c r="G2382" t="s">
        <v>17</v>
      </c>
      <c r="N2382" s="2" t="s">
        <v>18</v>
      </c>
      <c r="O2382" s="2" t="s">
        <v>19</v>
      </c>
      <c r="P2382" s="2">
        <v>15000000</v>
      </c>
      <c r="Q2382" s="2">
        <v>7.6</v>
      </c>
      <c r="R2382" s="2" t="s">
        <v>4846</v>
      </c>
      <c r="S2382" s="2"/>
      <c r="AC2382" s="2"/>
      <c r="AD2382" t="str">
        <f>IFERROR(__xludf.DUMMYFUNCTION("""COMPUTED_VALUE"""),"A Simple Plan ")</f>
        <v>A Simple Plan </v>
      </c>
      <c r="AE2382">
        <f t="shared" si="66"/>
        <v>16311642</v>
      </c>
    </row>
    <row r="2383" customHeight="1" spans="1:31">
      <c r="A2383" s="2" t="s">
        <v>2580</v>
      </c>
      <c r="B2383" s="2">
        <v>100</v>
      </c>
      <c r="C2383" s="2">
        <v>35054909</v>
      </c>
      <c r="D2383" s="2" t="s">
        <v>718</v>
      </c>
      <c r="E2383" s="2" t="s">
        <v>56</v>
      </c>
      <c r="F2383" t="s">
        <v>23</v>
      </c>
      <c r="G2383" t="s">
        <v>24</v>
      </c>
      <c r="N2383" s="2" t="s">
        <v>18</v>
      </c>
      <c r="O2383" s="2" t="s">
        <v>19</v>
      </c>
      <c r="P2383" s="2">
        <v>15000000</v>
      </c>
      <c r="Q2383" s="2">
        <v>7.8</v>
      </c>
      <c r="R2383" s="2" t="s">
        <v>4847</v>
      </c>
      <c r="S2383" s="2"/>
      <c r="AC2383" s="2"/>
      <c r="AD2383" t="str">
        <f>IFERROR(__xludf.DUMMYFUNCTION("""COMPUTED_VALUE"""),"They ")</f>
        <v>They </v>
      </c>
      <c r="AE2383">
        <f t="shared" si="66"/>
        <v>12693532</v>
      </c>
    </row>
    <row r="2384" customHeight="1" spans="1:31">
      <c r="A2384" s="2" t="s">
        <v>2582</v>
      </c>
      <c r="B2384" s="2">
        <v>89</v>
      </c>
      <c r="C2384" s="2">
        <v>29302097</v>
      </c>
      <c r="D2384" s="2" t="s">
        <v>4848</v>
      </c>
      <c r="E2384" s="2" t="s">
        <v>40</v>
      </c>
      <c r="F2384" t="s">
        <v>17</v>
      </c>
      <c r="G2384" t="s">
        <v>30</v>
      </c>
      <c r="N2384" s="2" t="s">
        <v>18</v>
      </c>
      <c r="O2384" s="2" t="s">
        <v>293</v>
      </c>
      <c r="P2384" s="2">
        <v>15000000</v>
      </c>
      <c r="Q2384" s="2">
        <v>4.6</v>
      </c>
      <c r="R2384" s="2" t="s">
        <v>4849</v>
      </c>
      <c r="S2384" s="2"/>
      <c r="AC2384" s="2"/>
      <c r="AD2384" t="str">
        <f>IFERROR(__xludf.DUMMYFUNCTION("""COMPUTED_VALUE"""),"Larry the Cable Guy: Health Inspector ")</f>
        <v>Larry the Cable Guy: Health Inspector </v>
      </c>
      <c r="AE2384">
        <f t="shared" si="66"/>
        <v>15655576</v>
      </c>
    </row>
    <row r="2385" customHeight="1" spans="1:31">
      <c r="A2385" s="2" t="s">
        <v>2397</v>
      </c>
      <c r="B2385" s="2">
        <v>111</v>
      </c>
      <c r="C2385" s="2">
        <v>29106737</v>
      </c>
      <c r="D2385" s="2" t="s">
        <v>521</v>
      </c>
      <c r="E2385" s="2" t="s">
        <v>40</v>
      </c>
      <c r="F2385" t="s">
        <v>55</v>
      </c>
      <c r="G2385" t="s">
        <v>24</v>
      </c>
      <c r="N2385" s="2" t="s">
        <v>18</v>
      </c>
      <c r="O2385" s="2" t="s">
        <v>19</v>
      </c>
      <c r="P2385" s="2">
        <v>15000000</v>
      </c>
      <c r="Q2385" s="2">
        <v>6</v>
      </c>
      <c r="R2385" s="2" t="s">
        <v>4850</v>
      </c>
      <c r="S2385" s="2"/>
      <c r="AC2385" s="2"/>
      <c r="AD2385" t="str">
        <f>IFERROR(__xludf.DUMMYFUNCTION("""COMPUTED_VALUE"""),"The Adventures of Elmo in Grouchland ")</f>
        <v>The Adventures of Elmo in Grouchland </v>
      </c>
      <c r="AE2385">
        <f t="shared" si="66"/>
        <v>11634385</v>
      </c>
    </row>
    <row r="2386" customHeight="1" spans="1:31">
      <c r="A2386" s="2" t="s">
        <v>2584</v>
      </c>
      <c r="B2386" s="2">
        <v>100</v>
      </c>
      <c r="C2386" s="2">
        <v>28637507</v>
      </c>
      <c r="D2386" s="2" t="s">
        <v>299</v>
      </c>
      <c r="E2386" s="2" t="s">
        <v>30</v>
      </c>
      <c r="F2386" t="s">
        <v>30</v>
      </c>
      <c r="G2386" t="s">
        <v>15</v>
      </c>
      <c r="N2386" s="2" t="s">
        <v>18</v>
      </c>
      <c r="O2386" s="2" t="s">
        <v>31</v>
      </c>
      <c r="P2386" s="2">
        <v>15000000</v>
      </c>
      <c r="Q2386" s="2">
        <v>7</v>
      </c>
      <c r="R2386" s="2" t="s">
        <v>4851</v>
      </c>
      <c r="S2386" s="2"/>
      <c r="AC2386" s="2"/>
      <c r="AD2386" t="str">
        <f>IFERROR(__xludf.DUMMYFUNCTION("""COMPUTED_VALUE"""),"Brooklyn's Finest ")</f>
        <v>Brooklyn's Finest </v>
      </c>
      <c r="AE2386">
        <f t="shared" si="66"/>
        <v>27154294</v>
      </c>
    </row>
    <row r="2387" customHeight="1" spans="1:31">
      <c r="A2387" s="2" t="s">
        <v>1390</v>
      </c>
      <c r="B2387" s="2">
        <v>115</v>
      </c>
      <c r="C2387" s="2">
        <v>30127963</v>
      </c>
      <c r="D2387" s="2" t="s">
        <v>3339</v>
      </c>
      <c r="E2387" s="2" t="s">
        <v>30</v>
      </c>
      <c r="F2387" t="s">
        <v>17</v>
      </c>
      <c r="G2387" t="s">
        <v>71</v>
      </c>
      <c r="N2387" s="2" t="s">
        <v>18</v>
      </c>
      <c r="O2387" s="2" t="s">
        <v>19</v>
      </c>
      <c r="P2387" s="2">
        <v>15000000</v>
      </c>
      <c r="Q2387" s="2">
        <v>6.7</v>
      </c>
      <c r="R2387" s="2" t="s">
        <v>4852</v>
      </c>
      <c r="S2387" s="2"/>
      <c r="AC2387" s="2"/>
      <c r="AD2387" t="str">
        <f>IFERROR(__xludf.DUMMYFUNCTION("""COMPUTED_VALUE"""),"Evil Dead ")</f>
        <v>Evil Dead </v>
      </c>
      <c r="AE2387">
        <f t="shared" si="66"/>
        <v>54239760</v>
      </c>
    </row>
    <row r="2388" customHeight="1" spans="1:31">
      <c r="A2388" s="2" t="s">
        <v>1176</v>
      </c>
      <c r="B2388" s="2">
        <v>106</v>
      </c>
      <c r="C2388" s="2">
        <v>32645546</v>
      </c>
      <c r="D2388" s="2" t="s">
        <v>1590</v>
      </c>
      <c r="E2388" s="2" t="s">
        <v>40</v>
      </c>
      <c r="F2388" t="s">
        <v>56</v>
      </c>
      <c r="G2388" t="s">
        <v>83</v>
      </c>
      <c r="N2388" s="2" t="s">
        <v>18</v>
      </c>
      <c r="O2388" s="2" t="s">
        <v>19</v>
      </c>
      <c r="P2388" s="2">
        <v>14000000</v>
      </c>
      <c r="Q2388" s="2">
        <v>6.4</v>
      </c>
      <c r="R2388" s="2" t="s">
        <v>4853</v>
      </c>
      <c r="S2388" s="2"/>
      <c r="AC2388" s="2"/>
      <c r="AD2388" t="str">
        <f>IFERROR(__xludf.DUMMYFUNCTION("""COMPUTED_VALUE"""),"My Life in Ruins ")</f>
        <v>My Life in Ruins </v>
      </c>
      <c r="AE2388">
        <f t="shared" si="66"/>
        <v>8662220</v>
      </c>
    </row>
    <row r="2389" customHeight="1" spans="1:31">
      <c r="A2389" s="2" t="s">
        <v>2586</v>
      </c>
      <c r="B2389" s="2">
        <v>124</v>
      </c>
      <c r="C2389" s="2">
        <v>27441122</v>
      </c>
      <c r="D2389" s="2" t="s">
        <v>2015</v>
      </c>
      <c r="E2389" s="2" t="s">
        <v>30</v>
      </c>
      <c r="F2389" t="s">
        <v>24</v>
      </c>
      <c r="G2389" t="s">
        <v>15</v>
      </c>
      <c r="N2389" s="2" t="s">
        <v>18</v>
      </c>
      <c r="O2389" s="2" t="s">
        <v>19</v>
      </c>
      <c r="P2389" s="2">
        <v>15000000</v>
      </c>
      <c r="Q2389" s="2">
        <v>7.2</v>
      </c>
      <c r="R2389" s="2" t="s">
        <v>4854</v>
      </c>
      <c r="S2389" s="2"/>
      <c r="AC2389" s="2"/>
      <c r="AD2389" t="str">
        <f>IFERROR(__xludf.DUMMYFUNCTION("""COMPUTED_VALUE"""),"American Dreamz ")</f>
        <v>American Dreamz </v>
      </c>
      <c r="AE2389">
        <f t="shared" si="66"/>
        <v>7156618</v>
      </c>
    </row>
    <row r="2390" customHeight="1" spans="1:31">
      <c r="A2390" s="2" t="s">
        <v>1360</v>
      </c>
      <c r="B2390" s="2">
        <v>107</v>
      </c>
      <c r="C2390" s="2">
        <v>28014536</v>
      </c>
      <c r="D2390" s="2" t="s">
        <v>559</v>
      </c>
      <c r="E2390" s="2" t="s">
        <v>12</v>
      </c>
      <c r="F2390" t="s">
        <v>83</v>
      </c>
      <c r="G2390" t="s">
        <v>24</v>
      </c>
      <c r="N2390" s="2" t="s">
        <v>18</v>
      </c>
      <c r="O2390" s="2" t="s">
        <v>19</v>
      </c>
      <c r="P2390" s="2">
        <v>15000000</v>
      </c>
      <c r="Q2390" s="2">
        <v>7.4</v>
      </c>
      <c r="R2390" s="2" t="s">
        <v>4855</v>
      </c>
      <c r="S2390" s="2"/>
      <c r="AC2390" s="2"/>
      <c r="AD2390" t="str">
        <f>IFERROR(__xludf.DUMMYFUNCTION("""COMPUTED_VALUE"""),"Superman IV: The Quest for Peace ")</f>
        <v>Superman IV: The Quest for Peace </v>
      </c>
      <c r="AE2390">
        <f t="shared" si="66"/>
        <v>15680886</v>
      </c>
    </row>
    <row r="2391" customHeight="1" spans="1:31">
      <c r="A2391" s="2" t="s">
        <v>2588</v>
      </c>
      <c r="B2391" s="2">
        <v>99</v>
      </c>
      <c r="C2391" s="2">
        <v>33860010</v>
      </c>
      <c r="D2391" s="2" t="s">
        <v>607</v>
      </c>
      <c r="E2391" s="2" t="s">
        <v>40</v>
      </c>
      <c r="F2391" t="s">
        <v>40</v>
      </c>
      <c r="G2391" t="s">
        <v>17</v>
      </c>
      <c r="N2391" s="2" t="s">
        <v>18</v>
      </c>
      <c r="O2391" s="2" t="s">
        <v>19</v>
      </c>
      <c r="P2391" s="2">
        <v>15000000</v>
      </c>
      <c r="Q2391" s="2">
        <v>4.8</v>
      </c>
      <c r="R2391" s="2" t="s">
        <v>4856</v>
      </c>
      <c r="S2391" s="2"/>
      <c r="AC2391" s="2"/>
      <c r="AD2391" t="str">
        <f>IFERROR(__xludf.DUMMYFUNCTION("""COMPUTED_VALUE"""),"Running Scared ")</f>
        <v>Running Scared </v>
      </c>
      <c r="AE2391">
        <f t="shared" si="66"/>
        <v>6855015</v>
      </c>
    </row>
    <row r="2392" customHeight="1" spans="1:31">
      <c r="A2392" s="2" t="s">
        <v>2590</v>
      </c>
      <c r="B2392" s="2">
        <v>90</v>
      </c>
      <c r="C2392" s="2">
        <v>26421314</v>
      </c>
      <c r="D2392" s="2" t="s">
        <v>4857</v>
      </c>
      <c r="E2392" s="2" t="s">
        <v>13</v>
      </c>
      <c r="F2392" t="s">
        <v>56</v>
      </c>
      <c r="G2392" t="s">
        <v>17</v>
      </c>
      <c r="N2392" s="2" t="s">
        <v>18</v>
      </c>
      <c r="O2392" s="2" t="s">
        <v>19</v>
      </c>
      <c r="P2392" s="2">
        <v>15000000</v>
      </c>
      <c r="Q2392" s="2">
        <v>4</v>
      </c>
      <c r="R2392" s="2" t="s">
        <v>4858</v>
      </c>
      <c r="S2392" s="2"/>
      <c r="AC2392" s="2"/>
      <c r="AD2392" t="str">
        <f>IFERROR(__xludf.DUMMYFUNCTION("""COMPUTED_VALUE"""),"Shanghai Surprise ")</f>
        <v>Shanghai Surprise </v>
      </c>
      <c r="AE2392">
        <f t="shared" si="66"/>
        <v>2315586</v>
      </c>
    </row>
    <row r="2393" customHeight="1" spans="1:31">
      <c r="A2393" s="2" t="s">
        <v>2250</v>
      </c>
      <c r="B2393" s="2">
        <v>101</v>
      </c>
      <c r="C2393" s="2">
        <v>24881000</v>
      </c>
      <c r="D2393" s="2" t="s">
        <v>346</v>
      </c>
      <c r="E2393" s="2" t="s">
        <v>30</v>
      </c>
      <c r="F2393" t="s">
        <v>30</v>
      </c>
      <c r="G2393" t="s">
        <v>15</v>
      </c>
      <c r="N2393" s="2" t="s">
        <v>18</v>
      </c>
      <c r="O2393" s="2" t="s">
        <v>19</v>
      </c>
      <c r="P2393" s="2">
        <v>15000000</v>
      </c>
      <c r="Q2393" s="2">
        <v>6.2</v>
      </c>
      <c r="R2393" s="2" t="s">
        <v>4859</v>
      </c>
      <c r="S2393" s="2"/>
      <c r="AC2393" s="2"/>
      <c r="AD2393" t="str">
        <f>IFERROR(__xludf.DUMMYFUNCTION("""COMPUTED_VALUE"""),"The Illusionist ")</f>
        <v>The Illusionist </v>
      </c>
      <c r="AE2393">
        <f t="shared" si="66"/>
        <v>39825688</v>
      </c>
    </row>
    <row r="2394" customHeight="1" spans="1:31">
      <c r="A2394" s="2" t="s">
        <v>1814</v>
      </c>
      <c r="B2394" s="2">
        <v>119</v>
      </c>
      <c r="C2394" s="2">
        <v>23089926</v>
      </c>
      <c r="D2394" s="2" t="s">
        <v>3745</v>
      </c>
      <c r="E2394" s="2" t="s">
        <v>30</v>
      </c>
      <c r="F2394" t="s">
        <v>39</v>
      </c>
      <c r="G2394" t="s">
        <v>30</v>
      </c>
      <c r="N2394" s="2" t="s">
        <v>18</v>
      </c>
      <c r="O2394" s="2" t="s">
        <v>31</v>
      </c>
      <c r="P2394" s="2">
        <v>15000000</v>
      </c>
      <c r="Q2394" s="2">
        <v>7.7</v>
      </c>
      <c r="R2394" s="2" t="s">
        <v>4860</v>
      </c>
      <c r="S2394" s="2"/>
      <c r="AC2394" s="2"/>
      <c r="AD2394" t="str">
        <f>IFERROR(__xludf.DUMMYFUNCTION("""COMPUTED_VALUE"""),"Roar ")</f>
        <v>Roar </v>
      </c>
      <c r="AE2394">
        <f t="shared" si="66"/>
        <v>1999898</v>
      </c>
    </row>
    <row r="2395" customHeight="1" spans="1:31">
      <c r="A2395" s="2" t="s">
        <v>2592</v>
      </c>
      <c r="B2395" s="2">
        <v>103</v>
      </c>
      <c r="C2395" s="2">
        <v>26161406</v>
      </c>
      <c r="D2395" s="2" t="s">
        <v>301</v>
      </c>
      <c r="E2395" s="2" t="s">
        <v>13</v>
      </c>
      <c r="F2395" t="s">
        <v>30</v>
      </c>
      <c r="G2395" t="s">
        <v>24</v>
      </c>
      <c r="N2395" s="2" t="s">
        <v>18</v>
      </c>
      <c r="O2395" s="2" t="s">
        <v>19</v>
      </c>
      <c r="P2395" s="2">
        <v>15000000</v>
      </c>
      <c r="Q2395" s="2">
        <v>6.7</v>
      </c>
      <c r="R2395" s="2" t="s">
        <v>4861</v>
      </c>
      <c r="S2395" s="2"/>
      <c r="AC2395" s="2"/>
      <c r="AD2395" t="str">
        <f>IFERROR(__xludf.DUMMYFUNCTION("""COMPUTED_VALUE"""),"Veronica Guerin ")</f>
        <v>Veronica Guerin </v>
      </c>
      <c r="AE2395">
        <f t="shared" si="66"/>
        <v>1569820</v>
      </c>
    </row>
    <row r="2396" customHeight="1" spans="1:31">
      <c r="A2396" s="2" t="s">
        <v>2529</v>
      </c>
      <c r="B2396" s="2">
        <v>134</v>
      </c>
      <c r="C2396" s="2">
        <v>22954968</v>
      </c>
      <c r="D2396" s="2" t="s">
        <v>103</v>
      </c>
      <c r="E2396" s="2" t="s">
        <v>30</v>
      </c>
      <c r="F2396" t="s">
        <v>17</v>
      </c>
      <c r="G2396" t="s">
        <v>17</v>
      </c>
      <c r="N2396" s="2" t="s">
        <v>18</v>
      </c>
      <c r="O2396" s="2" t="s">
        <v>31</v>
      </c>
      <c r="P2396" s="2">
        <v>11500000</v>
      </c>
      <c r="Q2396" s="2">
        <v>7.9</v>
      </c>
      <c r="R2396" s="2" t="s">
        <v>4862</v>
      </c>
      <c r="S2396" s="2"/>
      <c r="AC2396" s="2"/>
      <c r="AD2396" t="str">
        <f>IFERROR(__xludf.DUMMYFUNCTION("""COMPUTED_VALUE"""),"Escobar: Paradise Lost ")</f>
        <v>Escobar: Paradise Lost </v>
      </c>
      <c r="AE2396">
        <f t="shared" si="66"/>
        <v>106749</v>
      </c>
    </row>
    <row r="2397" customHeight="1" spans="1:31">
      <c r="A2397" s="2" t="s">
        <v>1620</v>
      </c>
      <c r="B2397" s="2">
        <v>155</v>
      </c>
      <c r="C2397" s="2">
        <v>26384919</v>
      </c>
      <c r="D2397" s="2" t="s">
        <v>30</v>
      </c>
      <c r="E2397" s="2" t="s">
        <v>30</v>
      </c>
      <c r="F2397" t="s">
        <v>28</v>
      </c>
      <c r="G2397" t="s">
        <v>30</v>
      </c>
      <c r="N2397" s="2" t="s">
        <v>18</v>
      </c>
      <c r="O2397" s="2" t="s">
        <v>19</v>
      </c>
      <c r="P2397" s="2">
        <v>15000000</v>
      </c>
      <c r="Q2397" s="2">
        <v>7.9</v>
      </c>
      <c r="R2397" s="2" t="s">
        <v>4863</v>
      </c>
      <c r="S2397" s="2"/>
      <c r="AC2397" s="2"/>
      <c r="AD2397" t="str">
        <f>IFERROR(__xludf.DUMMYFUNCTION("""COMPUTED_VALUE"""),"Southland Tales ")</f>
        <v>Southland Tales </v>
      </c>
      <c r="AE2397">
        <f t="shared" si="66"/>
        <v>273260</v>
      </c>
    </row>
    <row r="2398" customHeight="1" spans="1:31">
      <c r="A2398" s="2" t="s">
        <v>2459</v>
      </c>
      <c r="B2398" s="2">
        <v>94</v>
      </c>
      <c r="C2398" s="2">
        <v>22189039</v>
      </c>
      <c r="D2398" s="2" t="s">
        <v>2398</v>
      </c>
      <c r="E2398" s="2" t="s">
        <v>12</v>
      </c>
      <c r="F2398" t="s">
        <v>56</v>
      </c>
      <c r="G2398" t="s">
        <v>17</v>
      </c>
      <c r="N2398" s="2" t="s">
        <v>18</v>
      </c>
      <c r="O2398" s="2" t="s">
        <v>19</v>
      </c>
      <c r="P2398" s="2">
        <v>15000000</v>
      </c>
      <c r="Q2398" s="2">
        <v>5.5</v>
      </c>
      <c r="R2398" s="2" t="s">
        <v>4864</v>
      </c>
      <c r="S2398" s="2"/>
      <c r="AC2398" s="2"/>
      <c r="AD2398" t="str">
        <f>IFERROR(__xludf.DUMMYFUNCTION("""COMPUTED_VALUE"""),"The Apparition ")</f>
        <v>The Apparition </v>
      </c>
      <c r="AE2398">
        <f t="shared" si="66"/>
        <v>4930715</v>
      </c>
    </row>
    <row r="2399" customHeight="1" spans="1:31">
      <c r="A2399" s="2" t="s">
        <v>2594</v>
      </c>
      <c r="B2399" s="2">
        <v>95</v>
      </c>
      <c r="C2399" s="2">
        <v>20998709</v>
      </c>
      <c r="D2399" s="2" t="s">
        <v>1297</v>
      </c>
      <c r="E2399" s="2" t="s">
        <v>13</v>
      </c>
      <c r="F2399" t="s">
        <v>40</v>
      </c>
      <c r="G2399" t="s">
        <v>17</v>
      </c>
      <c r="N2399" s="2" t="s">
        <v>18</v>
      </c>
      <c r="O2399" s="2" t="s">
        <v>19</v>
      </c>
      <c r="P2399" s="2">
        <v>15000000</v>
      </c>
      <c r="Q2399" s="2">
        <v>6.2</v>
      </c>
      <c r="R2399" s="2" t="s">
        <v>4865</v>
      </c>
      <c r="S2399" s="2"/>
      <c r="AC2399" s="2"/>
      <c r="AD2399" t="str">
        <f>IFERROR(__xludf.DUMMYFUNCTION("""COMPUTED_VALUE"""),"My Girl ")</f>
        <v>My Girl </v>
      </c>
      <c r="AE2399">
        <f t="shared" si="66"/>
        <v>59847140</v>
      </c>
    </row>
    <row r="2400" customHeight="1" spans="1:31">
      <c r="A2400" s="2" t="s">
        <v>2596</v>
      </c>
      <c r="B2400" s="2">
        <v>89</v>
      </c>
      <c r="C2400" s="2">
        <v>20801344</v>
      </c>
      <c r="D2400" s="2" t="s">
        <v>72</v>
      </c>
      <c r="E2400" s="2" t="s">
        <v>72</v>
      </c>
      <c r="F2400" t="s">
        <v>17</v>
      </c>
      <c r="G2400" t="s">
        <v>17</v>
      </c>
      <c r="N2400" s="2" t="s">
        <v>18</v>
      </c>
      <c r="O2400" s="2" t="s">
        <v>19</v>
      </c>
      <c r="P2400" s="2">
        <v>15000000</v>
      </c>
      <c r="Q2400" s="2">
        <v>5.1</v>
      </c>
      <c r="R2400" s="2" t="s">
        <v>4866</v>
      </c>
      <c r="S2400" s="2"/>
      <c r="AC2400" s="2"/>
      <c r="AD2400" t="str">
        <f>IFERROR(__xludf.DUMMYFUNCTION("""COMPUTED_VALUE"""),"Fur: An Imaginary Portrait of Diane Arbus ")</f>
        <v>Fur: An Imaginary Portrait of Diane Arbus </v>
      </c>
      <c r="AE2400">
        <f t="shared" si="66"/>
        <v>220792</v>
      </c>
    </row>
    <row r="2401" customHeight="1" spans="1:31">
      <c r="A2401" s="2" t="s">
        <v>2598</v>
      </c>
      <c r="B2401" s="2">
        <v>97</v>
      </c>
      <c r="C2401" s="2">
        <v>21468807</v>
      </c>
      <c r="D2401" s="2" t="s">
        <v>1189</v>
      </c>
      <c r="E2401" s="2" t="s">
        <v>72</v>
      </c>
      <c r="F2401" t="s">
        <v>56</v>
      </c>
      <c r="G2401" t="s">
        <v>72</v>
      </c>
      <c r="N2401" s="2" t="s">
        <v>18</v>
      </c>
      <c r="O2401" s="2" t="s">
        <v>19</v>
      </c>
      <c r="P2401" s="2">
        <v>14000000</v>
      </c>
      <c r="Q2401" s="2">
        <v>4.1</v>
      </c>
      <c r="R2401" s="2" t="s">
        <v>4867</v>
      </c>
      <c r="S2401" s="2"/>
      <c r="AC2401" s="2"/>
      <c r="AD2401" t="str">
        <f>IFERROR(__xludf.DUMMYFUNCTION("""COMPUTED_VALUE"""),"Wall Street ")</f>
        <v>Wall Street </v>
      </c>
      <c r="AE2401">
        <f t="shared" si="66"/>
        <v>43847974</v>
      </c>
    </row>
    <row r="2402" customHeight="1" spans="1:31">
      <c r="A2402" s="2" t="s">
        <v>1063</v>
      </c>
      <c r="B2402" s="2">
        <v>90</v>
      </c>
      <c r="C2402" s="2">
        <v>19158074</v>
      </c>
      <c r="D2402" s="2" t="s">
        <v>745</v>
      </c>
      <c r="E2402" s="2" t="s">
        <v>30</v>
      </c>
      <c r="F2402" t="s">
        <v>17</v>
      </c>
      <c r="G2402" t="s">
        <v>17</v>
      </c>
      <c r="N2402" s="2" t="s">
        <v>18</v>
      </c>
      <c r="O2402" s="2" t="s">
        <v>19</v>
      </c>
      <c r="P2402" s="2">
        <v>15000000</v>
      </c>
      <c r="Q2402" s="2">
        <v>6.7</v>
      </c>
      <c r="R2402" s="2" t="s">
        <v>4868</v>
      </c>
      <c r="S2402" s="2"/>
      <c r="AC2402" s="2"/>
      <c r="AD2402" t="str">
        <f>IFERROR(__xludf.DUMMYFUNCTION("""COMPUTED_VALUE"""),"Sense and Sensibility ")</f>
        <v>Sense and Sensibility </v>
      </c>
      <c r="AE2402">
        <f t="shared" si="66"/>
        <v>42699864</v>
      </c>
    </row>
    <row r="2403" customHeight="1" spans="1:31">
      <c r="A2403" s="2" t="s">
        <v>2601</v>
      </c>
      <c r="B2403" s="2">
        <v>92</v>
      </c>
      <c r="C2403" s="2">
        <v>18843314</v>
      </c>
      <c r="D2403" s="2" t="s">
        <v>355</v>
      </c>
      <c r="E2403" s="2" t="s">
        <v>12</v>
      </c>
      <c r="F2403" t="s">
        <v>24</v>
      </c>
      <c r="G2403" t="s">
        <v>28</v>
      </c>
      <c r="N2403" s="2" t="s">
        <v>18</v>
      </c>
      <c r="O2403" s="2" t="s">
        <v>19</v>
      </c>
      <c r="P2403" s="2">
        <v>20000000</v>
      </c>
      <c r="Q2403" s="2">
        <v>4.7</v>
      </c>
      <c r="R2403" s="2" t="s">
        <v>4869</v>
      </c>
      <c r="S2403" s="2"/>
      <c r="AC2403" s="2"/>
      <c r="AD2403" t="str">
        <f>IFERROR(__xludf.DUMMYFUNCTION("""COMPUTED_VALUE"""),"Becoming Jane ")</f>
        <v>Becoming Jane </v>
      </c>
      <c r="AE2403">
        <f t="shared" si="66"/>
        <v>18663791</v>
      </c>
    </row>
    <row r="2404" customHeight="1" spans="1:31">
      <c r="A2404" s="2" t="s">
        <v>2604</v>
      </c>
      <c r="B2404" s="2">
        <v>100</v>
      </c>
      <c r="C2404" s="2">
        <v>20566327</v>
      </c>
      <c r="D2404" s="2" t="s">
        <v>811</v>
      </c>
      <c r="E2404" s="2" t="s">
        <v>12</v>
      </c>
      <c r="F2404" t="s">
        <v>40</v>
      </c>
      <c r="G2404" t="s">
        <v>24</v>
      </c>
      <c r="N2404" s="2" t="s">
        <v>18</v>
      </c>
      <c r="O2404" s="2" t="s">
        <v>19</v>
      </c>
      <c r="P2404" s="2">
        <v>15000000</v>
      </c>
      <c r="Q2404" s="2">
        <v>6.4</v>
      </c>
      <c r="R2404" s="2" t="s">
        <v>4870</v>
      </c>
      <c r="S2404" s="2"/>
      <c r="AC2404" s="2"/>
      <c r="AD2404" t="str">
        <f>IFERROR(__xludf.DUMMYFUNCTION("""COMPUTED_VALUE"""),"Sydney White ")</f>
        <v>Sydney White </v>
      </c>
      <c r="AE2404">
        <f t="shared" si="66"/>
        <v>11701982</v>
      </c>
    </row>
    <row r="2405" customHeight="1" spans="1:31">
      <c r="A2405" s="2" t="s">
        <v>2267</v>
      </c>
      <c r="B2405" s="2">
        <v>117</v>
      </c>
      <c r="C2405" s="2">
        <v>20218921</v>
      </c>
      <c r="D2405" s="2" t="s">
        <v>2565</v>
      </c>
      <c r="E2405" s="2" t="s">
        <v>30</v>
      </c>
      <c r="F2405" t="s">
        <v>17</v>
      </c>
      <c r="G2405" t="s">
        <v>30</v>
      </c>
      <c r="N2405" s="2" t="s">
        <v>18</v>
      </c>
      <c r="O2405" s="2" t="s">
        <v>4871</v>
      </c>
      <c r="P2405" s="2">
        <v>15000000</v>
      </c>
      <c r="Q2405" s="2">
        <v>6.3</v>
      </c>
      <c r="R2405" s="2" t="s">
        <v>4872</v>
      </c>
      <c r="S2405" s="2"/>
      <c r="AC2405" s="2"/>
      <c r="AD2405" t="str">
        <f>IFERROR(__xludf.DUMMYFUNCTION("""COMPUTED_VALUE"""),"House of Sand and Fog ")</f>
        <v>House of Sand and Fog </v>
      </c>
      <c r="AE2405">
        <f t="shared" si="66"/>
        <v>13005359</v>
      </c>
    </row>
    <row r="2406" customHeight="1" spans="1:31">
      <c r="A2406" s="2" t="s">
        <v>2606</v>
      </c>
      <c r="B2406" s="2">
        <v>84</v>
      </c>
      <c r="C2406" s="2">
        <v>17411331</v>
      </c>
      <c r="D2406" s="2" t="s">
        <v>1738</v>
      </c>
      <c r="E2406" s="2" t="s">
        <v>72</v>
      </c>
      <c r="F2406" t="s">
        <v>24</v>
      </c>
      <c r="N2406" s="2" t="s">
        <v>18</v>
      </c>
      <c r="O2406" s="2" t="s">
        <v>159</v>
      </c>
      <c r="P2406" s="2">
        <v>15000000</v>
      </c>
      <c r="Q2406" s="2">
        <v>5.5</v>
      </c>
      <c r="R2406" s="2" t="s">
        <v>4873</v>
      </c>
      <c r="S2406" s="2"/>
      <c r="AC2406" s="2"/>
      <c r="AD2406" t="str">
        <f>IFERROR(__xludf.DUMMYFUNCTION("""COMPUTED_VALUE"""),"Dead Poets Society ")</f>
        <v>Dead Poets Society </v>
      </c>
      <c r="AE2406">
        <f t="shared" si="66"/>
        <v>95859988</v>
      </c>
    </row>
    <row r="2407" customHeight="1" spans="1:31">
      <c r="A2407" s="2" t="s">
        <v>2608</v>
      </c>
      <c r="B2407" s="2">
        <v>140</v>
      </c>
      <c r="C2407" s="2">
        <v>21383298</v>
      </c>
      <c r="D2407" s="2" t="s">
        <v>805</v>
      </c>
      <c r="E2407" s="2" t="s">
        <v>56</v>
      </c>
      <c r="F2407" t="s">
        <v>30</v>
      </c>
      <c r="N2407" s="2" t="s">
        <v>18</v>
      </c>
      <c r="O2407" s="2" t="s">
        <v>19</v>
      </c>
      <c r="P2407" s="2">
        <v>15000000</v>
      </c>
      <c r="Q2407" s="2">
        <v>7.3</v>
      </c>
      <c r="R2407" s="2" t="s">
        <v>4874</v>
      </c>
      <c r="S2407" s="2"/>
      <c r="AC2407" s="2"/>
      <c r="AD2407" t="str">
        <f>IFERROR(__xludf.DUMMYFUNCTION("""COMPUTED_VALUE"""),"Dumb &amp; Dumber ")</f>
        <v>Dumb &amp; Dumber </v>
      </c>
      <c r="AE2407">
        <f t="shared" si="66"/>
        <v>127175241</v>
      </c>
    </row>
    <row r="2408" customHeight="1" spans="1:31">
      <c r="A2408" s="2" t="s">
        <v>543</v>
      </c>
      <c r="B2408" s="2">
        <v>108</v>
      </c>
      <c r="C2408" s="2">
        <v>24984868</v>
      </c>
      <c r="D2408" s="2" t="s">
        <v>150</v>
      </c>
      <c r="E2408" s="2" t="s">
        <v>12</v>
      </c>
      <c r="F2408" t="s">
        <v>13</v>
      </c>
      <c r="N2408" s="2" t="s">
        <v>18</v>
      </c>
      <c r="O2408" s="2" t="s">
        <v>19</v>
      </c>
      <c r="P2408" s="2">
        <v>15000000</v>
      </c>
      <c r="Q2408" s="2">
        <v>6.3</v>
      </c>
      <c r="R2408" s="2" t="s">
        <v>4875</v>
      </c>
      <c r="S2408" s="2"/>
      <c r="AC2408" s="2"/>
      <c r="AD2408" t="str">
        <f>IFERROR(__xludf.DUMMYFUNCTION("""COMPUTED_VALUE"""),"When Harry Met Sally... ")</f>
        <v>When Harry Met Sally... </v>
      </c>
      <c r="AE2408">
        <f t="shared" si="66"/>
        <v>92823511</v>
      </c>
    </row>
    <row r="2409" customHeight="1" spans="1:31">
      <c r="A2409" s="2" t="s">
        <v>2610</v>
      </c>
      <c r="B2409" s="2">
        <v>109</v>
      </c>
      <c r="C2409" s="2">
        <v>16459004</v>
      </c>
      <c r="D2409" s="2" t="s">
        <v>712</v>
      </c>
      <c r="E2409" s="2" t="s">
        <v>30</v>
      </c>
      <c r="F2409" t="s">
        <v>40</v>
      </c>
      <c r="N2409" s="2" t="s">
        <v>18</v>
      </c>
      <c r="O2409" s="2" t="s">
        <v>121</v>
      </c>
      <c r="P2409" s="2">
        <v>15000000</v>
      </c>
      <c r="Q2409" s="2">
        <v>4.9</v>
      </c>
      <c r="R2409" s="2" t="s">
        <v>4876</v>
      </c>
      <c r="S2409" s="2"/>
      <c r="AC2409" s="2"/>
      <c r="AD2409" t="str">
        <f>IFERROR(__xludf.DUMMYFUNCTION("""COMPUTED_VALUE"""),"The Verdict ")</f>
        <v>The Verdict </v>
      </c>
      <c r="AE2409">
        <f t="shared" si="66"/>
        <v>53999871</v>
      </c>
    </row>
    <row r="2410" customHeight="1" spans="1:31">
      <c r="A2410" s="2" t="s">
        <v>739</v>
      </c>
      <c r="B2410" s="2">
        <v>131</v>
      </c>
      <c r="C2410" s="2">
        <v>15700000</v>
      </c>
      <c r="D2410" s="2" t="s">
        <v>827</v>
      </c>
      <c r="E2410" s="2" t="s">
        <v>30</v>
      </c>
      <c r="F2410" t="s">
        <v>30</v>
      </c>
      <c r="N2410" s="2" t="s">
        <v>18</v>
      </c>
      <c r="O2410" s="2" t="s">
        <v>19</v>
      </c>
      <c r="P2410" s="2">
        <v>15000000</v>
      </c>
      <c r="Q2410" s="2">
        <v>7.6</v>
      </c>
      <c r="R2410" s="2" t="s">
        <v>4877</v>
      </c>
      <c r="S2410" s="2"/>
      <c r="AC2410" s="2"/>
      <c r="AD2410" t="str">
        <f>IFERROR(__xludf.DUMMYFUNCTION("""COMPUTED_VALUE"""),"Road Trip ")</f>
        <v>Road Trip </v>
      </c>
      <c r="AE2410">
        <f t="shared" si="66"/>
        <v>68525515</v>
      </c>
    </row>
    <row r="2411" customHeight="1" spans="1:31">
      <c r="A2411" s="2" t="s">
        <v>2612</v>
      </c>
      <c r="B2411" s="2">
        <v>114</v>
      </c>
      <c r="C2411" s="2">
        <v>15100000</v>
      </c>
      <c r="D2411" s="2" t="s">
        <v>843</v>
      </c>
      <c r="E2411" s="2" t="s">
        <v>12</v>
      </c>
      <c r="F2411" t="s">
        <v>56</v>
      </c>
      <c r="N2411" s="2" t="s">
        <v>18</v>
      </c>
      <c r="O2411" s="2" t="s">
        <v>19</v>
      </c>
      <c r="P2411" s="2">
        <v>15000000</v>
      </c>
      <c r="Q2411" s="2">
        <v>6</v>
      </c>
      <c r="R2411" s="2" t="s">
        <v>4878</v>
      </c>
      <c r="S2411" s="2"/>
      <c r="AC2411" s="2"/>
      <c r="AD2411" t="str">
        <f>IFERROR(__xludf.DUMMYFUNCTION("""COMPUTED_VALUE"""),"Varsity Blues ")</f>
        <v>Varsity Blues </v>
      </c>
      <c r="AE2411">
        <f t="shared" si="66"/>
        <v>52885481</v>
      </c>
    </row>
    <row r="2412" customHeight="1" spans="1:31">
      <c r="A2412" s="2" t="s">
        <v>1914</v>
      </c>
      <c r="B2412" s="2">
        <v>97</v>
      </c>
      <c r="C2412" s="2">
        <v>14938570</v>
      </c>
      <c r="D2412" s="2" t="s">
        <v>557</v>
      </c>
      <c r="E2412" s="2" t="s">
        <v>56</v>
      </c>
      <c r="F2412" t="s">
        <v>30</v>
      </c>
      <c r="N2412" s="2" t="s">
        <v>18</v>
      </c>
      <c r="O2412" s="2" t="s">
        <v>19</v>
      </c>
      <c r="P2412" s="2">
        <v>15000000</v>
      </c>
      <c r="Q2412" s="2">
        <v>6.2</v>
      </c>
      <c r="R2412" s="2" t="s">
        <v>4879</v>
      </c>
      <c r="S2412" s="2"/>
      <c r="AC2412" s="2"/>
      <c r="AD2412" t="str">
        <f>IFERROR(__xludf.DUMMYFUNCTION("""COMPUTED_VALUE"""),"The Artist ")</f>
        <v>The Artist </v>
      </c>
      <c r="AE2412">
        <f t="shared" si="66"/>
        <v>44666995</v>
      </c>
    </row>
    <row r="2413" customHeight="1" spans="1:31">
      <c r="A2413" s="2" t="s">
        <v>2234</v>
      </c>
      <c r="B2413" s="2">
        <v>122</v>
      </c>
      <c r="C2413" s="2">
        <v>17237244</v>
      </c>
      <c r="D2413" s="2" t="s">
        <v>805</v>
      </c>
      <c r="E2413" s="2" t="s">
        <v>56</v>
      </c>
      <c r="F2413" t="s">
        <v>30</v>
      </c>
      <c r="N2413" s="2" t="s">
        <v>18</v>
      </c>
      <c r="O2413" s="2" t="s">
        <v>31</v>
      </c>
      <c r="P2413" s="2">
        <v>15000000</v>
      </c>
      <c r="Q2413" s="2">
        <v>6.8</v>
      </c>
      <c r="R2413" s="2" t="s">
        <v>4880</v>
      </c>
      <c r="S2413" s="2"/>
      <c r="AC2413" s="2"/>
      <c r="AD2413" t="str">
        <f>IFERROR(__xludf.DUMMYFUNCTION("""COMPUTED_VALUE"""),"The Unborn ")</f>
        <v>The Unborn </v>
      </c>
      <c r="AE2413">
        <f t="shared" si="66"/>
        <v>42638076</v>
      </c>
    </row>
    <row r="2414" customHeight="1" spans="1:31">
      <c r="A2414" s="2" t="s">
        <v>2615</v>
      </c>
      <c r="B2414" s="2">
        <v>87</v>
      </c>
      <c r="C2414" s="2">
        <v>14249005</v>
      </c>
      <c r="D2414" s="2" t="s">
        <v>40</v>
      </c>
      <c r="E2414" s="2" t="s">
        <v>40</v>
      </c>
      <c r="F2414" t="s">
        <v>28</v>
      </c>
      <c r="N2414" s="2" t="s">
        <v>18</v>
      </c>
      <c r="O2414" s="2" t="s">
        <v>19</v>
      </c>
      <c r="P2414" s="2">
        <v>15000000</v>
      </c>
      <c r="Q2414" s="2">
        <v>4.5</v>
      </c>
      <c r="R2414" s="2" t="s">
        <v>4881</v>
      </c>
      <c r="S2414" s="2"/>
      <c r="AC2414" s="2"/>
      <c r="AD2414" t="str">
        <f>IFERROR(__xludf.DUMMYFUNCTION("""COMPUTED_VALUE"""),"Moonrise Kingdom ")</f>
        <v>Moonrise Kingdom </v>
      </c>
      <c r="AE2414">
        <f t="shared" si="66"/>
        <v>45506959</v>
      </c>
    </row>
    <row r="2415" customHeight="1" spans="1:31">
      <c r="A2415" s="2" t="s">
        <v>2618</v>
      </c>
      <c r="B2415" s="2">
        <v>85</v>
      </c>
      <c r="C2415" s="2">
        <v>12701880</v>
      </c>
      <c r="D2415" s="2" t="s">
        <v>189</v>
      </c>
      <c r="E2415" s="2" t="s">
        <v>13</v>
      </c>
      <c r="F2415" t="s">
        <v>30</v>
      </c>
      <c r="N2415" s="2" t="s">
        <v>18</v>
      </c>
      <c r="O2415" s="2" t="s">
        <v>19</v>
      </c>
      <c r="P2415" s="2">
        <v>15000000</v>
      </c>
      <c r="Q2415" s="2">
        <v>5.7</v>
      </c>
      <c r="R2415" s="2" t="s">
        <v>4882</v>
      </c>
      <c r="S2415" s="2"/>
      <c r="AC2415" s="2"/>
      <c r="AD2415" t="str">
        <f>IFERROR(__xludf.DUMMYFUNCTION("""COMPUTED_VALUE"""),"The Texas Chainsaw Massacre: The Beginning ")</f>
        <v>The Texas Chainsaw Massacre: The Beginning </v>
      </c>
      <c r="AE2415">
        <f t="shared" si="66"/>
        <v>39510955</v>
      </c>
    </row>
    <row r="2416" customHeight="1" spans="1:31">
      <c r="A2416" s="2" t="s">
        <v>2620</v>
      </c>
      <c r="B2416" s="2">
        <v>101</v>
      </c>
      <c r="C2416" s="2">
        <v>12801190</v>
      </c>
      <c r="D2416" s="2" t="s">
        <v>11</v>
      </c>
      <c r="E2416" s="2" t="s">
        <v>12</v>
      </c>
      <c r="F2416" t="s">
        <v>29</v>
      </c>
      <c r="N2416" s="2" t="s">
        <v>18</v>
      </c>
      <c r="O2416" s="2" t="s">
        <v>19</v>
      </c>
      <c r="P2416" s="2">
        <v>15000000</v>
      </c>
      <c r="Q2416" s="2">
        <v>4.6</v>
      </c>
      <c r="R2416" s="2" t="s">
        <v>4883</v>
      </c>
      <c r="S2416" s="2"/>
      <c r="AC2416" s="2"/>
      <c r="AD2416" t="str">
        <f>IFERROR(__xludf.DUMMYFUNCTION("""COMPUTED_VALUE"""),"The Young Messiah ")</f>
        <v>The Young Messiah </v>
      </c>
      <c r="AE2416">
        <f t="shared" si="66"/>
        <v>6462465</v>
      </c>
    </row>
    <row r="2417" customHeight="1" spans="1:31">
      <c r="A2417" s="2" t="s">
        <v>2623</v>
      </c>
      <c r="B2417" s="2">
        <v>121</v>
      </c>
      <c r="C2417" s="2">
        <v>12549485</v>
      </c>
      <c r="D2417" s="2" t="s">
        <v>4884</v>
      </c>
      <c r="E2417" s="2" t="s">
        <v>56</v>
      </c>
      <c r="F2417" t="s">
        <v>30</v>
      </c>
      <c r="N2417" s="2" t="s">
        <v>18</v>
      </c>
      <c r="O2417" s="2" t="s">
        <v>19</v>
      </c>
      <c r="P2417" s="2">
        <v>15000000</v>
      </c>
      <c r="Q2417" s="2">
        <v>6.2</v>
      </c>
      <c r="R2417" s="2" t="s">
        <v>4885</v>
      </c>
      <c r="S2417" s="2"/>
      <c r="AC2417" s="2"/>
      <c r="AD2417" t="str">
        <f>IFERROR(__xludf.DUMMYFUNCTION("""COMPUTED_VALUE"""),"The Master of Disguise ")</f>
        <v>The Master of Disguise </v>
      </c>
      <c r="AE2417">
        <f t="shared" si="66"/>
        <v>40363450</v>
      </c>
    </row>
    <row r="2418" customHeight="1" spans="1:31">
      <c r="A2418" s="2" t="s">
        <v>2626</v>
      </c>
      <c r="B2418" s="2">
        <v>107</v>
      </c>
      <c r="C2418" s="2">
        <v>13766014</v>
      </c>
      <c r="D2418" s="2" t="s">
        <v>103</v>
      </c>
      <c r="E2418" s="2" t="s">
        <v>30</v>
      </c>
      <c r="F2418" t="s">
        <v>17</v>
      </c>
      <c r="N2418" s="2" t="s">
        <v>18</v>
      </c>
      <c r="O2418" s="2" t="s">
        <v>19</v>
      </c>
      <c r="P2418" s="2">
        <v>15000000</v>
      </c>
      <c r="Q2418" s="2">
        <v>7</v>
      </c>
      <c r="R2418" s="2" t="s">
        <v>4886</v>
      </c>
      <c r="S2418" s="2"/>
      <c r="AC2418" s="2"/>
      <c r="AD2418" t="str">
        <f>IFERROR(__xludf.DUMMYFUNCTION("""COMPUTED_VALUE"""),"Pan's Labyrinth ")</f>
        <v>Pan's Labyrinth </v>
      </c>
      <c r="AE2418">
        <f t="shared" si="66"/>
        <v>37623031</v>
      </c>
    </row>
    <row r="2419" customHeight="1" spans="1:31">
      <c r="A2419" s="2" t="s">
        <v>2628</v>
      </c>
      <c r="B2419" s="2">
        <v>111</v>
      </c>
      <c r="C2419" s="2">
        <v>13034417</v>
      </c>
      <c r="D2419" s="2" t="s">
        <v>1527</v>
      </c>
      <c r="E2419" s="2" t="s">
        <v>30</v>
      </c>
      <c r="F2419" t="s">
        <v>30</v>
      </c>
      <c r="N2419" s="2" t="s">
        <v>18</v>
      </c>
      <c r="O2419" s="2" t="s">
        <v>19</v>
      </c>
      <c r="P2419" s="2">
        <v>15000000</v>
      </c>
      <c r="Q2419" s="2">
        <v>6.9</v>
      </c>
      <c r="R2419" s="2" t="s">
        <v>4887</v>
      </c>
      <c r="S2419" s="2"/>
      <c r="AC2419" s="2"/>
      <c r="AD2419" t="str">
        <f>IFERROR(__xludf.DUMMYFUNCTION("""COMPUTED_VALUE"""),"See Spot Run ")</f>
        <v>See Spot Run </v>
      </c>
      <c r="AE2419">
        <f t="shared" si="66"/>
        <v>33357382</v>
      </c>
    </row>
    <row r="2420" customHeight="1" spans="1:31">
      <c r="A2420" s="2" t="s">
        <v>2630</v>
      </c>
      <c r="B2420" s="2">
        <v>97</v>
      </c>
      <c r="C2420" s="2">
        <v>12212417</v>
      </c>
      <c r="D2420" s="2" t="s">
        <v>557</v>
      </c>
      <c r="E2420" s="2" t="s">
        <v>56</v>
      </c>
      <c r="F2420" t="s">
        <v>30</v>
      </c>
      <c r="N2420" s="2" t="s">
        <v>18</v>
      </c>
      <c r="O2420" s="2" t="s">
        <v>19</v>
      </c>
      <c r="P2420" s="2">
        <v>15000000</v>
      </c>
      <c r="Q2420" s="2">
        <v>6.7</v>
      </c>
      <c r="R2420" s="2" t="s">
        <v>4888</v>
      </c>
      <c r="S2420" s="2"/>
      <c r="AC2420" s="2"/>
      <c r="AD2420" t="str">
        <f>IFERROR(__xludf.DUMMYFUNCTION("""COMPUTED_VALUE"""),"Baby Boy ")</f>
        <v>Baby Boy </v>
      </c>
      <c r="AE2420">
        <f t="shared" si="66"/>
        <v>28734422</v>
      </c>
    </row>
    <row r="2421" customHeight="1" spans="1:31">
      <c r="A2421" s="2" t="s">
        <v>2632</v>
      </c>
      <c r="B2421" s="2">
        <v>97</v>
      </c>
      <c r="C2421" s="2">
        <v>11614236</v>
      </c>
      <c r="D2421" s="2" t="s">
        <v>40</v>
      </c>
      <c r="E2421" s="2" t="s">
        <v>40</v>
      </c>
      <c r="F2421" t="s">
        <v>56</v>
      </c>
      <c r="N2421" s="2" t="s">
        <v>18</v>
      </c>
      <c r="O2421" s="2" t="s">
        <v>19</v>
      </c>
      <c r="P2421" s="2">
        <v>15000000</v>
      </c>
      <c r="Q2421" s="2">
        <v>5.6</v>
      </c>
      <c r="R2421" s="2" t="s">
        <v>4889</v>
      </c>
      <c r="S2421" s="2"/>
      <c r="AC2421" s="2"/>
      <c r="AD2421" t="str">
        <f>IFERROR(__xludf.DUMMYFUNCTION("""COMPUTED_VALUE"""),"The Roommate ")</f>
        <v>The Roommate </v>
      </c>
      <c r="AE2421">
        <f t="shared" si="66"/>
        <v>37300016</v>
      </c>
    </row>
    <row r="2422" customHeight="1" spans="1:31">
      <c r="A2422" s="2" t="s">
        <v>1551</v>
      </c>
      <c r="B2422" s="2">
        <v>125</v>
      </c>
      <c r="C2422" s="2">
        <v>13337299</v>
      </c>
      <c r="D2422" s="2" t="s">
        <v>2708</v>
      </c>
      <c r="E2422" s="2" t="s">
        <v>59</v>
      </c>
      <c r="F2422" t="s">
        <v>40</v>
      </c>
      <c r="N2422" s="2" t="s">
        <v>18</v>
      </c>
      <c r="O2422" s="2" t="s">
        <v>19</v>
      </c>
      <c r="P2422" s="2">
        <v>20000000</v>
      </c>
      <c r="Q2422" s="2">
        <v>6.6</v>
      </c>
      <c r="R2422" s="2" t="s">
        <v>4890</v>
      </c>
      <c r="S2422" s="2"/>
      <c r="AC2422" s="2"/>
      <c r="AD2422" t="str">
        <f>IFERROR(__xludf.DUMMYFUNCTION("""COMPUTED_VALUE"""),"Joe Dirt ")</f>
        <v>Joe Dirt </v>
      </c>
      <c r="AE2422">
        <f t="shared" si="66"/>
        <v>27087604</v>
      </c>
    </row>
    <row r="2423" customHeight="1" spans="1:31">
      <c r="A2423" s="2" t="s">
        <v>1814</v>
      </c>
      <c r="B2423" s="2">
        <v>124</v>
      </c>
      <c r="C2423" s="2">
        <v>10763469</v>
      </c>
      <c r="D2423" s="2" t="s">
        <v>521</v>
      </c>
      <c r="E2423" s="2" t="s">
        <v>40</v>
      </c>
      <c r="F2423" t="s">
        <v>35</v>
      </c>
      <c r="N2423" s="2" t="s">
        <v>18</v>
      </c>
      <c r="O2423" s="2" t="s">
        <v>19</v>
      </c>
      <c r="P2423" s="2">
        <v>15000000</v>
      </c>
      <c r="Q2423" s="2">
        <v>6.4</v>
      </c>
      <c r="R2423" s="2" t="s">
        <v>4891</v>
      </c>
      <c r="S2423" s="2"/>
      <c r="AC2423" s="2"/>
      <c r="AD2423" t="str">
        <f>IFERROR(__xludf.DUMMYFUNCTION("""COMPUTED_VALUE"""),"Double Impact ")</f>
        <v>Double Impact </v>
      </c>
      <c r="AE2423">
        <f t="shared" ref="AE2423:AE2486" si="67">C2307-B2307</f>
        <v>30102607</v>
      </c>
    </row>
    <row r="2424" customHeight="1" spans="1:31">
      <c r="A2424" s="2" t="s">
        <v>2634</v>
      </c>
      <c r="B2424" s="2">
        <v>76</v>
      </c>
      <c r="C2424" s="2">
        <v>11144518</v>
      </c>
      <c r="D2424" s="2" t="s">
        <v>3927</v>
      </c>
      <c r="E2424" s="2" t="s">
        <v>13</v>
      </c>
      <c r="F2424" t="s">
        <v>30</v>
      </c>
      <c r="N2424" s="2" t="s">
        <v>18</v>
      </c>
      <c r="O2424" s="2" t="s">
        <v>121</v>
      </c>
      <c r="P2424" s="2">
        <v>15000000</v>
      </c>
      <c r="Q2424" s="2">
        <v>2.8</v>
      </c>
      <c r="R2424" s="2" t="s">
        <v>4892</v>
      </c>
      <c r="S2424" s="2"/>
      <c r="AC2424" s="2"/>
      <c r="AD2424" t="str">
        <f>IFERROR(__xludf.DUMMYFUNCTION("""COMPUTED_VALUE"""),"Hot Fuzz ")</f>
        <v>Hot Fuzz </v>
      </c>
      <c r="AE2424">
        <f t="shared" si="67"/>
        <v>23618665</v>
      </c>
    </row>
    <row r="2425" customHeight="1" spans="1:31">
      <c r="A2425" s="2" t="s">
        <v>2636</v>
      </c>
      <c r="B2425" s="2">
        <v>107</v>
      </c>
      <c r="C2425" s="2">
        <v>15608545</v>
      </c>
      <c r="D2425" s="2" t="s">
        <v>12</v>
      </c>
      <c r="E2425" s="2" t="s">
        <v>12</v>
      </c>
      <c r="F2425" t="s">
        <v>30</v>
      </c>
      <c r="N2425" s="2" t="s">
        <v>18</v>
      </c>
      <c r="O2425" s="2" t="s">
        <v>19</v>
      </c>
      <c r="P2425" s="2">
        <v>15000000</v>
      </c>
      <c r="Q2425" s="2">
        <v>5.4</v>
      </c>
      <c r="R2425" s="2" t="s">
        <v>4893</v>
      </c>
      <c r="S2425" s="2"/>
      <c r="AC2425" s="2"/>
      <c r="AD2425" t="str">
        <f>IFERROR(__xludf.DUMMYFUNCTION("""COMPUTED_VALUE"""),"The Women ")</f>
        <v>The Women </v>
      </c>
      <c r="AE2425">
        <f t="shared" si="67"/>
        <v>26896630</v>
      </c>
    </row>
    <row r="2426" customHeight="1" spans="1:31">
      <c r="A2426" s="2" t="s">
        <v>382</v>
      </c>
      <c r="B2426" s="2">
        <v>91</v>
      </c>
      <c r="C2426" s="2">
        <v>10443316</v>
      </c>
      <c r="D2426" s="2" t="s">
        <v>521</v>
      </c>
      <c r="E2426" s="2" t="s">
        <v>40</v>
      </c>
      <c r="F2426" t="s">
        <v>30</v>
      </c>
      <c r="N2426" s="2" t="s">
        <v>18</v>
      </c>
      <c r="O2426" s="2" t="s">
        <v>19</v>
      </c>
      <c r="P2426" s="2">
        <v>15000000</v>
      </c>
      <c r="Q2426" s="2">
        <v>5</v>
      </c>
      <c r="R2426" s="2" t="s">
        <v>4894</v>
      </c>
      <c r="S2426" s="2"/>
      <c r="AC2426" s="2"/>
      <c r="AD2426" t="str">
        <f>IFERROR(__xludf.DUMMYFUNCTION("""COMPUTED_VALUE"""),"Vicky Cristina Barcelona ")</f>
        <v>Vicky Cristina Barcelona </v>
      </c>
      <c r="AE2426">
        <f t="shared" si="67"/>
        <v>23213481</v>
      </c>
    </row>
    <row r="2427" customHeight="1" spans="1:31">
      <c r="A2427" s="2" t="s">
        <v>2638</v>
      </c>
      <c r="B2427" s="2">
        <v>96</v>
      </c>
      <c r="C2427" s="2">
        <v>10494147</v>
      </c>
      <c r="D2427" s="2" t="s">
        <v>103</v>
      </c>
      <c r="E2427" s="2" t="s">
        <v>30</v>
      </c>
      <c r="F2427" t="s">
        <v>40</v>
      </c>
      <c r="N2427" s="2" t="s">
        <v>18</v>
      </c>
      <c r="O2427" s="2" t="s">
        <v>19</v>
      </c>
      <c r="P2427" s="2">
        <v>15000000</v>
      </c>
      <c r="Q2427" s="2">
        <v>5.1</v>
      </c>
      <c r="R2427" s="2" t="s">
        <v>4895</v>
      </c>
      <c r="S2427" s="2"/>
      <c r="AC2427" s="2"/>
      <c r="AD2427" t="str">
        <f>IFERROR(__xludf.DUMMYFUNCTION("""COMPUTED_VALUE"""),"Boys and Girls ")</f>
        <v>Boys and Girls </v>
      </c>
      <c r="AE2427">
        <f t="shared" si="67"/>
        <v>20627278</v>
      </c>
    </row>
    <row r="2428" customHeight="1" spans="1:31">
      <c r="A2428" s="2" t="s">
        <v>836</v>
      </c>
      <c r="B2428" s="2">
        <v>142</v>
      </c>
      <c r="C2428" s="2">
        <v>9929000</v>
      </c>
      <c r="D2428" s="2" t="s">
        <v>677</v>
      </c>
      <c r="E2428" s="2" t="s">
        <v>30</v>
      </c>
      <c r="F2428" t="s">
        <v>13</v>
      </c>
      <c r="N2428" s="2" t="s">
        <v>18</v>
      </c>
      <c r="O2428" s="2" t="s">
        <v>31</v>
      </c>
      <c r="P2428" s="2">
        <v>15000000</v>
      </c>
      <c r="Q2428" s="2">
        <v>8</v>
      </c>
      <c r="R2428" s="2" t="s">
        <v>4896</v>
      </c>
      <c r="S2428" s="2"/>
      <c r="AC2428" s="2"/>
      <c r="AD2428" t="str">
        <f>IFERROR(__xludf.DUMMYFUNCTION("""COMPUTED_VALUE"""),"White Oleander ")</f>
        <v>White Oleander </v>
      </c>
      <c r="AE2428">
        <f t="shared" si="67"/>
        <v>16346013</v>
      </c>
    </row>
    <row r="2429" customHeight="1" spans="1:31">
      <c r="A2429" s="2" t="s">
        <v>2388</v>
      </c>
      <c r="B2429" s="2">
        <v>103</v>
      </c>
      <c r="C2429" s="2">
        <v>10411980</v>
      </c>
      <c r="D2429" s="2" t="s">
        <v>4897</v>
      </c>
      <c r="E2429" s="2" t="s">
        <v>23</v>
      </c>
      <c r="F2429" t="s">
        <v>17</v>
      </c>
      <c r="N2429" s="2" t="s">
        <v>18</v>
      </c>
      <c r="O2429" s="2" t="s">
        <v>19</v>
      </c>
      <c r="P2429" s="2">
        <v>15000000</v>
      </c>
      <c r="Q2429" s="2">
        <v>5.9</v>
      </c>
      <c r="R2429" s="2" t="s">
        <v>4898</v>
      </c>
      <c r="S2429" s="2"/>
      <c r="AC2429" s="2"/>
      <c r="AD2429" t="str">
        <f>IFERROR(__xludf.DUMMYFUNCTION("""COMPUTED_VALUE"""),"Jennifer's Body ")</f>
        <v>Jennifer's Body </v>
      </c>
      <c r="AE2429">
        <f t="shared" si="67"/>
        <v>16204686</v>
      </c>
    </row>
    <row r="2430" customHeight="1" spans="1:31">
      <c r="A2430" s="2" t="s">
        <v>1117</v>
      </c>
      <c r="B2430" s="2">
        <v>117</v>
      </c>
      <c r="C2430" s="2">
        <v>17439163</v>
      </c>
      <c r="D2430" s="2" t="s">
        <v>383</v>
      </c>
      <c r="E2430" s="2" t="s">
        <v>40</v>
      </c>
      <c r="F2430" t="s">
        <v>30</v>
      </c>
      <c r="N2430" s="2" t="s">
        <v>18</v>
      </c>
      <c r="O2430" s="2" t="s">
        <v>19</v>
      </c>
      <c r="P2430" s="2">
        <v>15000000</v>
      </c>
      <c r="Q2430" s="2">
        <v>8.2</v>
      </c>
      <c r="R2430" s="2" t="s">
        <v>4899</v>
      </c>
      <c r="S2430" s="2"/>
      <c r="AC2430" s="2"/>
      <c r="AD2430" t="str">
        <f>IFERROR(__xludf.DUMMYFUNCTION("""COMPUTED_VALUE"""),"Drowning Mona ")</f>
        <v>Drowning Mona </v>
      </c>
      <c r="AE2430">
        <f t="shared" si="67"/>
        <v>15427096</v>
      </c>
    </row>
    <row r="2431" customHeight="1" spans="1:31">
      <c r="A2431" s="2" t="s">
        <v>2641</v>
      </c>
      <c r="B2431" s="2">
        <v>116</v>
      </c>
      <c r="C2431" s="2">
        <v>9396487</v>
      </c>
      <c r="D2431" s="2" t="s">
        <v>2565</v>
      </c>
      <c r="E2431" s="2" t="s">
        <v>30</v>
      </c>
      <c r="F2431" t="s">
        <v>13</v>
      </c>
      <c r="N2431" s="2" t="s">
        <v>18</v>
      </c>
      <c r="O2431" s="2" t="s">
        <v>19</v>
      </c>
      <c r="P2431" s="2">
        <v>15000000</v>
      </c>
      <c r="Q2431" s="2">
        <v>7</v>
      </c>
      <c r="R2431" s="2" t="s">
        <v>4900</v>
      </c>
      <c r="S2431" s="2"/>
      <c r="AC2431" s="2"/>
      <c r="AD2431" t="str">
        <f>IFERROR(__xludf.DUMMYFUNCTION("""COMPUTED_VALUE"""),"Radio Days ")</f>
        <v>Radio Days </v>
      </c>
      <c r="AE2431">
        <f t="shared" si="67"/>
        <v>14792691</v>
      </c>
    </row>
    <row r="2432" customHeight="1" spans="1:31">
      <c r="A2432" s="2" t="s">
        <v>900</v>
      </c>
      <c r="B2432" s="2">
        <v>118</v>
      </c>
      <c r="C2432" s="2">
        <v>9059588</v>
      </c>
      <c r="D2432" s="2" t="s">
        <v>2171</v>
      </c>
      <c r="E2432" s="2" t="s">
        <v>56</v>
      </c>
      <c r="F2432" t="s">
        <v>24</v>
      </c>
      <c r="N2432" s="2" t="s">
        <v>18</v>
      </c>
      <c r="O2432" s="2" t="s">
        <v>19</v>
      </c>
      <c r="P2432" s="2">
        <v>15000000</v>
      </c>
      <c r="Q2432" s="2">
        <v>6.6</v>
      </c>
      <c r="R2432" s="2" t="s">
        <v>4901</v>
      </c>
      <c r="S2432" s="2"/>
      <c r="AC2432" s="2"/>
      <c r="AD2432" t="str">
        <f>IFERROR(__xludf.DUMMYFUNCTION("""COMPUTED_VALUE"""),"Remember Me ")</f>
        <v>Remember Me </v>
      </c>
      <c r="AE2432">
        <f t="shared" si="67"/>
        <v>19056911</v>
      </c>
    </row>
    <row r="2433" customHeight="1" spans="1:31">
      <c r="A2433" s="2" t="s">
        <v>2643</v>
      </c>
      <c r="B2433" s="2">
        <v>108</v>
      </c>
      <c r="C2433" s="2">
        <v>9172810</v>
      </c>
      <c r="D2433" s="2" t="s">
        <v>4902</v>
      </c>
      <c r="E2433" s="2" t="s">
        <v>59</v>
      </c>
      <c r="F2433" t="s">
        <v>30</v>
      </c>
      <c r="N2433" s="2" t="s">
        <v>18</v>
      </c>
      <c r="O2433" s="2" t="s">
        <v>19</v>
      </c>
      <c r="P2433" s="2">
        <v>16000000</v>
      </c>
      <c r="Q2433" s="2">
        <v>6.7</v>
      </c>
      <c r="R2433" s="2" t="s">
        <v>4903</v>
      </c>
      <c r="S2433" s="2"/>
      <c r="AC2433" s="2"/>
      <c r="AD2433" t="str">
        <f>IFERROR(__xludf.DUMMYFUNCTION("""COMPUTED_VALUE"""),"How to Deal ")</f>
        <v>How to Deal </v>
      </c>
      <c r="AE2433">
        <f t="shared" si="67"/>
        <v>14108417</v>
      </c>
    </row>
    <row r="2434" customHeight="1" spans="1:31">
      <c r="A2434" s="2" t="s">
        <v>2645</v>
      </c>
      <c r="B2434" s="2">
        <v>94</v>
      </c>
      <c r="C2434" s="2">
        <v>8735529</v>
      </c>
      <c r="D2434" s="2" t="s">
        <v>521</v>
      </c>
      <c r="E2434" s="2" t="s">
        <v>40</v>
      </c>
      <c r="F2434" t="s">
        <v>13</v>
      </c>
      <c r="N2434" s="2" t="s">
        <v>18</v>
      </c>
      <c r="O2434" s="2" t="s">
        <v>19</v>
      </c>
      <c r="P2434" s="2">
        <v>15000000</v>
      </c>
      <c r="Q2434" s="2">
        <v>5.5</v>
      </c>
      <c r="R2434" s="2" t="s">
        <v>4904</v>
      </c>
      <c r="S2434" s="2"/>
      <c r="AC2434" s="2"/>
      <c r="AD2434" t="str">
        <f>IFERROR(__xludf.DUMMYFUNCTION("""COMPUTED_VALUE"""),"My Stepmother Is an Alien ")</f>
        <v>My Stepmother Is an Alien </v>
      </c>
      <c r="AE2434">
        <f t="shared" si="67"/>
        <v>13853895</v>
      </c>
    </row>
    <row r="2435" customHeight="1" spans="1:31">
      <c r="A2435" s="2" t="s">
        <v>2647</v>
      </c>
      <c r="B2435" s="2">
        <v>97</v>
      </c>
      <c r="C2435" s="2">
        <v>8586376</v>
      </c>
      <c r="D2435" s="2" t="s">
        <v>40</v>
      </c>
      <c r="E2435" s="2" t="s">
        <v>40</v>
      </c>
      <c r="F2435" t="s">
        <v>30</v>
      </c>
      <c r="N2435" s="2" t="s">
        <v>18</v>
      </c>
      <c r="O2435" s="2" t="s">
        <v>19</v>
      </c>
      <c r="P2435" s="2">
        <v>20000000</v>
      </c>
      <c r="Q2435" s="2">
        <v>4.9</v>
      </c>
      <c r="R2435" s="2" t="s">
        <v>4905</v>
      </c>
      <c r="S2435" s="2"/>
      <c r="AC2435" s="2"/>
      <c r="AD2435" t="str">
        <f>IFERROR(__xludf.DUMMYFUNCTION("""COMPUTED_VALUE"""),"Philadelphia ")</f>
        <v>Philadelphia </v>
      </c>
      <c r="AE2435">
        <f t="shared" si="67"/>
        <v>77324297</v>
      </c>
    </row>
    <row r="2436" customHeight="1" spans="1:31">
      <c r="A2436" s="2" t="s">
        <v>1440</v>
      </c>
      <c r="B2436" s="2">
        <v>97</v>
      </c>
      <c r="C2436" s="2">
        <v>8378141</v>
      </c>
      <c r="D2436" s="2" t="s">
        <v>521</v>
      </c>
      <c r="E2436" s="2" t="s">
        <v>40</v>
      </c>
      <c r="F2436" t="s">
        <v>35</v>
      </c>
      <c r="N2436" s="2" t="s">
        <v>18</v>
      </c>
      <c r="O2436" s="2" t="s">
        <v>31</v>
      </c>
      <c r="P2436" s="2">
        <v>15000000</v>
      </c>
      <c r="Q2436" s="2">
        <v>6.9</v>
      </c>
      <c r="R2436" s="2" t="s">
        <v>4906</v>
      </c>
      <c r="S2436" s="2"/>
      <c r="AC2436" s="2"/>
      <c r="AD2436" t="str">
        <f>IFERROR(__xludf.DUMMYFUNCTION("""COMPUTED_VALUE"""),"The Thirteenth Floor ")</f>
        <v>The Thirteenth Floor </v>
      </c>
      <c r="AE2436">
        <f t="shared" si="67"/>
        <v>15499900</v>
      </c>
    </row>
    <row r="2437" customHeight="1" spans="1:31">
      <c r="A2437" s="2" t="s">
        <v>2649</v>
      </c>
      <c r="B2437" s="2">
        <v>91</v>
      </c>
      <c r="C2437" s="2">
        <v>8080116</v>
      </c>
      <c r="D2437" s="2" t="s">
        <v>908</v>
      </c>
      <c r="E2437" s="2" t="s">
        <v>13</v>
      </c>
      <c r="F2437" t="s">
        <v>24</v>
      </c>
      <c r="N2437" s="2" t="s">
        <v>18</v>
      </c>
      <c r="O2437" s="2" t="s">
        <v>19</v>
      </c>
      <c r="P2437" s="2">
        <v>15000000</v>
      </c>
      <c r="Q2437" s="2">
        <v>5.6</v>
      </c>
      <c r="R2437" s="2" t="s">
        <v>4907</v>
      </c>
      <c r="S2437" s="2"/>
      <c r="AC2437" s="2"/>
      <c r="AD2437" t="str">
        <f>IFERROR(__xludf.DUMMYFUNCTION("""COMPUTED_VALUE"""),"Duets ")</f>
        <v>Duets </v>
      </c>
      <c r="AE2437">
        <f t="shared" si="67"/>
        <v>4734123</v>
      </c>
    </row>
    <row r="2438" customHeight="1" spans="1:31">
      <c r="A2438" s="2" t="s">
        <v>2651</v>
      </c>
      <c r="B2438" s="2">
        <v>107</v>
      </c>
      <c r="C2438" s="2">
        <v>7757130</v>
      </c>
      <c r="D2438" s="2" t="s">
        <v>3855</v>
      </c>
      <c r="E2438" s="2" t="s">
        <v>40</v>
      </c>
      <c r="F2438" t="s">
        <v>40</v>
      </c>
      <c r="N2438" s="2" t="s">
        <v>18</v>
      </c>
      <c r="O2438" s="2" t="s">
        <v>31</v>
      </c>
      <c r="P2438" s="2">
        <v>15000000</v>
      </c>
      <c r="Q2438" s="2">
        <v>8</v>
      </c>
      <c r="R2438" s="2" t="s">
        <v>4908</v>
      </c>
      <c r="S2438" s="2"/>
      <c r="AC2438" s="2"/>
      <c r="AD2438" t="str">
        <f>IFERROR(__xludf.DUMMYFUNCTION("""COMPUTED_VALUE"""),"Hollywood Ending ")</f>
        <v>Hollywood Ending </v>
      </c>
      <c r="AE2438">
        <f t="shared" si="67"/>
        <v>4839271</v>
      </c>
    </row>
    <row r="2439" customHeight="1" spans="1:31">
      <c r="A2439" s="2" t="s">
        <v>2653</v>
      </c>
      <c r="B2439" s="2">
        <v>95</v>
      </c>
      <c r="C2439" s="2">
        <v>9123834</v>
      </c>
      <c r="D2439" s="2" t="s">
        <v>607</v>
      </c>
      <c r="E2439" s="2" t="s">
        <v>40</v>
      </c>
      <c r="F2439" t="s">
        <v>15</v>
      </c>
      <c r="N2439" s="2" t="s">
        <v>18</v>
      </c>
      <c r="O2439" s="2" t="s">
        <v>19</v>
      </c>
      <c r="P2439" s="2">
        <v>15000000</v>
      </c>
      <c r="Q2439" s="2">
        <v>5.3</v>
      </c>
      <c r="R2439" s="2" t="s">
        <v>4909</v>
      </c>
      <c r="S2439" s="2"/>
      <c r="AC2439" s="2"/>
      <c r="AD2439" t="str">
        <f>IFERROR(__xludf.DUMMYFUNCTION("""COMPUTED_VALUE"""),"Detroit Rock City ")</f>
        <v>Detroit Rock City </v>
      </c>
      <c r="AE2439">
        <f t="shared" si="67"/>
        <v>4192930</v>
      </c>
    </row>
    <row r="2440" customHeight="1" spans="1:31">
      <c r="A2440" s="2" t="s">
        <v>2655</v>
      </c>
      <c r="B2440" s="2">
        <v>102</v>
      </c>
      <c r="C2440" s="2">
        <v>6409206</v>
      </c>
      <c r="D2440" s="2" t="s">
        <v>3198</v>
      </c>
      <c r="E2440" s="2" t="s">
        <v>40</v>
      </c>
      <c r="F2440" t="s">
        <v>16</v>
      </c>
      <c r="N2440" s="2" t="s">
        <v>18</v>
      </c>
      <c r="O2440" s="2" t="s">
        <v>19</v>
      </c>
      <c r="P2440" s="2">
        <v>15000000</v>
      </c>
      <c r="Q2440" s="2">
        <v>6.2</v>
      </c>
      <c r="R2440" s="2" t="s">
        <v>4910</v>
      </c>
      <c r="S2440" s="2"/>
      <c r="AC2440" s="2"/>
      <c r="AD2440" t="str">
        <f>IFERROR(__xludf.DUMMYFUNCTION("""COMPUTED_VALUE"""),"Highlander ")</f>
        <v>Highlander </v>
      </c>
      <c r="AE2440">
        <f t="shared" si="67"/>
        <v>5899890</v>
      </c>
    </row>
    <row r="2441" customHeight="1" spans="1:31">
      <c r="A2441" s="2" t="s">
        <v>2658</v>
      </c>
      <c r="B2441" s="2">
        <v>88</v>
      </c>
      <c r="C2441" s="2">
        <v>6373693</v>
      </c>
      <c r="D2441" s="2" t="s">
        <v>607</v>
      </c>
      <c r="E2441" s="2" t="s">
        <v>40</v>
      </c>
      <c r="F2441" t="s">
        <v>40</v>
      </c>
      <c r="N2441" s="2" t="s">
        <v>18</v>
      </c>
      <c r="O2441" s="2" t="s">
        <v>19</v>
      </c>
      <c r="P2441" s="2">
        <v>15000000</v>
      </c>
      <c r="Q2441" s="2">
        <v>5.3</v>
      </c>
      <c r="R2441" s="2" t="s">
        <v>4911</v>
      </c>
      <c r="S2441" s="2"/>
      <c r="AC2441" s="2"/>
      <c r="AD2441" t="str">
        <f>IFERROR(__xludf.DUMMYFUNCTION("""COMPUTED_VALUE"""),"Things We Lost in the Fire ")</f>
        <v>Things We Lost in the Fire </v>
      </c>
      <c r="AE2441">
        <f t="shared" si="67"/>
        <v>2849024</v>
      </c>
    </row>
    <row r="2442" customHeight="1" spans="1:31">
      <c r="A2442" s="2" t="s">
        <v>1453</v>
      </c>
      <c r="B2442" s="2">
        <v>106</v>
      </c>
      <c r="C2442" s="2">
        <v>7556708</v>
      </c>
      <c r="D2442" s="2" t="s">
        <v>30</v>
      </c>
      <c r="E2442" s="2" t="s">
        <v>30</v>
      </c>
      <c r="F2442" t="s">
        <v>30</v>
      </c>
      <c r="N2442" s="2" t="s">
        <v>18</v>
      </c>
      <c r="O2442" s="2" t="s">
        <v>19</v>
      </c>
      <c r="P2442" s="2">
        <v>15000000</v>
      </c>
      <c r="Q2442" s="2">
        <v>6.6</v>
      </c>
      <c r="R2442" s="2" t="s">
        <v>4912</v>
      </c>
      <c r="S2442" s="2"/>
      <c r="AC2442" s="2"/>
      <c r="AD2442" t="str">
        <f>IFERROR(__xludf.DUMMYFUNCTION("""COMPUTED_VALUE"""),"Steel ")</f>
        <v>Steel </v>
      </c>
      <c r="AE2442">
        <f t="shared" si="67"/>
        <v>1686332</v>
      </c>
    </row>
    <row r="2443" customHeight="1" spans="1:31">
      <c r="A2443" s="2" t="s">
        <v>1814</v>
      </c>
      <c r="B2443" s="2">
        <v>92</v>
      </c>
      <c r="C2443" s="2">
        <v>5306447</v>
      </c>
      <c r="D2443" s="2" t="s">
        <v>607</v>
      </c>
      <c r="E2443" s="2" t="s">
        <v>40</v>
      </c>
      <c r="F2443" t="s">
        <v>56</v>
      </c>
      <c r="N2443" s="2" t="s">
        <v>18</v>
      </c>
      <c r="O2443" s="2" t="s">
        <v>19</v>
      </c>
      <c r="P2443" s="2">
        <v>15000000</v>
      </c>
      <c r="Q2443" s="2">
        <v>7.2</v>
      </c>
      <c r="R2443" s="2" t="s">
        <v>4913</v>
      </c>
      <c r="S2443" s="2"/>
      <c r="AC2443" s="2"/>
      <c r="AD2443" t="str">
        <f>IFERROR(__xludf.DUMMYFUNCTION("""COMPUTED_VALUE"""),"The Immigrant ")</f>
        <v>The Immigrant </v>
      </c>
      <c r="AE2443">
        <f t="shared" si="67"/>
        <v>1984623</v>
      </c>
    </row>
    <row r="2444" customHeight="1" spans="1:31">
      <c r="A2444" s="2" t="s">
        <v>2661</v>
      </c>
      <c r="B2444" s="2">
        <v>105</v>
      </c>
      <c r="C2444" s="2">
        <v>5217498</v>
      </c>
      <c r="D2444" s="2" t="s">
        <v>712</v>
      </c>
      <c r="E2444" s="2" t="s">
        <v>30</v>
      </c>
      <c r="F2444" t="s">
        <v>24</v>
      </c>
      <c r="N2444" s="2" t="s">
        <v>18</v>
      </c>
      <c r="O2444" s="2" t="s">
        <v>19</v>
      </c>
      <c r="P2444" s="2">
        <v>15000000</v>
      </c>
      <c r="Q2444" s="2">
        <v>4.6</v>
      </c>
      <c r="R2444" s="2" t="s">
        <v>4914</v>
      </c>
      <c r="S2444" s="2"/>
      <c r="AC2444" s="2"/>
      <c r="AD2444" t="str">
        <f>IFERROR(__xludf.DUMMYFUNCTION("""COMPUTED_VALUE"""),"The White Countess ")</f>
        <v>The White Countess </v>
      </c>
      <c r="AE2444">
        <f t="shared" si="67"/>
        <v>1666127</v>
      </c>
    </row>
    <row r="2445" customHeight="1" spans="1:31">
      <c r="A2445" s="2" t="s">
        <v>2538</v>
      </c>
      <c r="B2445" s="2">
        <v>107</v>
      </c>
      <c r="C2445" s="2">
        <v>5023275</v>
      </c>
      <c r="D2445" s="2" t="s">
        <v>4915</v>
      </c>
      <c r="E2445" s="2" t="s">
        <v>13</v>
      </c>
      <c r="F2445" t="s">
        <v>15</v>
      </c>
      <c r="N2445" s="2" t="s">
        <v>18</v>
      </c>
      <c r="O2445" s="2" t="s">
        <v>707</v>
      </c>
      <c r="P2445" s="2">
        <v>15000000</v>
      </c>
      <c r="Q2445" s="2">
        <v>7.5</v>
      </c>
      <c r="R2445" s="2" t="s">
        <v>4916</v>
      </c>
      <c r="S2445" s="2"/>
      <c r="AC2445" s="2"/>
      <c r="AD2445" t="str">
        <f>IFERROR(__xludf.DUMMYFUNCTION("""COMPUTED_VALUE"""),"Trance ")</f>
        <v>Trance </v>
      </c>
      <c r="AE2445">
        <f t="shared" si="67"/>
        <v>2319086</v>
      </c>
    </row>
    <row r="2446" customHeight="1" spans="1:31">
      <c r="A2446" s="2" t="s">
        <v>2663</v>
      </c>
      <c r="B2446" s="2">
        <v>120</v>
      </c>
      <c r="C2446" s="2">
        <v>4956401</v>
      </c>
      <c r="D2446" s="2" t="s">
        <v>1354</v>
      </c>
      <c r="E2446" s="2" t="s">
        <v>30</v>
      </c>
      <c r="F2446" t="s">
        <v>28</v>
      </c>
      <c r="N2446" s="2" t="s">
        <v>18</v>
      </c>
      <c r="O2446" s="2" t="s">
        <v>707</v>
      </c>
      <c r="P2446" s="2">
        <v>15000000</v>
      </c>
      <c r="Q2446" s="2">
        <v>6.5</v>
      </c>
      <c r="R2446" s="2" t="s">
        <v>4917</v>
      </c>
      <c r="S2446" s="2"/>
      <c r="AC2446" s="2"/>
      <c r="AD2446" t="str">
        <f>IFERROR(__xludf.DUMMYFUNCTION("""COMPUTED_VALUE"""),"Soul Plane ")</f>
        <v>Soul Plane </v>
      </c>
      <c r="AE2446">
        <f t="shared" si="67"/>
        <v>13922119</v>
      </c>
    </row>
    <row r="2447" customHeight="1" spans="1:31">
      <c r="A2447" s="2" t="s">
        <v>115</v>
      </c>
      <c r="B2447" s="2">
        <v>103</v>
      </c>
      <c r="C2447" s="2">
        <v>4235837</v>
      </c>
      <c r="D2447" s="2" t="s">
        <v>4771</v>
      </c>
      <c r="E2447" s="2" t="s">
        <v>40</v>
      </c>
      <c r="F2447" t="s">
        <v>14</v>
      </c>
      <c r="N2447" s="2" t="s">
        <v>18</v>
      </c>
      <c r="O2447" s="2" t="s">
        <v>19</v>
      </c>
      <c r="P2447" s="2">
        <v>15000000</v>
      </c>
      <c r="Q2447" s="2">
        <v>7.6</v>
      </c>
      <c r="R2447" s="2" t="s">
        <v>4918</v>
      </c>
      <c r="S2447" s="2"/>
      <c r="AC2447" s="2"/>
      <c r="AD2447" t="str">
        <f>IFERROR(__xludf.DUMMYFUNCTION("""COMPUTED_VALUE"""),"Good ")</f>
        <v>Good </v>
      </c>
      <c r="AE2447">
        <f t="shared" si="67"/>
        <v>22999</v>
      </c>
    </row>
    <row r="2448" customHeight="1" spans="1:31">
      <c r="A2448" s="2" t="s">
        <v>2665</v>
      </c>
      <c r="B2448" s="2">
        <v>92</v>
      </c>
      <c r="C2448" s="2">
        <v>4002955</v>
      </c>
      <c r="D2448" s="2" t="s">
        <v>3391</v>
      </c>
      <c r="E2448" s="2" t="s">
        <v>40</v>
      </c>
      <c r="F2448" t="s">
        <v>30</v>
      </c>
      <c r="N2448" s="2" t="s">
        <v>18</v>
      </c>
      <c r="O2448" s="2" t="s">
        <v>19</v>
      </c>
      <c r="P2448" s="2">
        <v>20000000</v>
      </c>
      <c r="Q2448" s="2">
        <v>6.2</v>
      </c>
      <c r="R2448" s="2" t="s">
        <v>4919</v>
      </c>
      <c r="S2448" s="2"/>
      <c r="AC2448" s="2"/>
      <c r="AD2448" t="str">
        <f>IFERROR(__xludf.DUMMYFUNCTION("""COMPUTED_VALUE"""),"Enter the Void ")</f>
        <v>Enter the Void </v>
      </c>
      <c r="AE2448">
        <f t="shared" si="67"/>
        <v>336306</v>
      </c>
    </row>
    <row r="2449" customHeight="1" spans="1:31">
      <c r="A2449" s="2" t="s">
        <v>1414</v>
      </c>
      <c r="B2449" s="2">
        <v>147</v>
      </c>
      <c r="C2449" s="2">
        <v>7219578</v>
      </c>
      <c r="D2449" s="2" t="s">
        <v>712</v>
      </c>
      <c r="E2449" s="2" t="s">
        <v>30</v>
      </c>
      <c r="F2449" t="s">
        <v>30</v>
      </c>
      <c r="N2449" s="2" t="s">
        <v>18</v>
      </c>
      <c r="O2449" s="2" t="s">
        <v>707</v>
      </c>
      <c r="P2449" s="2">
        <v>15000000</v>
      </c>
      <c r="Q2449" s="2">
        <v>8</v>
      </c>
      <c r="R2449" s="2" t="s">
        <v>4920</v>
      </c>
      <c r="S2449" s="2"/>
      <c r="AC2449" s="2"/>
      <c r="AD2449" t="str">
        <f>IFERROR(__xludf.DUMMYFUNCTION("""COMPUTED_VALUE"""),"Vamps ")</f>
        <v>Vamps </v>
      </c>
      <c r="AE2449">
        <f t="shared" si="67"/>
        <v>2872</v>
      </c>
    </row>
    <row r="2450" customHeight="1" spans="1:31">
      <c r="A2450" s="2" t="s">
        <v>1814</v>
      </c>
      <c r="B2450" s="2">
        <v>98</v>
      </c>
      <c r="C2450" s="2">
        <v>3247816</v>
      </c>
      <c r="D2450" s="2" t="s">
        <v>521</v>
      </c>
      <c r="E2450" s="2" t="s">
        <v>40</v>
      </c>
      <c r="F2450" t="s">
        <v>83</v>
      </c>
      <c r="N2450" s="2" t="s">
        <v>18</v>
      </c>
      <c r="O2450" s="2" t="s">
        <v>19</v>
      </c>
      <c r="P2450" s="2">
        <v>22000000</v>
      </c>
      <c r="Q2450" s="2">
        <v>6.3</v>
      </c>
      <c r="R2450" s="2" t="s">
        <v>4921</v>
      </c>
      <c r="S2450" s="2"/>
      <c r="AC2450" s="2"/>
      <c r="AD2450" t="str">
        <f>IFERROR(__xludf.DUMMYFUNCTION("""COMPUTED_VALUE"""),"The Homesman ")</f>
        <v>The Homesman </v>
      </c>
      <c r="AE2450">
        <f t="shared" si="67"/>
        <v>2428761</v>
      </c>
    </row>
    <row r="2451" customHeight="1" spans="1:31">
      <c r="A2451" s="2" t="s">
        <v>2667</v>
      </c>
      <c r="B2451" s="2">
        <v>103</v>
      </c>
      <c r="C2451" s="2">
        <v>2412045</v>
      </c>
      <c r="D2451" s="2" t="s">
        <v>4041</v>
      </c>
      <c r="E2451" s="2" t="s">
        <v>30</v>
      </c>
      <c r="F2451" t="s">
        <v>17</v>
      </c>
      <c r="N2451" s="2" t="s">
        <v>18</v>
      </c>
      <c r="O2451" s="2" t="s">
        <v>31</v>
      </c>
      <c r="P2451" s="2">
        <v>15000000</v>
      </c>
      <c r="Q2451" s="2">
        <v>7.2</v>
      </c>
      <c r="R2451" s="2" t="s">
        <v>4922</v>
      </c>
      <c r="S2451" s="2"/>
      <c r="AC2451" s="2"/>
      <c r="AD2451" t="str">
        <f>IFERROR(__xludf.DUMMYFUNCTION("""COMPUTED_VALUE"""),"Juwanna Mann ")</f>
        <v>Juwanna Mann </v>
      </c>
      <c r="AE2451">
        <f t="shared" si="67"/>
        <v>13571726</v>
      </c>
    </row>
    <row r="2452" customHeight="1" spans="1:31">
      <c r="A2452" s="2" t="s">
        <v>2669</v>
      </c>
      <c r="B2452" s="2">
        <v>111</v>
      </c>
      <c r="C2452" s="2">
        <v>2203641</v>
      </c>
      <c r="D2452" s="2" t="s">
        <v>814</v>
      </c>
      <c r="E2452" s="2" t="s">
        <v>56</v>
      </c>
      <c r="F2452" t="s">
        <v>30</v>
      </c>
      <c r="N2452" s="2" t="s">
        <v>18</v>
      </c>
      <c r="O2452" s="2" t="s">
        <v>1431</v>
      </c>
      <c r="P2452" s="2">
        <v>15000000</v>
      </c>
      <c r="Q2452" s="2">
        <v>6.7</v>
      </c>
      <c r="R2452" s="2" t="s">
        <v>4923</v>
      </c>
      <c r="S2452" s="2"/>
      <c r="AC2452" s="2"/>
      <c r="AD2452" t="str">
        <f>IFERROR(__xludf.DUMMYFUNCTION("""COMPUTED_VALUE"""),"Slow Burn ")</f>
        <v>Slow Burn </v>
      </c>
      <c r="AE2452">
        <f t="shared" si="67"/>
        <v>1181104</v>
      </c>
    </row>
    <row r="2453" customHeight="1" spans="1:31">
      <c r="A2453" s="2" t="s">
        <v>2671</v>
      </c>
      <c r="B2453" s="2">
        <v>98</v>
      </c>
      <c r="C2453" s="2">
        <v>1953732</v>
      </c>
      <c r="D2453" s="2" t="s">
        <v>499</v>
      </c>
      <c r="E2453" s="2" t="s">
        <v>13</v>
      </c>
      <c r="F2453" t="s">
        <v>17</v>
      </c>
      <c r="N2453" s="2" t="s">
        <v>18</v>
      </c>
      <c r="O2453" s="2" t="s">
        <v>19</v>
      </c>
      <c r="P2453" s="2">
        <v>15000000</v>
      </c>
      <c r="Q2453" s="2">
        <v>5.3</v>
      </c>
      <c r="R2453" s="2" t="s">
        <v>4924</v>
      </c>
      <c r="S2453" s="2"/>
      <c r="AC2453" s="2"/>
      <c r="AD2453" t="str">
        <f>IFERROR(__xludf.DUMMYFUNCTION("""COMPUTED_VALUE"""),"Wasabi ")</f>
        <v>Wasabi </v>
      </c>
      <c r="AE2453">
        <f t="shared" si="67"/>
        <v>81431</v>
      </c>
    </row>
    <row r="2454" customHeight="1" spans="1:31">
      <c r="A2454" s="2" t="s">
        <v>2673</v>
      </c>
      <c r="B2454" s="2">
        <v>111</v>
      </c>
      <c r="C2454" s="2">
        <v>1954202</v>
      </c>
      <c r="D2454" s="2" t="s">
        <v>3855</v>
      </c>
      <c r="E2454" s="2" t="s">
        <v>40</v>
      </c>
      <c r="F2454" t="s">
        <v>28</v>
      </c>
      <c r="N2454" s="2" t="s">
        <v>18</v>
      </c>
      <c r="O2454" s="2" t="s">
        <v>19</v>
      </c>
      <c r="P2454" s="2">
        <v>15000000</v>
      </c>
      <c r="Q2454" s="2">
        <v>6.3</v>
      </c>
      <c r="R2454" s="2" t="s">
        <v>4925</v>
      </c>
      <c r="S2454" s="2"/>
      <c r="AC2454" s="2"/>
      <c r="AD2454" t="str">
        <f>IFERROR(__xludf.DUMMYFUNCTION("""COMPUTED_VALUE"""),"Slither ")</f>
        <v>Slither </v>
      </c>
      <c r="AE2454">
        <f t="shared" si="67"/>
        <v>7774635</v>
      </c>
    </row>
    <row r="2455" customHeight="1" spans="1:31">
      <c r="A2455" s="2" t="s">
        <v>2423</v>
      </c>
      <c r="B2455" s="2">
        <v>111</v>
      </c>
      <c r="C2455" s="2">
        <v>1294640</v>
      </c>
      <c r="D2455" s="2" t="s">
        <v>2768</v>
      </c>
      <c r="E2455" s="2" t="s">
        <v>56</v>
      </c>
      <c r="F2455" t="s">
        <v>30</v>
      </c>
      <c r="N2455" s="2" t="s">
        <v>18</v>
      </c>
      <c r="O2455" s="2" t="s">
        <v>19</v>
      </c>
      <c r="P2455" s="2">
        <v>15000000</v>
      </c>
      <c r="Q2455" s="2">
        <v>6.5</v>
      </c>
      <c r="R2455" s="2" t="s">
        <v>4926</v>
      </c>
      <c r="S2455" s="2"/>
      <c r="AC2455" s="2"/>
      <c r="AD2455" t="str">
        <f>IFERROR(__xludf.DUMMYFUNCTION("""COMPUTED_VALUE"""),"Beverly Hills Cop ")</f>
        <v>Beverly Hills Cop </v>
      </c>
      <c r="AE2455">
        <f t="shared" si="67"/>
        <v>234760395</v>
      </c>
    </row>
    <row r="2456" customHeight="1" spans="1:31">
      <c r="A2456" s="2" t="s">
        <v>2675</v>
      </c>
      <c r="B2456" s="2">
        <v>145</v>
      </c>
      <c r="C2456" s="2">
        <v>26435</v>
      </c>
      <c r="D2456" s="2" t="s">
        <v>677</v>
      </c>
      <c r="E2456" s="2" t="s">
        <v>30</v>
      </c>
      <c r="F2456" t="s">
        <v>30</v>
      </c>
      <c r="N2456" s="2" t="s">
        <v>4574</v>
      </c>
      <c r="O2456" s="2" t="s">
        <v>293</v>
      </c>
      <c r="P2456" s="2">
        <v>6000000</v>
      </c>
      <c r="Q2456" s="2">
        <v>8.3</v>
      </c>
      <c r="R2456" s="2" t="s">
        <v>4927</v>
      </c>
      <c r="S2456" s="2"/>
      <c r="AC2456" s="2"/>
      <c r="AD2456" t="str">
        <f>IFERROR(__xludf.DUMMYFUNCTION("""COMPUTED_VALUE"""),"Home Alone ")</f>
        <v>Home Alone </v>
      </c>
      <c r="AE2456">
        <f t="shared" si="67"/>
        <v>285761140</v>
      </c>
    </row>
    <row r="2457" customHeight="1" spans="1:31">
      <c r="A2457" s="2" t="s">
        <v>1244</v>
      </c>
      <c r="B2457" s="2">
        <v>84</v>
      </c>
      <c r="C2457" s="2">
        <v>1197786</v>
      </c>
      <c r="D2457" s="2" t="s">
        <v>150</v>
      </c>
      <c r="E2457" s="2" t="s">
        <v>12</v>
      </c>
      <c r="F2457" t="s">
        <v>23</v>
      </c>
      <c r="N2457" s="2" t="s">
        <v>1125</v>
      </c>
      <c r="O2457" s="2" t="s">
        <v>707</v>
      </c>
      <c r="P2457" s="2">
        <v>12000000</v>
      </c>
      <c r="Q2457" s="2">
        <v>7.2</v>
      </c>
      <c r="R2457" s="2" t="s">
        <v>4928</v>
      </c>
      <c r="S2457" s="2"/>
      <c r="AC2457" s="2"/>
      <c r="AD2457" t="str">
        <f>IFERROR(__xludf.DUMMYFUNCTION("""COMPUTED_VALUE"""),"3 Men and a Baby ")</f>
        <v>3 Men and a Baby </v>
      </c>
      <c r="AE2457">
        <f t="shared" si="67"/>
        <v>167780858</v>
      </c>
    </row>
    <row r="2458" customHeight="1" spans="1:31">
      <c r="A2458" s="2" t="s">
        <v>1286</v>
      </c>
      <c r="B2458" s="2">
        <v>115</v>
      </c>
      <c r="C2458" s="2">
        <v>529766</v>
      </c>
      <c r="D2458" s="2" t="s">
        <v>718</v>
      </c>
      <c r="E2458" s="2" t="s">
        <v>56</v>
      </c>
      <c r="F2458" t="s">
        <v>28</v>
      </c>
      <c r="N2458" s="2" t="s">
        <v>18</v>
      </c>
      <c r="O2458" s="2" t="s">
        <v>19</v>
      </c>
      <c r="P2458" s="2">
        <v>7000000</v>
      </c>
      <c r="Q2458" s="2">
        <v>6.8</v>
      </c>
      <c r="R2458" s="2" t="s">
        <v>4929</v>
      </c>
      <c r="S2458" s="2"/>
      <c r="AC2458" s="2"/>
      <c r="AD2458" t="str">
        <f>IFERROR(__xludf.DUMMYFUNCTION("""COMPUTED_VALUE"""),"Tootsie ")</f>
        <v>Tootsie </v>
      </c>
      <c r="AE2458">
        <f t="shared" si="67"/>
        <v>177199884</v>
      </c>
    </row>
    <row r="2459" customHeight="1" spans="1:31">
      <c r="A2459" s="2" t="s">
        <v>2678</v>
      </c>
      <c r="B2459" s="2">
        <v>105</v>
      </c>
      <c r="C2459" s="2">
        <v>613556</v>
      </c>
      <c r="D2459" s="2" t="s">
        <v>297</v>
      </c>
      <c r="E2459" s="2" t="s">
        <v>12</v>
      </c>
      <c r="F2459" t="s">
        <v>40</v>
      </c>
      <c r="N2459" s="2" t="s">
        <v>722</v>
      </c>
      <c r="O2459" s="2" t="s">
        <v>4804</v>
      </c>
      <c r="P2459" s="2">
        <v>15000000</v>
      </c>
      <c r="Q2459" s="2">
        <v>6.4</v>
      </c>
      <c r="R2459" s="2" t="s">
        <v>4930</v>
      </c>
      <c r="S2459" s="2"/>
      <c r="AC2459" s="2"/>
      <c r="AD2459" t="str">
        <f>IFERROR(__xludf.DUMMYFUNCTION("""COMPUTED_VALUE"""),"Top Gun ")</f>
        <v>Top Gun </v>
      </c>
      <c r="AE2459">
        <f t="shared" si="67"/>
        <v>176781618</v>
      </c>
    </row>
    <row r="2460" customHeight="1" spans="1:31">
      <c r="A2460" s="2" t="s">
        <v>2680</v>
      </c>
      <c r="B2460" s="2">
        <v>98</v>
      </c>
      <c r="C2460" s="2">
        <v>353743</v>
      </c>
      <c r="D2460" s="2" t="s">
        <v>4931</v>
      </c>
      <c r="E2460" s="2" t="s">
        <v>40</v>
      </c>
      <c r="F2460" t="s">
        <v>14</v>
      </c>
      <c r="N2460" s="2" t="s">
        <v>18</v>
      </c>
      <c r="O2460" s="2" t="s">
        <v>31</v>
      </c>
      <c r="P2460" s="2">
        <v>15000000</v>
      </c>
      <c r="Q2460" s="2">
        <v>6.9</v>
      </c>
      <c r="R2460" s="2" t="s">
        <v>4932</v>
      </c>
      <c r="S2460" s="2"/>
      <c r="AC2460" s="2"/>
      <c r="AD2460" t="str">
        <f>IFERROR(__xludf.DUMMYFUNCTION("""COMPUTED_VALUE"""),"Crouching Tiger, Hidden Dragon ")</f>
        <v>Crouching Tiger, Hidden Dragon </v>
      </c>
      <c r="AE2460">
        <f t="shared" si="67"/>
        <v>128067688</v>
      </c>
    </row>
    <row r="2461" customHeight="1" spans="1:31">
      <c r="A2461" s="2" t="s">
        <v>2682</v>
      </c>
      <c r="B2461" s="2">
        <v>110</v>
      </c>
      <c r="C2461" s="2">
        <v>102055</v>
      </c>
      <c r="D2461" s="2" t="s">
        <v>12</v>
      </c>
      <c r="E2461" s="2" t="s">
        <v>12</v>
      </c>
      <c r="F2461" t="s">
        <v>56</v>
      </c>
      <c r="N2461" s="2" t="s">
        <v>4933</v>
      </c>
      <c r="O2461" s="2" t="s">
        <v>4934</v>
      </c>
      <c r="P2461" s="2">
        <v>300000000</v>
      </c>
      <c r="Q2461" s="2">
        <v>6.2</v>
      </c>
      <c r="R2461" s="2" t="s">
        <v>4935</v>
      </c>
      <c r="S2461" s="2"/>
      <c r="AC2461" s="2"/>
      <c r="AD2461" t="str">
        <f>IFERROR(__xludf.DUMMYFUNCTION("""COMPUTED_VALUE"""),"American Beauty ")</f>
        <v>American Beauty </v>
      </c>
      <c r="AE2461">
        <f t="shared" si="67"/>
        <v>130057925</v>
      </c>
    </row>
    <row r="2462" customHeight="1" spans="1:31">
      <c r="A2462" s="2" t="s">
        <v>2684</v>
      </c>
      <c r="B2462" s="2">
        <v>103</v>
      </c>
      <c r="C2462" s="2">
        <v>73548</v>
      </c>
      <c r="D2462" s="2" t="s">
        <v>4936</v>
      </c>
      <c r="E2462" s="2" t="s">
        <v>14</v>
      </c>
      <c r="F2462" t="s">
        <v>30</v>
      </c>
      <c r="N2462" s="2" t="s">
        <v>18</v>
      </c>
      <c r="O2462" s="2" t="s">
        <v>19</v>
      </c>
      <c r="P2462" s="2">
        <v>15000000</v>
      </c>
      <c r="Q2462" s="2">
        <v>6.1</v>
      </c>
      <c r="R2462" s="2" t="s">
        <v>4937</v>
      </c>
      <c r="S2462" s="2"/>
      <c r="AC2462" s="2"/>
      <c r="AD2462" t="str">
        <f>IFERROR(__xludf.DUMMYFUNCTION("""COMPUTED_VALUE"""),"The King's Speech ")</f>
        <v>The King's Speech </v>
      </c>
      <c r="AE2462">
        <f t="shared" si="67"/>
        <v>138795224</v>
      </c>
    </row>
    <row r="2463" customHeight="1" spans="1:31">
      <c r="A2463" s="2" t="s">
        <v>2686</v>
      </c>
      <c r="B2463" s="2">
        <v>90</v>
      </c>
      <c r="C2463" s="2">
        <v>28870</v>
      </c>
      <c r="D2463" s="2" t="s">
        <v>805</v>
      </c>
      <c r="E2463" s="2" t="s">
        <v>56</v>
      </c>
      <c r="F2463" t="s">
        <v>56</v>
      </c>
      <c r="N2463" s="2" t="s">
        <v>18</v>
      </c>
      <c r="O2463" s="2" t="s">
        <v>19</v>
      </c>
      <c r="P2463" s="2">
        <v>15000000</v>
      </c>
      <c r="Q2463" s="2">
        <v>5.1</v>
      </c>
      <c r="R2463" s="2" t="s">
        <v>4938</v>
      </c>
      <c r="S2463" s="2"/>
      <c r="AC2463" s="2"/>
      <c r="AD2463" t="str">
        <f>IFERROR(__xludf.DUMMYFUNCTION("""COMPUTED_VALUE"""),"Twins ")</f>
        <v>Twins </v>
      </c>
      <c r="AE2463">
        <f t="shared" si="67"/>
        <v>111936293</v>
      </c>
    </row>
    <row r="2464" customHeight="1" spans="1:31">
      <c r="A2464" s="2" t="s">
        <v>2688</v>
      </c>
      <c r="B2464" s="2">
        <v>105</v>
      </c>
      <c r="C2464" s="2">
        <v>22723</v>
      </c>
      <c r="D2464" s="2" t="s">
        <v>4939</v>
      </c>
      <c r="E2464" s="2" t="s">
        <v>12</v>
      </c>
      <c r="F2464" t="s">
        <v>30</v>
      </c>
      <c r="N2464" s="2" t="s">
        <v>18</v>
      </c>
      <c r="O2464" s="2" t="s">
        <v>293</v>
      </c>
      <c r="P2464" s="2">
        <v>25000000</v>
      </c>
      <c r="Q2464" s="2">
        <v>4.5</v>
      </c>
      <c r="R2464" s="2" t="s">
        <v>4940</v>
      </c>
      <c r="S2464" s="2"/>
      <c r="AC2464" s="2"/>
      <c r="AD2464" t="str">
        <f>IFERROR(__xludf.DUMMYFUNCTION("""COMPUTED_VALUE"""),"The Yellow Handkerchief ")</f>
        <v>The Yellow Handkerchief </v>
      </c>
      <c r="AE2464">
        <f t="shared" si="67"/>
        <v>316938</v>
      </c>
    </row>
    <row r="2465" customHeight="1" spans="1:31">
      <c r="A2465" s="2" t="s">
        <v>2691</v>
      </c>
      <c r="B2465" s="2">
        <v>93</v>
      </c>
      <c r="C2465" s="2">
        <v>20380</v>
      </c>
      <c r="D2465" s="2" t="s">
        <v>4941</v>
      </c>
      <c r="E2465" s="2" t="s">
        <v>40</v>
      </c>
      <c r="F2465" t="s">
        <v>30</v>
      </c>
      <c r="N2465" s="2" t="s">
        <v>18</v>
      </c>
      <c r="O2465" s="2" t="s">
        <v>19</v>
      </c>
      <c r="P2465" s="2">
        <v>15000000</v>
      </c>
      <c r="Q2465" s="2">
        <v>5.9</v>
      </c>
      <c r="R2465" s="2" t="s">
        <v>4942</v>
      </c>
      <c r="S2465" s="2"/>
      <c r="AC2465" s="2"/>
      <c r="AD2465" t="str">
        <f>IFERROR(__xludf.DUMMYFUNCTION("""COMPUTED_VALUE"""),"The Color Purple ")</f>
        <v>The Color Purple </v>
      </c>
      <c r="AE2465">
        <f t="shared" si="67"/>
        <v>94175700</v>
      </c>
    </row>
    <row r="2466" customHeight="1" spans="1:31">
      <c r="A2466" s="2" t="s">
        <v>1108</v>
      </c>
      <c r="B2466" s="2">
        <v>101</v>
      </c>
      <c r="C2466" s="2">
        <v>70906973</v>
      </c>
      <c r="D2466" s="2" t="s">
        <v>1456</v>
      </c>
      <c r="E2466" s="2" t="s">
        <v>40</v>
      </c>
      <c r="F2466" t="s">
        <v>14</v>
      </c>
      <c r="N2466" s="2" t="s">
        <v>18</v>
      </c>
      <c r="O2466" s="2" t="s">
        <v>19</v>
      </c>
      <c r="P2466" s="2">
        <v>14600000</v>
      </c>
      <c r="Q2466" s="2">
        <v>8.1</v>
      </c>
      <c r="R2466" s="2" t="s">
        <v>4943</v>
      </c>
      <c r="S2466" s="2"/>
      <c r="AC2466" s="2"/>
      <c r="AD2466" t="str">
        <f>IFERROR(__xludf.DUMMYFUNCTION("""COMPUTED_VALUE"""),"The Imitation Game ")</f>
        <v>The Imitation Game </v>
      </c>
      <c r="AE2466">
        <f t="shared" si="67"/>
        <v>91121338</v>
      </c>
    </row>
    <row r="2467" customHeight="1" spans="1:31">
      <c r="A2467" s="2" t="s">
        <v>2693</v>
      </c>
      <c r="B2467" s="2">
        <v>115</v>
      </c>
      <c r="C2467" s="2">
        <v>66009973</v>
      </c>
      <c r="D2467" s="2" t="s">
        <v>3722</v>
      </c>
      <c r="E2467" s="2" t="s">
        <v>40</v>
      </c>
      <c r="F2467" t="s">
        <v>13</v>
      </c>
      <c r="N2467" s="2" t="s">
        <v>18</v>
      </c>
      <c r="O2467" s="2" t="s">
        <v>19</v>
      </c>
      <c r="P2467" s="2">
        <v>14800000</v>
      </c>
      <c r="Q2467" s="2">
        <v>5.7</v>
      </c>
      <c r="R2467" s="2" t="s">
        <v>4944</v>
      </c>
      <c r="S2467" s="2"/>
      <c r="AC2467" s="2"/>
      <c r="AD2467" t="str">
        <f>IFERROR(__xludf.DUMMYFUNCTION("""COMPUTED_VALUE"""),"Private Benjamin ")</f>
        <v>Private Benjamin </v>
      </c>
      <c r="AE2467">
        <f t="shared" si="67"/>
        <v>69799891</v>
      </c>
    </row>
    <row r="2468" customHeight="1" spans="1:31">
      <c r="A2468" s="2" t="s">
        <v>158</v>
      </c>
      <c r="B2468" s="2">
        <v>120</v>
      </c>
      <c r="C2468" s="2">
        <v>46338728</v>
      </c>
      <c r="D2468" s="2" t="s">
        <v>103</v>
      </c>
      <c r="E2468" s="2" t="s">
        <v>30</v>
      </c>
      <c r="F2468" t="s">
        <v>24</v>
      </c>
      <c r="N2468" s="2" t="s">
        <v>18</v>
      </c>
      <c r="O2468" s="2" t="s">
        <v>19</v>
      </c>
      <c r="P2468" s="2">
        <v>14500000</v>
      </c>
      <c r="Q2468" s="2">
        <v>6.8</v>
      </c>
      <c r="R2468" s="2" t="s">
        <v>4945</v>
      </c>
      <c r="S2468" s="2"/>
      <c r="AC2468" s="2"/>
      <c r="AD2468" t="str">
        <f>IFERROR(__xludf.DUMMYFUNCTION("""COMPUTED_VALUE"""),"Diary of a Wimpy Kid ")</f>
        <v>Diary of a Wimpy Kid </v>
      </c>
      <c r="AE2468">
        <f t="shared" si="67"/>
        <v>64001203</v>
      </c>
    </row>
    <row r="2469" customHeight="1" spans="1:31">
      <c r="A2469" s="2" t="s">
        <v>2695</v>
      </c>
      <c r="B2469" s="2">
        <v>111</v>
      </c>
      <c r="C2469" s="2">
        <v>7691700</v>
      </c>
      <c r="D2469" s="2" t="s">
        <v>1354</v>
      </c>
      <c r="E2469" s="2" t="s">
        <v>30</v>
      </c>
      <c r="F2469" t="s">
        <v>24</v>
      </c>
      <c r="N2469" s="2" t="s">
        <v>1125</v>
      </c>
      <c r="O2469" s="2" t="s">
        <v>707</v>
      </c>
      <c r="P2469" s="2">
        <v>10000000</v>
      </c>
      <c r="Q2469" s="2">
        <v>7.5</v>
      </c>
      <c r="R2469" s="2" t="s">
        <v>4946</v>
      </c>
      <c r="S2469" s="2"/>
      <c r="AC2469" s="2"/>
      <c r="AD2469" t="str">
        <f>IFERROR(__xludf.DUMMYFUNCTION("""COMPUTED_VALUE"""),"Mama ")</f>
        <v>Mama </v>
      </c>
      <c r="AE2469">
        <f t="shared" si="67"/>
        <v>71588120</v>
      </c>
    </row>
    <row r="2470" customHeight="1" spans="1:31">
      <c r="A2470" s="2" t="s">
        <v>1000</v>
      </c>
      <c r="B2470" s="2">
        <v>131</v>
      </c>
      <c r="C2470" s="2">
        <v>101157447</v>
      </c>
      <c r="D2470" s="2" t="s">
        <v>641</v>
      </c>
      <c r="E2470" s="2" t="s">
        <v>30</v>
      </c>
      <c r="F2470" t="s">
        <v>30</v>
      </c>
      <c r="N2470" s="2" t="s">
        <v>18</v>
      </c>
      <c r="O2470" s="2" t="s">
        <v>19</v>
      </c>
      <c r="P2470" s="2">
        <v>14400000</v>
      </c>
      <c r="Q2470" s="2">
        <v>8.3</v>
      </c>
      <c r="R2470" s="2" t="s">
        <v>4947</v>
      </c>
      <c r="S2470" s="2"/>
      <c r="AC2470" s="2"/>
      <c r="AD2470" t="str">
        <f>IFERROR(__xludf.DUMMYFUNCTION("""COMPUTED_VALUE"""),"National Lampoon's Vacation ")</f>
        <v>National Lampoon's Vacation </v>
      </c>
      <c r="AE2470">
        <f t="shared" si="67"/>
        <v>61399902</v>
      </c>
    </row>
    <row r="2471" customHeight="1" spans="1:31">
      <c r="A2471" s="2" t="s">
        <v>2697</v>
      </c>
      <c r="B2471" s="2">
        <v>139</v>
      </c>
      <c r="C2471" s="2">
        <v>74205</v>
      </c>
      <c r="D2471" s="2" t="s">
        <v>30</v>
      </c>
      <c r="E2471" s="2" t="s">
        <v>30</v>
      </c>
      <c r="F2471" t="s">
        <v>56</v>
      </c>
      <c r="N2471" s="2" t="s">
        <v>18</v>
      </c>
      <c r="O2471" s="2" t="s">
        <v>3235</v>
      </c>
      <c r="P2471" s="2">
        <v>14200000</v>
      </c>
      <c r="Q2471" s="2">
        <v>7.4</v>
      </c>
      <c r="R2471" s="2" t="s">
        <v>4948</v>
      </c>
      <c r="S2471" s="2"/>
      <c r="AC2471" s="2"/>
      <c r="AD2471" t="str">
        <f>IFERROR(__xludf.DUMMYFUNCTION("""COMPUTED_VALUE"""),"Bad Grandpa ")</f>
        <v>Bad Grandpa </v>
      </c>
      <c r="AE2471">
        <f t="shared" si="67"/>
        <v>101978738</v>
      </c>
    </row>
    <row r="2472" customHeight="1" spans="1:31">
      <c r="A2472" s="2" t="s">
        <v>1322</v>
      </c>
      <c r="B2472" s="2">
        <v>120</v>
      </c>
      <c r="C2472" s="2">
        <v>141319195</v>
      </c>
      <c r="D2472" s="2" t="s">
        <v>103</v>
      </c>
      <c r="E2472" s="2" t="s">
        <v>30</v>
      </c>
      <c r="F2472" t="s">
        <v>56</v>
      </c>
      <c r="N2472" s="2" t="s">
        <v>18</v>
      </c>
      <c r="O2472" s="2" t="s">
        <v>31</v>
      </c>
      <c r="P2472" s="2">
        <v>15000000</v>
      </c>
      <c r="Q2472" s="2">
        <v>8</v>
      </c>
      <c r="R2472" s="2" t="s">
        <v>4949</v>
      </c>
      <c r="S2472" s="2"/>
      <c r="AC2472" s="2"/>
      <c r="AD2472" t="str">
        <f>IFERROR(__xludf.DUMMYFUNCTION("""COMPUTED_VALUE"""),"The Queen ")</f>
        <v>The Queen </v>
      </c>
      <c r="AE2472">
        <f t="shared" si="67"/>
        <v>56437853</v>
      </c>
    </row>
    <row r="2473" customHeight="1" spans="1:31">
      <c r="A2473" s="2" t="s">
        <v>1291</v>
      </c>
      <c r="B2473" s="2">
        <v>119</v>
      </c>
      <c r="C2473" s="2">
        <v>156645693</v>
      </c>
      <c r="D2473" s="2" t="s">
        <v>3745</v>
      </c>
      <c r="E2473" s="2" t="s">
        <v>30</v>
      </c>
      <c r="F2473" t="s">
        <v>30</v>
      </c>
      <c r="N2473" s="2" t="s">
        <v>18</v>
      </c>
      <c r="O2473" s="2" t="s">
        <v>19</v>
      </c>
      <c r="P2473" s="2">
        <v>14000000</v>
      </c>
      <c r="Q2473" s="2">
        <v>6.9</v>
      </c>
      <c r="R2473" s="2" t="s">
        <v>4950</v>
      </c>
      <c r="S2473" s="2"/>
      <c r="AC2473" s="2"/>
      <c r="AD2473" t="str">
        <f>IFERROR(__xludf.DUMMYFUNCTION("""COMPUTED_VALUE"""),"Beetlejuice ")</f>
        <v>Beetlejuice </v>
      </c>
      <c r="AE2473">
        <f t="shared" si="67"/>
        <v>73326574</v>
      </c>
    </row>
    <row r="2474" customHeight="1" spans="1:31">
      <c r="A2474" s="2" t="s">
        <v>923</v>
      </c>
      <c r="B2474" s="2">
        <v>125</v>
      </c>
      <c r="C2474" s="2">
        <v>178406268</v>
      </c>
      <c r="D2474" s="2" t="s">
        <v>607</v>
      </c>
      <c r="E2474" s="2" t="s">
        <v>40</v>
      </c>
      <c r="F2474" t="s">
        <v>30</v>
      </c>
      <c r="N2474" s="2" t="s">
        <v>18</v>
      </c>
      <c r="O2474" s="2" t="s">
        <v>19</v>
      </c>
      <c r="P2474" s="2">
        <v>14000000</v>
      </c>
      <c r="Q2474" s="2">
        <v>6.9</v>
      </c>
      <c r="R2474" s="2" t="s">
        <v>4951</v>
      </c>
      <c r="S2474" s="2"/>
      <c r="AC2474" s="2"/>
      <c r="AD2474" t="str">
        <f>IFERROR(__xludf.DUMMYFUNCTION("""COMPUTED_VALUE"""),"Why Did I Get Married? ")</f>
        <v>Why Did I Get Married? </v>
      </c>
      <c r="AE2474">
        <f t="shared" si="67"/>
        <v>55184608</v>
      </c>
    </row>
    <row r="2475" customHeight="1" spans="1:31">
      <c r="A2475" s="2" t="s">
        <v>2699</v>
      </c>
      <c r="B2475" s="2">
        <v>108</v>
      </c>
      <c r="C2475" s="2">
        <v>109306210</v>
      </c>
      <c r="D2475" s="2" t="s">
        <v>589</v>
      </c>
      <c r="E2475" s="2" t="s">
        <v>12</v>
      </c>
      <c r="F2475" t="s">
        <v>16</v>
      </c>
      <c r="N2475" s="2" t="s">
        <v>18</v>
      </c>
      <c r="O2475" s="2" t="s">
        <v>159</v>
      </c>
      <c r="P2475" s="2">
        <v>15800000</v>
      </c>
      <c r="Q2475" s="2">
        <v>5.5</v>
      </c>
      <c r="R2475" s="2" t="s">
        <v>4952</v>
      </c>
      <c r="S2475" s="2"/>
      <c r="AC2475" s="2"/>
      <c r="AD2475" t="str">
        <f>IFERROR(__xludf.DUMMYFUNCTION("""COMPUTED_VALUE"""),"Little Women ")</f>
        <v>Little Women </v>
      </c>
      <c r="AE2475">
        <f t="shared" si="67"/>
        <v>50003185</v>
      </c>
    </row>
    <row r="2476" customHeight="1" spans="1:31">
      <c r="A2476" s="2" t="s">
        <v>291</v>
      </c>
      <c r="B2476" s="2">
        <v>145</v>
      </c>
      <c r="C2476" s="2">
        <v>70001698</v>
      </c>
      <c r="D2476" s="2" t="s">
        <v>3035</v>
      </c>
      <c r="E2476" s="2" t="s">
        <v>59</v>
      </c>
      <c r="F2476" t="s">
        <v>30</v>
      </c>
      <c r="N2476" s="2" t="s">
        <v>18</v>
      </c>
      <c r="O2476" s="2" t="s">
        <v>19</v>
      </c>
      <c r="P2476" s="2">
        <v>14000000</v>
      </c>
      <c r="Q2476" s="2">
        <v>7.2</v>
      </c>
      <c r="R2476" s="2" t="s">
        <v>4953</v>
      </c>
      <c r="S2476" s="2"/>
      <c r="AC2476" s="2"/>
      <c r="AD2476" t="str">
        <f>IFERROR(__xludf.DUMMYFUNCTION("""COMPUTED_VALUE"""),"The Woman in Black ")</f>
        <v>The Woman in Black </v>
      </c>
      <c r="AE2476">
        <f t="shared" si="67"/>
        <v>54322178</v>
      </c>
    </row>
    <row r="2477" customHeight="1" spans="1:31">
      <c r="A2477" s="2" t="s">
        <v>273</v>
      </c>
      <c r="B2477" s="2">
        <v>98</v>
      </c>
      <c r="C2477" s="2">
        <v>68856263</v>
      </c>
      <c r="D2477" s="2" t="s">
        <v>3307</v>
      </c>
      <c r="E2477" s="2" t="s">
        <v>13</v>
      </c>
      <c r="F2477" t="s">
        <v>24</v>
      </c>
      <c r="N2477" s="2" t="s">
        <v>18</v>
      </c>
      <c r="O2477" s="2" t="s">
        <v>19</v>
      </c>
      <c r="P2477" s="2">
        <v>15000000</v>
      </c>
      <c r="Q2477" s="2">
        <v>6.9</v>
      </c>
      <c r="R2477" s="2" t="s">
        <v>4954</v>
      </c>
      <c r="S2477" s="2"/>
      <c r="AC2477" s="2"/>
      <c r="AD2477" t="str">
        <f>IFERROR(__xludf.DUMMYFUNCTION("""COMPUTED_VALUE"""),"When a Stranger Calls ")</f>
        <v>When a Stranger Calls </v>
      </c>
      <c r="AE2477">
        <f t="shared" si="67"/>
        <v>47860127</v>
      </c>
    </row>
    <row r="2478" customHeight="1" spans="1:31">
      <c r="A2478" s="2" t="s">
        <v>1362</v>
      </c>
      <c r="B2478" s="2">
        <v>101</v>
      </c>
      <c r="C2478" s="2">
        <v>51527787</v>
      </c>
      <c r="D2478" s="2" t="s">
        <v>2781</v>
      </c>
      <c r="E2478" s="2" t="s">
        <v>72</v>
      </c>
      <c r="F2478" t="s">
        <v>17</v>
      </c>
      <c r="N2478" s="2" t="s">
        <v>18</v>
      </c>
      <c r="O2478" s="2" t="s">
        <v>19</v>
      </c>
      <c r="P2478" s="2">
        <v>15000000</v>
      </c>
      <c r="Q2478" s="2">
        <v>5.5</v>
      </c>
      <c r="R2478" s="2" t="s">
        <v>4955</v>
      </c>
      <c r="S2478" s="2"/>
      <c r="AC2478" s="2"/>
      <c r="AD2478" t="str">
        <f>IFERROR(__xludf.DUMMYFUNCTION("""COMPUTED_VALUE"""),"Big Fat Liar ")</f>
        <v>Big Fat Liar </v>
      </c>
      <c r="AE2478">
        <f t="shared" si="67"/>
        <v>47811187</v>
      </c>
    </row>
    <row r="2479" customHeight="1" spans="1:31">
      <c r="A2479" s="2" t="s">
        <v>2053</v>
      </c>
      <c r="B2479" s="2">
        <v>109</v>
      </c>
      <c r="C2479" s="2">
        <v>61356221</v>
      </c>
      <c r="D2479" s="2" t="s">
        <v>3280</v>
      </c>
      <c r="E2479" s="2" t="s">
        <v>30</v>
      </c>
      <c r="F2479" t="s">
        <v>30</v>
      </c>
      <c r="N2479" s="2" t="s">
        <v>18</v>
      </c>
      <c r="O2479" s="2" t="s">
        <v>19</v>
      </c>
      <c r="P2479" s="2">
        <v>14000000</v>
      </c>
      <c r="Q2479" s="2">
        <v>5.2</v>
      </c>
      <c r="R2479" s="2" t="s">
        <v>4956</v>
      </c>
      <c r="S2479" s="2"/>
      <c r="AC2479" s="2"/>
      <c r="AD2479" t="str">
        <f>IFERROR(__xludf.DUMMYFUNCTION("""COMPUTED_VALUE"""),"Wag the Dog ")</f>
        <v>Wag the Dog </v>
      </c>
      <c r="AE2479">
        <f t="shared" si="67"/>
        <v>43022427</v>
      </c>
    </row>
    <row r="2480" customHeight="1" spans="1:31">
      <c r="A2480" s="2" t="s">
        <v>1776</v>
      </c>
      <c r="B2480" s="2">
        <v>123</v>
      </c>
      <c r="C2480" s="2">
        <v>46800000</v>
      </c>
      <c r="D2480" s="2" t="s">
        <v>108</v>
      </c>
      <c r="E2480" s="2" t="s">
        <v>12</v>
      </c>
      <c r="F2480" t="s">
        <v>72</v>
      </c>
      <c r="N2480" s="2" t="s">
        <v>18</v>
      </c>
      <c r="O2480" s="2" t="s">
        <v>31</v>
      </c>
      <c r="P2480" s="2">
        <v>14000000</v>
      </c>
      <c r="Q2480" s="2">
        <v>7.1</v>
      </c>
      <c r="R2480" s="2" t="s">
        <v>4957</v>
      </c>
      <c r="S2480" s="2"/>
      <c r="AC2480" s="2"/>
      <c r="AD2480" t="str">
        <f>IFERROR(__xludf.DUMMYFUNCTION("""COMPUTED_VALUE"""),"The Lizzie McGuire Movie ")</f>
        <v>The Lizzie McGuire Movie </v>
      </c>
      <c r="AE2480">
        <f t="shared" si="67"/>
        <v>42672536</v>
      </c>
    </row>
    <row r="2481" customHeight="1" spans="1:31">
      <c r="A2481" s="2" t="s">
        <v>2701</v>
      </c>
      <c r="B2481" s="2">
        <v>99</v>
      </c>
      <c r="C2481" s="2">
        <v>38048637</v>
      </c>
      <c r="D2481" s="2" t="s">
        <v>1189</v>
      </c>
      <c r="E2481" s="2" t="s">
        <v>72</v>
      </c>
      <c r="F2481" t="s">
        <v>30</v>
      </c>
      <c r="N2481" s="2" t="s">
        <v>18</v>
      </c>
      <c r="O2481" s="2" t="s">
        <v>19</v>
      </c>
      <c r="P2481" s="2">
        <v>14000000</v>
      </c>
      <c r="Q2481" s="2">
        <v>5.5</v>
      </c>
      <c r="R2481" s="2" t="s">
        <v>4958</v>
      </c>
      <c r="S2481" s="2"/>
      <c r="AC2481" s="2"/>
      <c r="AD2481" t="str">
        <f>IFERROR(__xludf.DUMMYFUNCTION("""COMPUTED_VALUE"""),"Snitch ")</f>
        <v>Snitch </v>
      </c>
      <c r="AE2481">
        <f t="shared" si="67"/>
        <v>42918984</v>
      </c>
    </row>
    <row r="2482" customHeight="1" spans="1:31">
      <c r="A2482" s="2" t="s">
        <v>2703</v>
      </c>
      <c r="B2482" s="2">
        <v>107</v>
      </c>
      <c r="C2482" s="2">
        <v>34793160</v>
      </c>
      <c r="D2482" s="2" t="s">
        <v>2943</v>
      </c>
      <c r="E2482" s="2" t="s">
        <v>13</v>
      </c>
      <c r="F2482" t="s">
        <v>30</v>
      </c>
      <c r="N2482" s="2" t="s">
        <v>18</v>
      </c>
      <c r="O2482" s="2" t="s">
        <v>19</v>
      </c>
      <c r="P2482" s="2">
        <v>14000000</v>
      </c>
      <c r="Q2482" s="2">
        <v>6.7</v>
      </c>
      <c r="R2482" s="2" t="s">
        <v>4959</v>
      </c>
      <c r="S2482" s="2"/>
      <c r="AC2482" s="2"/>
      <c r="AD2482" t="str">
        <f>IFERROR(__xludf.DUMMYFUNCTION("""COMPUTED_VALUE"""),"Krampus ")</f>
        <v>Krampus </v>
      </c>
      <c r="AE2482">
        <f t="shared" si="67"/>
        <v>42592432</v>
      </c>
    </row>
    <row r="2483" customHeight="1" spans="1:31">
      <c r="A2483" s="2" t="s">
        <v>2077</v>
      </c>
      <c r="B2483" s="2">
        <v>81</v>
      </c>
      <c r="C2483" s="2">
        <v>30628981</v>
      </c>
      <c r="D2483" s="2" t="s">
        <v>607</v>
      </c>
      <c r="E2483" s="2" t="s">
        <v>40</v>
      </c>
      <c r="F2483" t="s">
        <v>24</v>
      </c>
      <c r="N2483" s="2" t="s">
        <v>18</v>
      </c>
      <c r="O2483" s="2" t="s">
        <v>19</v>
      </c>
      <c r="P2483" s="2">
        <v>14000000</v>
      </c>
      <c r="Q2483" s="2">
        <v>5</v>
      </c>
      <c r="R2483" s="2" t="s">
        <v>4960</v>
      </c>
      <c r="S2483" s="2"/>
      <c r="AC2483" s="2"/>
      <c r="AD2483" t="str">
        <f>IFERROR(__xludf.DUMMYFUNCTION("""COMPUTED_VALUE"""),"The Faculty ")</f>
        <v>The Faculty </v>
      </c>
      <c r="AE2483">
        <f t="shared" si="67"/>
        <v>40064851</v>
      </c>
    </row>
    <row r="2484" customHeight="1" spans="1:31">
      <c r="A2484" s="2" t="s">
        <v>1230</v>
      </c>
      <c r="B2484" s="2">
        <v>105</v>
      </c>
      <c r="C2484" s="2">
        <v>29959436</v>
      </c>
      <c r="D2484" s="2" t="s">
        <v>2457</v>
      </c>
      <c r="E2484" s="2" t="s">
        <v>59</v>
      </c>
      <c r="F2484" t="s">
        <v>17</v>
      </c>
      <c r="N2484" s="2" t="s">
        <v>18</v>
      </c>
      <c r="O2484" s="2" t="s">
        <v>31</v>
      </c>
      <c r="P2484" s="2">
        <v>13000000</v>
      </c>
      <c r="Q2484" s="2">
        <v>6.4</v>
      </c>
      <c r="R2484" s="2" t="s">
        <v>4961</v>
      </c>
      <c r="S2484" s="2"/>
      <c r="AC2484" s="2"/>
      <c r="AD2484" t="str">
        <f>IFERROR(__xludf.DUMMYFUNCTION("""COMPUTED_VALUE"""),"Cop Land ")</f>
        <v>Cop Land </v>
      </c>
      <c r="AE2484">
        <f t="shared" si="67"/>
        <v>44885969</v>
      </c>
    </row>
    <row r="2485" customHeight="1" spans="1:31">
      <c r="A2485" s="2" t="s">
        <v>2618</v>
      </c>
      <c r="B2485" s="2">
        <v>82</v>
      </c>
      <c r="C2485" s="2">
        <v>25571351</v>
      </c>
      <c r="D2485" s="2" t="s">
        <v>3709</v>
      </c>
      <c r="E2485" s="2" t="s">
        <v>13</v>
      </c>
      <c r="F2485" t="s">
        <v>30</v>
      </c>
      <c r="N2485" s="2" t="s">
        <v>18</v>
      </c>
      <c r="O2485" s="2" t="s">
        <v>19</v>
      </c>
      <c r="P2485" s="2">
        <v>14000000</v>
      </c>
      <c r="Q2485" s="2">
        <v>6.6</v>
      </c>
      <c r="R2485" s="2" t="s">
        <v>4962</v>
      </c>
      <c r="S2485" s="2"/>
      <c r="AC2485" s="2"/>
      <c r="AD2485" t="str">
        <f>IFERROR(__xludf.DUMMYFUNCTION("""COMPUTED_VALUE"""),"Not Another Teen Movie ")</f>
        <v>Not Another Teen Movie </v>
      </c>
      <c r="AE2485">
        <f t="shared" si="67"/>
        <v>37882452</v>
      </c>
    </row>
    <row r="2486" customHeight="1" spans="1:31">
      <c r="A2486" s="2" t="s">
        <v>859</v>
      </c>
      <c r="B2486" s="2">
        <v>109</v>
      </c>
      <c r="C2486" s="2">
        <v>27515786</v>
      </c>
      <c r="D2486" s="2" t="s">
        <v>103</v>
      </c>
      <c r="E2486" s="2" t="s">
        <v>30</v>
      </c>
      <c r="F2486" t="s">
        <v>30</v>
      </c>
      <c r="N2486" s="2" t="s">
        <v>18</v>
      </c>
      <c r="O2486" s="2" t="s">
        <v>19</v>
      </c>
      <c r="P2486" s="2">
        <v>14000000</v>
      </c>
      <c r="Q2486" s="2">
        <v>5.9</v>
      </c>
      <c r="R2486" s="2" t="s">
        <v>4963</v>
      </c>
      <c r="S2486" s="2"/>
      <c r="AC2486" s="2"/>
      <c r="AD2486" t="str">
        <f>IFERROR(__xludf.DUMMYFUNCTION("""COMPUTED_VALUE"""),"End of Watch ")</f>
        <v>End of Watch </v>
      </c>
      <c r="AE2486">
        <f t="shared" si="67"/>
        <v>40982892</v>
      </c>
    </row>
    <row r="2487" customHeight="1" spans="1:31">
      <c r="A2487" s="2" t="s">
        <v>1168</v>
      </c>
      <c r="B2487" s="2">
        <v>95</v>
      </c>
      <c r="C2487" s="2">
        <v>25482931</v>
      </c>
      <c r="D2487" s="2" t="s">
        <v>174</v>
      </c>
      <c r="E2487" s="2" t="s">
        <v>12</v>
      </c>
      <c r="F2487" t="s">
        <v>28</v>
      </c>
      <c r="N2487" s="2" t="s">
        <v>18</v>
      </c>
      <c r="O2487" s="2" t="s">
        <v>19</v>
      </c>
      <c r="P2487" s="2">
        <v>14000000</v>
      </c>
      <c r="Q2487" s="2">
        <v>5.7</v>
      </c>
      <c r="R2487" s="2" t="s">
        <v>4964</v>
      </c>
      <c r="S2487" s="2"/>
      <c r="AC2487" s="2"/>
      <c r="AD2487" t="str">
        <f>IFERROR(__xludf.DUMMYFUNCTION("""COMPUTED_VALUE"""),"The Skulls ")</f>
        <v>The Skulls </v>
      </c>
      <c r="AE2487">
        <f t="shared" ref="AE2487:AE2550" si="68">C2371-B2371</f>
        <v>35007074</v>
      </c>
    </row>
    <row r="2488" customHeight="1" spans="1:31">
      <c r="A2488" s="2" t="s">
        <v>1502</v>
      </c>
      <c r="B2488" s="2">
        <v>100</v>
      </c>
      <c r="C2488" s="2">
        <v>19900000</v>
      </c>
      <c r="D2488" s="2" t="s">
        <v>4066</v>
      </c>
      <c r="E2488" s="2" t="s">
        <v>40</v>
      </c>
      <c r="F2488" t="s">
        <v>30</v>
      </c>
      <c r="N2488" s="2" t="s">
        <v>18</v>
      </c>
      <c r="O2488" s="2" t="s">
        <v>19</v>
      </c>
      <c r="P2488" s="2">
        <v>20000000</v>
      </c>
      <c r="Q2488" s="2">
        <v>4.5</v>
      </c>
      <c r="R2488" s="2" t="s">
        <v>4965</v>
      </c>
      <c r="S2488" s="2"/>
      <c r="AC2488" s="2"/>
      <c r="AD2488" t="str">
        <f>IFERROR(__xludf.DUMMYFUNCTION("""COMPUTED_VALUE"""),"The Theory of Everything ")</f>
        <v>The Theory of Everything </v>
      </c>
      <c r="AE2488">
        <f t="shared" si="68"/>
        <v>35887140</v>
      </c>
    </row>
    <row r="2489" customHeight="1" spans="1:31">
      <c r="A2489" s="2" t="s">
        <v>2408</v>
      </c>
      <c r="B2489" s="2">
        <v>91</v>
      </c>
      <c r="C2489" s="2">
        <v>16298046</v>
      </c>
      <c r="D2489" s="2" t="s">
        <v>1189</v>
      </c>
      <c r="E2489" s="2" t="s">
        <v>72</v>
      </c>
      <c r="F2489" t="s">
        <v>56</v>
      </c>
      <c r="N2489" s="2" t="s">
        <v>18</v>
      </c>
      <c r="O2489" s="2" t="s">
        <v>31</v>
      </c>
      <c r="P2489" s="2">
        <v>14000000</v>
      </c>
      <c r="Q2489" s="2">
        <v>5</v>
      </c>
      <c r="R2489" s="2" t="s">
        <v>4966</v>
      </c>
      <c r="S2489" s="2"/>
      <c r="AC2489" s="2"/>
      <c r="AD2489" t="str">
        <f>IFERROR(__xludf.DUMMYFUNCTION("""COMPUTED_VALUE"""),"Malibu's Most Wanted ")</f>
        <v>Malibu's Most Wanted </v>
      </c>
      <c r="AE2489">
        <f t="shared" si="68"/>
        <v>34308815</v>
      </c>
    </row>
    <row r="2490" customHeight="1" spans="1:31">
      <c r="A2490" s="2" t="s">
        <v>1385</v>
      </c>
      <c r="B2490" s="2">
        <v>90</v>
      </c>
      <c r="C2490" s="2">
        <v>15549702</v>
      </c>
      <c r="D2490" s="2" t="s">
        <v>607</v>
      </c>
      <c r="E2490" s="2" t="s">
        <v>40</v>
      </c>
      <c r="F2490" t="s">
        <v>30</v>
      </c>
      <c r="N2490" s="2" t="s">
        <v>18</v>
      </c>
      <c r="O2490" s="2" t="s">
        <v>19</v>
      </c>
      <c r="P2490" s="2">
        <v>14000000</v>
      </c>
      <c r="Q2490" s="2">
        <v>4.6</v>
      </c>
      <c r="R2490" s="2" t="s">
        <v>4967</v>
      </c>
      <c r="S2490" s="2"/>
      <c r="AC2490" s="2"/>
      <c r="AD2490" t="str">
        <f>IFERROR(__xludf.DUMMYFUNCTION("""COMPUTED_VALUE"""),"Where the Heart Is ")</f>
        <v>Where the Heart Is </v>
      </c>
      <c r="AE2490">
        <f t="shared" si="68"/>
        <v>33771054</v>
      </c>
    </row>
    <row r="2491" customHeight="1" spans="1:31">
      <c r="A2491" s="2" t="s">
        <v>513</v>
      </c>
      <c r="B2491" s="2">
        <v>108</v>
      </c>
      <c r="C2491" s="2">
        <v>15483540</v>
      </c>
      <c r="D2491" s="2" t="s">
        <v>4968</v>
      </c>
      <c r="E2491" s="2" t="s">
        <v>13</v>
      </c>
      <c r="F2491" t="s">
        <v>28</v>
      </c>
      <c r="N2491" s="2" t="s">
        <v>18</v>
      </c>
      <c r="O2491" s="2" t="s">
        <v>19</v>
      </c>
      <c r="P2491" s="2">
        <v>14000000</v>
      </c>
      <c r="Q2491" s="2">
        <v>6.5</v>
      </c>
      <c r="R2491" s="2" t="s">
        <v>4969</v>
      </c>
      <c r="S2491" s="2"/>
      <c r="AC2491" s="2"/>
      <c r="AD2491" t="str">
        <f>IFERROR(__xludf.DUMMYFUNCTION("""COMPUTED_VALUE"""),"Lawrence of Arabia ")</f>
        <v>Lawrence of Arabia </v>
      </c>
      <c r="AE2491">
        <f t="shared" si="68"/>
        <v>5999773</v>
      </c>
    </row>
    <row r="2492" customHeight="1" spans="1:31">
      <c r="A2492" s="2" t="s">
        <v>2705</v>
      </c>
      <c r="B2492" s="2">
        <v>103</v>
      </c>
      <c r="C2492" s="2">
        <v>20246959</v>
      </c>
      <c r="D2492" s="2" t="s">
        <v>607</v>
      </c>
      <c r="E2492" s="2" t="s">
        <v>40</v>
      </c>
      <c r="F2492" t="s">
        <v>30</v>
      </c>
      <c r="N2492" s="2" t="s">
        <v>18</v>
      </c>
      <c r="O2492" s="2" t="s">
        <v>19</v>
      </c>
      <c r="P2492" s="2">
        <v>14000000</v>
      </c>
      <c r="Q2492" s="2">
        <v>4.9</v>
      </c>
      <c r="R2492" s="2" t="s">
        <v>4970</v>
      </c>
      <c r="S2492" s="2"/>
      <c r="AC2492" s="2"/>
      <c r="AD2492" t="str">
        <f>IFERROR(__xludf.DUMMYFUNCTION("""COMPUTED_VALUE"""),"Halloween II ")</f>
        <v>Halloween II </v>
      </c>
      <c r="AE2492">
        <f t="shared" si="68"/>
        <v>33386009</v>
      </c>
    </row>
    <row r="2493" customHeight="1" spans="1:31">
      <c r="A2493" s="2" t="s">
        <v>2707</v>
      </c>
      <c r="B2493" s="2">
        <v>96</v>
      </c>
      <c r="C2493" s="2">
        <v>15062898</v>
      </c>
      <c r="D2493" s="2" t="s">
        <v>40</v>
      </c>
      <c r="E2493" s="2" t="s">
        <v>40</v>
      </c>
      <c r="F2493" t="s">
        <v>17</v>
      </c>
      <c r="N2493" s="2" t="s">
        <v>18</v>
      </c>
      <c r="O2493" s="2" t="s">
        <v>19</v>
      </c>
      <c r="P2493" s="2">
        <v>14000000</v>
      </c>
      <c r="Q2493" s="2">
        <v>6</v>
      </c>
      <c r="R2493" s="2" t="s">
        <v>4971</v>
      </c>
      <c r="S2493" s="2"/>
      <c r="AC2493" s="2"/>
      <c r="AD2493" t="str">
        <f>IFERROR(__xludf.DUMMYFUNCTION("""COMPUTED_VALUE"""),"Wild ")</f>
        <v>Wild </v>
      </c>
      <c r="AE2493">
        <f t="shared" si="68"/>
        <v>37877844</v>
      </c>
    </row>
    <row r="2494" customHeight="1" spans="1:31">
      <c r="A2494" s="2" t="s">
        <v>2710</v>
      </c>
      <c r="B2494" s="2">
        <v>117</v>
      </c>
      <c r="C2494" s="2">
        <v>14348123</v>
      </c>
      <c r="D2494" s="2" t="s">
        <v>4972</v>
      </c>
      <c r="E2494" s="2" t="s">
        <v>40</v>
      </c>
      <c r="F2494" t="s">
        <v>55</v>
      </c>
      <c r="N2494" s="2" t="s">
        <v>18</v>
      </c>
      <c r="O2494" s="2" t="s">
        <v>3655</v>
      </c>
      <c r="P2494" s="2">
        <v>12000000</v>
      </c>
      <c r="Q2494" s="2">
        <v>6.9</v>
      </c>
      <c r="R2494" s="2" t="s">
        <v>4973</v>
      </c>
      <c r="S2494" s="2"/>
      <c r="AC2494" s="2"/>
      <c r="AD2494" t="str">
        <f>IFERROR(__xludf.DUMMYFUNCTION("""COMPUTED_VALUE"""),"The Last House on the Left ")</f>
        <v>The Last House on the Left </v>
      </c>
      <c r="AE2494">
        <f t="shared" si="68"/>
        <v>32721521</v>
      </c>
    </row>
    <row r="2495" customHeight="1" spans="1:31">
      <c r="A2495" s="2" t="s">
        <v>2712</v>
      </c>
      <c r="B2495" s="2">
        <v>93</v>
      </c>
      <c r="C2495" s="2">
        <v>15171475</v>
      </c>
      <c r="D2495" s="2" t="s">
        <v>3112</v>
      </c>
      <c r="E2495" s="2" t="s">
        <v>14</v>
      </c>
      <c r="F2495" t="s">
        <v>30</v>
      </c>
      <c r="N2495" s="2" t="s">
        <v>18</v>
      </c>
      <c r="O2495" s="2" t="s">
        <v>19</v>
      </c>
      <c r="P2495" s="2">
        <v>8500000</v>
      </c>
      <c r="Q2495" s="2">
        <v>5.7</v>
      </c>
      <c r="R2495" s="2" t="s">
        <v>4974</v>
      </c>
      <c r="S2495" s="2"/>
      <c r="AC2495" s="2"/>
      <c r="AD2495" t="str">
        <f>IFERROR(__xludf.DUMMYFUNCTION("""COMPUTED_VALUE"""),"The Wedding Date ")</f>
        <v>The Wedding Date </v>
      </c>
      <c r="AE2495">
        <f t="shared" si="68"/>
        <v>31585210</v>
      </c>
    </row>
    <row r="2496" customHeight="1" spans="1:31">
      <c r="A2496" s="2" t="s">
        <v>1259</v>
      </c>
      <c r="B2496" s="2">
        <v>115</v>
      </c>
      <c r="C2496" s="2">
        <v>13640000</v>
      </c>
      <c r="D2496" s="2" t="s">
        <v>975</v>
      </c>
      <c r="E2496" s="2" t="s">
        <v>40</v>
      </c>
      <c r="F2496" t="s">
        <v>30</v>
      </c>
      <c r="N2496" s="2" t="s">
        <v>18</v>
      </c>
      <c r="O2496" s="2" t="s">
        <v>19</v>
      </c>
      <c r="P2496" s="2">
        <v>14000000</v>
      </c>
      <c r="Q2496" s="2">
        <v>6.9</v>
      </c>
      <c r="R2496" s="2" t="s">
        <v>4975</v>
      </c>
      <c r="S2496" s="2"/>
      <c r="AC2496" s="2"/>
      <c r="AD2496" t="str">
        <f>IFERROR(__xludf.DUMMYFUNCTION("""COMPUTED_VALUE"""),"Halloween: Resurrection ")</f>
        <v>Halloween: Resurrection </v>
      </c>
      <c r="AE2496">
        <f t="shared" si="68"/>
        <v>30259558</v>
      </c>
    </row>
    <row r="2497" customHeight="1" spans="1:31">
      <c r="A2497" s="2" t="s">
        <v>2714</v>
      </c>
      <c r="B2497" s="2">
        <v>85</v>
      </c>
      <c r="C2497" s="2">
        <v>12610731</v>
      </c>
      <c r="D2497" s="2" t="s">
        <v>843</v>
      </c>
      <c r="E2497" s="2" t="s">
        <v>12</v>
      </c>
      <c r="F2497" t="s">
        <v>56</v>
      </c>
      <c r="N2497" s="2" t="s">
        <v>18</v>
      </c>
      <c r="O2497" s="2" t="s">
        <v>19</v>
      </c>
      <c r="P2497" s="2">
        <v>11000000</v>
      </c>
      <c r="Q2497" s="2">
        <v>4.4</v>
      </c>
      <c r="R2497" s="2" t="s">
        <v>4976</v>
      </c>
      <c r="S2497" s="2"/>
      <c r="AC2497" s="2"/>
      <c r="AD2497" t="str">
        <f>IFERROR(__xludf.DUMMYFUNCTION("""COMPUTED_VALUE"""),"The Princess Bride ")</f>
        <v>The Princess Bride </v>
      </c>
      <c r="AE2497">
        <f t="shared" si="68"/>
        <v>30857716</v>
      </c>
    </row>
    <row r="2498" customHeight="1" spans="1:31">
      <c r="A2498" s="2" t="s">
        <v>2717</v>
      </c>
      <c r="B2498" s="2">
        <v>112</v>
      </c>
      <c r="C2498" s="2">
        <v>11204499</v>
      </c>
      <c r="D2498" s="2" t="s">
        <v>2715</v>
      </c>
      <c r="E2498" s="2" t="s">
        <v>30</v>
      </c>
      <c r="F2498" t="s">
        <v>72</v>
      </c>
      <c r="N2498" s="2" t="s">
        <v>18</v>
      </c>
      <c r="O2498" s="2" t="s">
        <v>19</v>
      </c>
      <c r="P2498" s="2">
        <v>14000000</v>
      </c>
      <c r="Q2498" s="2">
        <v>7</v>
      </c>
      <c r="R2498" s="2" t="s">
        <v>4977</v>
      </c>
      <c r="S2498" s="2"/>
      <c r="AC2498" s="2"/>
      <c r="AD2498" t="str">
        <f>IFERROR(__xludf.DUMMYFUNCTION("""COMPUTED_VALUE"""),"The Great Debaters ")</f>
        <v>The Great Debaters </v>
      </c>
      <c r="AE2498">
        <f t="shared" si="68"/>
        <v>30226018</v>
      </c>
    </row>
    <row r="2499" customHeight="1" spans="1:31">
      <c r="A2499" s="2" t="s">
        <v>699</v>
      </c>
      <c r="B2499" s="2">
        <v>86</v>
      </c>
      <c r="C2499" s="2">
        <v>10397365</v>
      </c>
      <c r="D2499" s="2" t="s">
        <v>4978</v>
      </c>
      <c r="E2499" s="2" t="s">
        <v>40</v>
      </c>
      <c r="F2499" t="s">
        <v>14</v>
      </c>
      <c r="N2499" s="2" t="s">
        <v>18</v>
      </c>
      <c r="O2499" s="2" t="s">
        <v>19</v>
      </c>
      <c r="P2499" s="2">
        <v>14000000</v>
      </c>
      <c r="Q2499" s="2">
        <v>5.4</v>
      </c>
      <c r="R2499" s="2" t="s">
        <v>4979</v>
      </c>
      <c r="S2499" s="2"/>
      <c r="AC2499" s="2"/>
      <c r="AD2499" t="str">
        <f>IFERROR(__xludf.DUMMYFUNCTION("""COMPUTED_VALUE"""),"Drive ")</f>
        <v>Drive </v>
      </c>
      <c r="AE2499">
        <f t="shared" si="68"/>
        <v>35054809</v>
      </c>
    </row>
    <row r="2500" customHeight="1" spans="1:31">
      <c r="A2500" s="2" t="s">
        <v>2719</v>
      </c>
      <c r="B2500" s="2">
        <v>86</v>
      </c>
      <c r="C2500" s="2">
        <v>9402410</v>
      </c>
      <c r="D2500" s="2" t="s">
        <v>1716</v>
      </c>
      <c r="E2500" s="2" t="s">
        <v>13</v>
      </c>
      <c r="F2500" t="s">
        <v>13</v>
      </c>
      <c r="N2500" s="2" t="s">
        <v>18</v>
      </c>
      <c r="O2500" s="2" t="s">
        <v>19</v>
      </c>
      <c r="P2500" s="2">
        <v>14000000</v>
      </c>
      <c r="Q2500" s="2">
        <v>5.4</v>
      </c>
      <c r="R2500" s="2" t="s">
        <v>4980</v>
      </c>
      <c r="S2500" s="2"/>
      <c r="AC2500" s="2"/>
      <c r="AD2500" t="str">
        <f>IFERROR(__xludf.DUMMYFUNCTION("""COMPUTED_VALUE"""),"Confessions of a Teenage Drama Queen ")</f>
        <v>Confessions of a Teenage Drama Queen </v>
      </c>
      <c r="AE2500">
        <f t="shared" si="68"/>
        <v>29302008</v>
      </c>
    </row>
    <row r="2501" customHeight="1" spans="1:31">
      <c r="A2501" s="2" t="s">
        <v>2721</v>
      </c>
      <c r="B2501" s="2">
        <v>137</v>
      </c>
      <c r="C2501" s="2">
        <v>5459824</v>
      </c>
      <c r="D2501" s="2" t="s">
        <v>103</v>
      </c>
      <c r="E2501" s="2" t="s">
        <v>30</v>
      </c>
      <c r="F2501" t="s">
        <v>17</v>
      </c>
      <c r="N2501" s="2" t="s">
        <v>18</v>
      </c>
      <c r="O2501" s="2" t="s">
        <v>19</v>
      </c>
      <c r="P2501" s="2">
        <v>26000000</v>
      </c>
      <c r="Q2501" s="2">
        <v>7.6</v>
      </c>
      <c r="R2501" s="2" t="s">
        <v>4981</v>
      </c>
      <c r="S2501" s="2"/>
      <c r="AC2501" s="2"/>
      <c r="AD2501" t="str">
        <f>IFERROR(__xludf.DUMMYFUNCTION("""COMPUTED_VALUE"""),"The Object of My Affection ")</f>
        <v>The Object of My Affection </v>
      </c>
      <c r="AE2501">
        <f t="shared" si="68"/>
        <v>29106626</v>
      </c>
    </row>
    <row r="2502" customHeight="1" spans="1:31">
      <c r="A2502" s="2" t="s">
        <v>2723</v>
      </c>
      <c r="B2502" s="2">
        <v>90</v>
      </c>
      <c r="C2502" s="2">
        <v>5108820</v>
      </c>
      <c r="D2502" s="2" t="s">
        <v>712</v>
      </c>
      <c r="E2502" s="2" t="s">
        <v>30</v>
      </c>
      <c r="F2502" t="s">
        <v>30</v>
      </c>
      <c r="N2502" s="2" t="s">
        <v>18</v>
      </c>
      <c r="O2502" s="2" t="s">
        <v>19</v>
      </c>
      <c r="P2502" s="2">
        <v>24000000</v>
      </c>
      <c r="Q2502" s="2">
        <v>5.9</v>
      </c>
      <c r="R2502" s="2" t="s">
        <v>4982</v>
      </c>
      <c r="S2502" s="2"/>
      <c r="AC2502" s="2"/>
      <c r="AD2502" t="str">
        <f>IFERROR(__xludf.DUMMYFUNCTION("""COMPUTED_VALUE"""),"28 Weeks Later ")</f>
        <v>28 Weeks Later </v>
      </c>
      <c r="AE2502">
        <f t="shared" si="68"/>
        <v>28637407</v>
      </c>
    </row>
    <row r="2503" customHeight="1" spans="1:31">
      <c r="A2503" s="2" t="s">
        <v>2135</v>
      </c>
      <c r="B2503" s="2">
        <v>107</v>
      </c>
      <c r="C2503" s="2">
        <v>4741987</v>
      </c>
      <c r="D2503" s="2" t="s">
        <v>30</v>
      </c>
      <c r="E2503" s="2" t="s">
        <v>30</v>
      </c>
      <c r="F2503" t="s">
        <v>30</v>
      </c>
      <c r="N2503" s="2" t="s">
        <v>18</v>
      </c>
      <c r="O2503" s="2" t="s">
        <v>19</v>
      </c>
      <c r="P2503" s="2">
        <v>14000000</v>
      </c>
      <c r="Q2503" s="2">
        <v>6.6</v>
      </c>
      <c r="R2503" s="2" t="s">
        <v>4983</v>
      </c>
      <c r="S2503" s="2"/>
      <c r="AC2503" s="2"/>
      <c r="AD2503" t="str">
        <f>IFERROR(__xludf.DUMMYFUNCTION("""COMPUTED_VALUE"""),"When the Game Stands Tall ")</f>
        <v>When the Game Stands Tall </v>
      </c>
      <c r="AE2503">
        <f t="shared" si="68"/>
        <v>30127848</v>
      </c>
    </row>
    <row r="2504" customHeight="1" spans="1:31">
      <c r="A2504" s="2" t="s">
        <v>447</v>
      </c>
      <c r="B2504" s="2">
        <v>98</v>
      </c>
      <c r="C2504" s="2">
        <v>4291965</v>
      </c>
      <c r="D2504" s="2" t="s">
        <v>2457</v>
      </c>
      <c r="E2504" s="2" t="s">
        <v>59</v>
      </c>
      <c r="F2504" t="s">
        <v>56</v>
      </c>
      <c r="N2504" s="2" t="s">
        <v>18</v>
      </c>
      <c r="O2504" s="2" t="s">
        <v>707</v>
      </c>
      <c r="P2504" s="2">
        <v>14000000</v>
      </c>
      <c r="Q2504" s="2">
        <v>6.7</v>
      </c>
      <c r="R2504" s="2" t="s">
        <v>4984</v>
      </c>
      <c r="S2504" s="2"/>
      <c r="AC2504" s="2"/>
      <c r="AD2504" t="str">
        <f>IFERROR(__xludf.DUMMYFUNCTION("""COMPUTED_VALUE"""),"Because of Winn-Dixie ")</f>
        <v>Because of Winn-Dixie </v>
      </c>
      <c r="AE2504">
        <f t="shared" si="68"/>
        <v>32645440</v>
      </c>
    </row>
    <row r="2505" customHeight="1" spans="1:31">
      <c r="A2505" s="2" t="s">
        <v>2725</v>
      </c>
      <c r="B2505" s="2">
        <v>84</v>
      </c>
      <c r="C2505" s="2">
        <v>3100650</v>
      </c>
      <c r="D2505" s="2" t="s">
        <v>2539</v>
      </c>
      <c r="E2505" s="2" t="s">
        <v>30</v>
      </c>
      <c r="F2505" t="s">
        <v>14</v>
      </c>
      <c r="N2505" s="2" t="s">
        <v>18</v>
      </c>
      <c r="O2505" s="2" t="s">
        <v>19</v>
      </c>
      <c r="P2505" s="2">
        <v>14000000</v>
      </c>
      <c r="Q2505" s="2">
        <v>3.9</v>
      </c>
      <c r="R2505" s="2" t="s">
        <v>4985</v>
      </c>
      <c r="S2505" s="2"/>
      <c r="AC2505" s="2"/>
      <c r="AD2505" t="str">
        <f>IFERROR(__xludf.DUMMYFUNCTION("""COMPUTED_VALUE"""),"Love &amp; Basketball ")</f>
        <v>Love &amp; Basketball </v>
      </c>
      <c r="AE2505">
        <f t="shared" si="68"/>
        <v>27440998</v>
      </c>
    </row>
    <row r="2506" customHeight="1" spans="1:31">
      <c r="A2506" s="2" t="s">
        <v>2529</v>
      </c>
      <c r="B2506" s="2">
        <v>139</v>
      </c>
      <c r="C2506" s="2">
        <v>2474000</v>
      </c>
      <c r="D2506" s="2" t="s">
        <v>2530</v>
      </c>
      <c r="E2506" s="2" t="s">
        <v>59</v>
      </c>
      <c r="F2506" t="s">
        <v>39</v>
      </c>
      <c r="N2506" s="2" t="s">
        <v>18</v>
      </c>
      <c r="O2506" s="2" t="s">
        <v>707</v>
      </c>
      <c r="P2506" s="2">
        <v>14000000</v>
      </c>
      <c r="Q2506" s="2">
        <v>5.7</v>
      </c>
      <c r="R2506" s="2" t="s">
        <v>4986</v>
      </c>
      <c r="S2506" s="2"/>
      <c r="AC2506" s="2"/>
      <c r="AD2506" t="str">
        <f>IFERROR(__xludf.DUMMYFUNCTION("""COMPUTED_VALUE"""),"Grosse Pointe Blank ")</f>
        <v>Grosse Pointe Blank </v>
      </c>
      <c r="AE2506">
        <f t="shared" si="68"/>
        <v>28014429</v>
      </c>
    </row>
    <row r="2507" customHeight="1" spans="1:31">
      <c r="A2507" s="2" t="s">
        <v>2727</v>
      </c>
      <c r="B2507" s="2">
        <v>127</v>
      </c>
      <c r="C2507" s="2">
        <v>1000000</v>
      </c>
      <c r="D2507" s="2" t="s">
        <v>486</v>
      </c>
      <c r="E2507" s="2" t="s">
        <v>12</v>
      </c>
      <c r="F2507" t="s">
        <v>24</v>
      </c>
      <c r="N2507" s="2" t="s">
        <v>18</v>
      </c>
      <c r="O2507" s="2" t="s">
        <v>4987</v>
      </c>
      <c r="P2507" s="2">
        <v>14000000</v>
      </c>
      <c r="Q2507" s="2">
        <v>6.5</v>
      </c>
      <c r="R2507" s="2" t="s">
        <v>4988</v>
      </c>
      <c r="S2507" s="2"/>
      <c r="AC2507" s="2"/>
      <c r="AD2507" t="str">
        <f>IFERROR(__xludf.DUMMYFUNCTION("""COMPUTED_VALUE"""),"All About Steve ")</f>
        <v>All About Steve </v>
      </c>
      <c r="AE2507">
        <f t="shared" si="68"/>
        <v>33859911</v>
      </c>
    </row>
    <row r="2508" customHeight="1" spans="1:31">
      <c r="A2508" s="2" t="s">
        <v>2317</v>
      </c>
      <c r="B2508" s="2">
        <v>150</v>
      </c>
      <c r="C2508" s="2">
        <v>3958500</v>
      </c>
      <c r="D2508" s="2" t="s">
        <v>2457</v>
      </c>
      <c r="E2508" s="2" t="s">
        <v>59</v>
      </c>
      <c r="F2508" t="s">
        <v>17</v>
      </c>
      <c r="N2508" s="2" t="s">
        <v>18</v>
      </c>
      <c r="O2508" s="2" t="s">
        <v>31</v>
      </c>
      <c r="P2508" s="2">
        <v>8200000</v>
      </c>
      <c r="Q2508" s="2">
        <v>6.8</v>
      </c>
      <c r="R2508" s="2" t="s">
        <v>4989</v>
      </c>
      <c r="S2508" s="2"/>
      <c r="AC2508" s="2"/>
      <c r="AD2508" t="str">
        <f>IFERROR(__xludf.DUMMYFUNCTION("""COMPUTED_VALUE"""),"Book of Shadows: Blair Witch 2 ")</f>
        <v>Book of Shadows: Blair Witch 2 </v>
      </c>
      <c r="AE2508">
        <f t="shared" si="68"/>
        <v>26421224</v>
      </c>
    </row>
    <row r="2509" customHeight="1" spans="1:31">
      <c r="A2509" s="2" t="s">
        <v>1348</v>
      </c>
      <c r="B2509" s="2">
        <v>132</v>
      </c>
      <c r="C2509" s="2">
        <v>274299</v>
      </c>
      <c r="D2509" s="2" t="s">
        <v>4990</v>
      </c>
      <c r="E2509" s="2" t="s">
        <v>59</v>
      </c>
      <c r="F2509" t="s">
        <v>30</v>
      </c>
      <c r="N2509" s="2" t="s">
        <v>18</v>
      </c>
      <c r="O2509" s="2" t="s">
        <v>707</v>
      </c>
      <c r="P2509" s="2">
        <v>103000000</v>
      </c>
      <c r="Q2509" s="2">
        <v>7.3</v>
      </c>
      <c r="R2509" s="2" t="s">
        <v>4991</v>
      </c>
      <c r="S2509" s="2"/>
      <c r="AC2509" s="2"/>
      <c r="AD2509" t="str">
        <f>IFERROR(__xludf.DUMMYFUNCTION("""COMPUTED_VALUE"""),"The Craft ")</f>
        <v>The Craft </v>
      </c>
      <c r="AE2509">
        <f t="shared" si="68"/>
        <v>24880899</v>
      </c>
    </row>
    <row r="2510" customHeight="1" spans="1:31">
      <c r="A2510" s="2" t="s">
        <v>763</v>
      </c>
      <c r="B2510" s="2">
        <v>115</v>
      </c>
      <c r="C2510" s="2">
        <v>183088</v>
      </c>
      <c r="D2510" s="2" t="s">
        <v>4972</v>
      </c>
      <c r="E2510" s="2" t="s">
        <v>40</v>
      </c>
      <c r="F2510" t="s">
        <v>17</v>
      </c>
      <c r="N2510" s="2" t="s">
        <v>18</v>
      </c>
      <c r="O2510" s="2" t="s">
        <v>19</v>
      </c>
      <c r="P2510" s="2">
        <v>15000000</v>
      </c>
      <c r="Q2510" s="2">
        <v>7</v>
      </c>
      <c r="R2510" s="2" t="s">
        <v>4992</v>
      </c>
      <c r="S2510" s="2"/>
      <c r="AC2510" s="2"/>
      <c r="AD2510" t="str">
        <f>IFERROR(__xludf.DUMMYFUNCTION("""COMPUTED_VALUE"""),"Match Point ")</f>
        <v>Match Point </v>
      </c>
      <c r="AE2510">
        <f t="shared" si="68"/>
        <v>23089807</v>
      </c>
    </row>
    <row r="2511" customHeight="1" spans="1:31">
      <c r="A2511" s="2" t="s">
        <v>2729</v>
      </c>
      <c r="B2511" s="2">
        <v>186</v>
      </c>
      <c r="C2511" s="2">
        <v>46495</v>
      </c>
      <c r="D2511" s="2" t="s">
        <v>30</v>
      </c>
      <c r="E2511" s="2" t="s">
        <v>30</v>
      </c>
      <c r="F2511" t="s">
        <v>28</v>
      </c>
      <c r="N2511" s="2" t="s">
        <v>18</v>
      </c>
      <c r="O2511" s="2" t="s">
        <v>19</v>
      </c>
      <c r="P2511" s="2">
        <v>14000000</v>
      </c>
      <c r="Q2511" s="2">
        <v>6.5</v>
      </c>
      <c r="R2511" s="2" t="s">
        <v>4993</v>
      </c>
      <c r="S2511" s="2"/>
      <c r="AC2511" s="2"/>
      <c r="AD2511" t="str">
        <f>IFERROR(__xludf.DUMMYFUNCTION("""COMPUTED_VALUE"""),"Ramona and Beezus ")</f>
        <v>Ramona and Beezus </v>
      </c>
      <c r="AE2511">
        <f t="shared" si="68"/>
        <v>26161303</v>
      </c>
    </row>
    <row r="2512" customHeight="1" spans="1:31">
      <c r="A2512" s="2" t="s">
        <v>1030</v>
      </c>
      <c r="B2512" s="2">
        <v>90</v>
      </c>
      <c r="C2512" s="2">
        <v>1752214</v>
      </c>
      <c r="D2512" s="2" t="s">
        <v>521</v>
      </c>
      <c r="E2512" s="2" t="s">
        <v>40</v>
      </c>
      <c r="F2512" t="s">
        <v>56</v>
      </c>
      <c r="N2512" s="2" t="s">
        <v>18</v>
      </c>
      <c r="O2512" s="2" t="s">
        <v>19</v>
      </c>
      <c r="P2512" s="2">
        <v>14000000</v>
      </c>
      <c r="Q2512" s="2">
        <v>7.7</v>
      </c>
      <c r="R2512" s="2" t="s">
        <v>4994</v>
      </c>
      <c r="S2512" s="2"/>
      <c r="AC2512" s="2"/>
      <c r="AD2512" t="str">
        <f>IFERROR(__xludf.DUMMYFUNCTION("""COMPUTED_VALUE"""),"The Remains of the Day ")</f>
        <v>The Remains of the Day </v>
      </c>
      <c r="AE2512">
        <f t="shared" si="68"/>
        <v>22954834</v>
      </c>
    </row>
    <row r="2513" customHeight="1" spans="1:31">
      <c r="A2513" s="2" t="s">
        <v>401</v>
      </c>
      <c r="B2513" s="2">
        <v>134</v>
      </c>
      <c r="C2513" s="2">
        <v>83025853</v>
      </c>
      <c r="D2513" s="2" t="s">
        <v>103</v>
      </c>
      <c r="E2513" s="2" t="s">
        <v>30</v>
      </c>
      <c r="F2513" t="s">
        <v>30</v>
      </c>
      <c r="N2513" s="2" t="s">
        <v>18</v>
      </c>
      <c r="O2513" s="2" t="s">
        <v>19</v>
      </c>
      <c r="P2513" s="2">
        <v>14000000</v>
      </c>
      <c r="Q2513" s="2">
        <v>7.7</v>
      </c>
      <c r="R2513" s="2" t="s">
        <v>4995</v>
      </c>
      <c r="S2513" s="2"/>
      <c r="AC2513" s="2"/>
      <c r="AD2513" t="str">
        <f>IFERROR(__xludf.DUMMYFUNCTION("""COMPUTED_VALUE"""),"Boogie Nights ")</f>
        <v>Boogie Nights </v>
      </c>
      <c r="AE2513">
        <f t="shared" si="68"/>
        <v>26384764</v>
      </c>
    </row>
    <row r="2514" customHeight="1" spans="1:31">
      <c r="A2514" s="2" t="s">
        <v>2289</v>
      </c>
      <c r="B2514" s="2">
        <v>97</v>
      </c>
      <c r="C2514" s="2">
        <v>56631572</v>
      </c>
      <c r="D2514" s="2" t="s">
        <v>607</v>
      </c>
      <c r="E2514" s="2" t="s">
        <v>40</v>
      </c>
      <c r="F2514" t="s">
        <v>15</v>
      </c>
      <c r="N2514" s="2" t="s">
        <v>18</v>
      </c>
      <c r="O2514" s="2" t="s">
        <v>19</v>
      </c>
      <c r="P2514" s="2">
        <v>12000000</v>
      </c>
      <c r="Q2514" s="2">
        <v>6.8</v>
      </c>
      <c r="R2514" s="2" t="s">
        <v>4996</v>
      </c>
      <c r="S2514" s="2"/>
      <c r="AC2514" s="2"/>
      <c r="AD2514" t="str">
        <f>IFERROR(__xludf.DUMMYFUNCTION("""COMPUTED_VALUE"""),"Nowhere to Run ")</f>
        <v>Nowhere to Run </v>
      </c>
      <c r="AE2514">
        <f t="shared" si="68"/>
        <v>22188945</v>
      </c>
    </row>
    <row r="2515" customHeight="1" spans="1:31">
      <c r="A2515" s="2" t="s">
        <v>2327</v>
      </c>
      <c r="B2515" s="2">
        <v>107</v>
      </c>
      <c r="C2515" s="2">
        <v>15854988</v>
      </c>
      <c r="D2515" s="2" t="s">
        <v>103</v>
      </c>
      <c r="E2515" s="2" t="s">
        <v>30</v>
      </c>
      <c r="F2515" t="s">
        <v>17</v>
      </c>
      <c r="N2515" s="2" t="s">
        <v>18</v>
      </c>
      <c r="O2515" s="2" t="s">
        <v>19</v>
      </c>
      <c r="P2515" s="2">
        <v>13500000</v>
      </c>
      <c r="Q2515" s="2">
        <v>7.4</v>
      </c>
      <c r="R2515" s="2" t="s">
        <v>4997</v>
      </c>
      <c r="S2515" s="2"/>
      <c r="AC2515" s="2"/>
      <c r="AD2515" t="str">
        <f>IFERROR(__xludf.DUMMYFUNCTION("""COMPUTED_VALUE"""),"Flicka ")</f>
        <v>Flicka </v>
      </c>
      <c r="AE2515">
        <f t="shared" si="68"/>
        <v>20998614</v>
      </c>
    </row>
    <row r="2516" customHeight="1" spans="1:31">
      <c r="A2516" s="2" t="s">
        <v>1641</v>
      </c>
      <c r="B2516" s="2">
        <v>99</v>
      </c>
      <c r="C2516" s="2">
        <v>12282677</v>
      </c>
      <c r="D2516" s="2" t="s">
        <v>2261</v>
      </c>
      <c r="E2516" s="2" t="s">
        <v>40</v>
      </c>
      <c r="F2516" t="s">
        <v>39</v>
      </c>
      <c r="N2516" s="2" t="s">
        <v>18</v>
      </c>
      <c r="O2516" s="2" t="s">
        <v>19</v>
      </c>
      <c r="P2516" s="2">
        <v>14000000</v>
      </c>
      <c r="Q2516" s="2">
        <v>5.1</v>
      </c>
      <c r="R2516" s="2" t="s">
        <v>4998</v>
      </c>
      <c r="S2516" s="2"/>
      <c r="AC2516" s="2"/>
      <c r="AD2516" t="str">
        <f>IFERROR(__xludf.DUMMYFUNCTION("""COMPUTED_VALUE"""),"The Hills Have Eyes II ")</f>
        <v>The Hills Have Eyes II </v>
      </c>
      <c r="AE2516">
        <f t="shared" si="68"/>
        <v>20801255</v>
      </c>
    </row>
    <row r="2517" customHeight="1" spans="1:31">
      <c r="A2517" s="2" t="s">
        <v>1966</v>
      </c>
      <c r="B2517" s="2">
        <v>124</v>
      </c>
      <c r="C2517" s="2">
        <v>7060876</v>
      </c>
      <c r="D2517" s="2" t="s">
        <v>562</v>
      </c>
      <c r="E2517" s="2" t="s">
        <v>59</v>
      </c>
      <c r="F2517" t="s">
        <v>30</v>
      </c>
      <c r="N2517" s="2" t="s">
        <v>18</v>
      </c>
      <c r="O2517" s="2" t="s">
        <v>31</v>
      </c>
      <c r="P2517" s="2">
        <v>13500000</v>
      </c>
      <c r="Q2517" s="2">
        <v>7.4</v>
      </c>
      <c r="R2517" s="2" t="s">
        <v>4999</v>
      </c>
      <c r="S2517" s="2"/>
      <c r="AC2517" s="2"/>
      <c r="AD2517" t="str">
        <f>IFERROR(__xludf.DUMMYFUNCTION("""COMPUTED_VALUE"""),"Urban Legends: Final Cut ")</f>
        <v>Urban Legends: Final Cut </v>
      </c>
      <c r="AE2517">
        <f t="shared" si="68"/>
        <v>21468710</v>
      </c>
    </row>
    <row r="2518" customHeight="1" spans="1:31">
      <c r="A2518" s="2" t="s">
        <v>2651</v>
      </c>
      <c r="B2518" s="2">
        <v>110</v>
      </c>
      <c r="C2518" s="2">
        <v>14989761</v>
      </c>
      <c r="D2518" s="2" t="s">
        <v>383</v>
      </c>
      <c r="E2518" s="2" t="s">
        <v>40</v>
      </c>
      <c r="F2518" t="s">
        <v>30</v>
      </c>
      <c r="N2518" s="2" t="s">
        <v>18</v>
      </c>
      <c r="O2518" s="2" t="s">
        <v>31</v>
      </c>
      <c r="P2518" s="2">
        <v>15000000</v>
      </c>
      <c r="Q2518" s="2">
        <v>7.2</v>
      </c>
      <c r="R2518" s="2" t="s">
        <v>5000</v>
      </c>
      <c r="S2518" s="2"/>
      <c r="AC2518" s="2"/>
      <c r="AD2518" t="str">
        <f>IFERROR(__xludf.DUMMYFUNCTION("""COMPUTED_VALUE"""),"Tuck Everlasting ")</f>
        <v>Tuck Everlasting </v>
      </c>
      <c r="AE2518">
        <f t="shared" si="68"/>
        <v>19157984</v>
      </c>
    </row>
    <row r="2519" customHeight="1" spans="1:31">
      <c r="A2519" s="2" t="s">
        <v>861</v>
      </c>
      <c r="B2519" s="2">
        <v>178</v>
      </c>
      <c r="C2519" s="2">
        <v>5501940</v>
      </c>
      <c r="D2519" s="2" t="s">
        <v>1284</v>
      </c>
      <c r="E2519" s="2" t="s">
        <v>59</v>
      </c>
      <c r="F2519" t="s">
        <v>30</v>
      </c>
      <c r="N2519" s="2" t="s">
        <v>4574</v>
      </c>
      <c r="O2519" s="2" t="s">
        <v>293</v>
      </c>
      <c r="P2519" s="2">
        <v>13500000</v>
      </c>
      <c r="Q2519" s="2">
        <v>8.3</v>
      </c>
      <c r="R2519" s="2" t="s">
        <v>5001</v>
      </c>
      <c r="S2519" s="2"/>
      <c r="AC2519" s="2"/>
      <c r="AD2519" t="str">
        <f>IFERROR(__xludf.DUMMYFUNCTION("""COMPUTED_VALUE"""),"The Marine ")</f>
        <v>The Marine </v>
      </c>
      <c r="AE2519">
        <f t="shared" si="68"/>
        <v>18843222</v>
      </c>
    </row>
    <row r="2520" customHeight="1" spans="1:31">
      <c r="A2520" s="2" t="s">
        <v>977</v>
      </c>
      <c r="B2520" s="2">
        <v>125</v>
      </c>
      <c r="C2520" s="2">
        <v>2086345</v>
      </c>
      <c r="D2520" s="2" t="s">
        <v>2624</v>
      </c>
      <c r="E2520" s="2" t="s">
        <v>59</v>
      </c>
      <c r="F2520" t="s">
        <v>30</v>
      </c>
      <c r="N2520" s="2" t="s">
        <v>1081</v>
      </c>
      <c r="O2520" s="2" t="s">
        <v>1431</v>
      </c>
      <c r="P2520" s="2">
        <v>10000000</v>
      </c>
      <c r="Q2520" s="2">
        <v>8.1</v>
      </c>
      <c r="R2520" s="2" t="s">
        <v>5002</v>
      </c>
      <c r="S2520" s="2"/>
      <c r="AC2520" s="2"/>
      <c r="AD2520" t="str">
        <f>IFERROR(__xludf.DUMMYFUNCTION("""COMPUTED_VALUE"""),"Keanu ")</f>
        <v>Keanu </v>
      </c>
      <c r="AE2520">
        <f t="shared" si="68"/>
        <v>20566227</v>
      </c>
    </row>
    <row r="2521" customHeight="1" spans="1:31">
      <c r="A2521" s="2" t="s">
        <v>889</v>
      </c>
      <c r="B2521" s="2">
        <v>121</v>
      </c>
      <c r="C2521" s="2">
        <v>123922370</v>
      </c>
      <c r="D2521" s="2" t="s">
        <v>5003</v>
      </c>
      <c r="E2521" s="2" t="s">
        <v>59</v>
      </c>
      <c r="F2521" t="s">
        <v>14</v>
      </c>
      <c r="N2521" s="2" t="s">
        <v>18</v>
      </c>
      <c r="O2521" s="2" t="s">
        <v>19</v>
      </c>
      <c r="P2521" s="2">
        <v>13000000</v>
      </c>
      <c r="Q2521" s="2">
        <v>7.3</v>
      </c>
      <c r="R2521" s="2" t="s">
        <v>5004</v>
      </c>
      <c r="S2521" s="2"/>
      <c r="AC2521" s="2"/>
      <c r="AD2521" t="str">
        <f>IFERROR(__xludf.DUMMYFUNCTION("""COMPUTED_VALUE"""),"Country Strong ")</f>
        <v>Country Strong </v>
      </c>
      <c r="AE2521">
        <f t="shared" si="68"/>
        <v>20218804</v>
      </c>
    </row>
    <row r="2522" customHeight="1" spans="1:31">
      <c r="A2522" s="2" t="s">
        <v>1763</v>
      </c>
      <c r="B2522" s="2">
        <v>100</v>
      </c>
      <c r="C2522" s="2">
        <v>163591</v>
      </c>
      <c r="D2522" s="2" t="s">
        <v>40</v>
      </c>
      <c r="E2522" s="2" t="s">
        <v>40</v>
      </c>
      <c r="F2522" t="s">
        <v>17</v>
      </c>
      <c r="N2522" s="2" t="s">
        <v>18</v>
      </c>
      <c r="O2522" s="2" t="s">
        <v>2880</v>
      </c>
      <c r="P2522" s="2">
        <v>13400000</v>
      </c>
      <c r="Q2522" s="2">
        <v>3.6</v>
      </c>
      <c r="R2522" s="2" t="s">
        <v>5005</v>
      </c>
      <c r="S2522" s="2"/>
      <c r="AC2522" s="2"/>
      <c r="AD2522" t="str">
        <f>IFERROR(__xludf.DUMMYFUNCTION("""COMPUTED_VALUE"""),"Disturbing Behavior ")</f>
        <v>Disturbing Behavior </v>
      </c>
      <c r="AE2522">
        <f t="shared" si="68"/>
        <v>17411247</v>
      </c>
    </row>
    <row r="2523" customHeight="1" spans="1:31">
      <c r="A2523" s="2" t="s">
        <v>403</v>
      </c>
      <c r="B2523" s="2">
        <v>115</v>
      </c>
      <c r="C2523" s="2">
        <v>73000942</v>
      </c>
      <c r="D2523" s="2" t="s">
        <v>1652</v>
      </c>
      <c r="E2523" s="2" t="s">
        <v>65</v>
      </c>
      <c r="F2523" t="s">
        <v>17</v>
      </c>
      <c r="N2523" s="2" t="s">
        <v>18</v>
      </c>
      <c r="O2523" s="2" t="s">
        <v>19</v>
      </c>
      <c r="P2523" s="2">
        <v>13000000</v>
      </c>
      <c r="Q2523" s="2">
        <v>1.6</v>
      </c>
      <c r="R2523" s="2" t="s">
        <v>5006</v>
      </c>
      <c r="S2523" s="2"/>
      <c r="AC2523" s="2"/>
      <c r="AD2523" t="str">
        <f>IFERROR(__xludf.DUMMYFUNCTION("""COMPUTED_VALUE"""),"The Place Beyond the Pines ")</f>
        <v>The Place Beyond the Pines </v>
      </c>
      <c r="AE2523">
        <f t="shared" si="68"/>
        <v>21383158</v>
      </c>
    </row>
    <row r="2524" customHeight="1" spans="1:31">
      <c r="A2524" s="2" t="s">
        <v>450</v>
      </c>
      <c r="B2524" s="2">
        <v>108</v>
      </c>
      <c r="C2524" s="2">
        <v>106952327</v>
      </c>
      <c r="D2524" s="2" t="s">
        <v>1655</v>
      </c>
      <c r="E2524" s="2" t="s">
        <v>30</v>
      </c>
      <c r="F2524" t="s">
        <v>30</v>
      </c>
      <c r="N2524" s="2" t="s">
        <v>18</v>
      </c>
      <c r="O2524" s="2" t="s">
        <v>19</v>
      </c>
      <c r="P2524" s="2">
        <v>13000000</v>
      </c>
      <c r="Q2524" s="2">
        <v>8</v>
      </c>
      <c r="R2524" s="2" t="s">
        <v>5007</v>
      </c>
      <c r="S2524" s="2"/>
      <c r="AC2524" s="2"/>
      <c r="AD2524" t="str">
        <f>IFERROR(__xludf.DUMMYFUNCTION("""COMPUTED_VALUE"""),"The November Man ")</f>
        <v>The November Man </v>
      </c>
      <c r="AE2524">
        <f t="shared" si="68"/>
        <v>24984760</v>
      </c>
    </row>
    <row r="2525" customHeight="1" spans="1:31">
      <c r="A2525" s="2" t="s">
        <v>1218</v>
      </c>
      <c r="B2525" s="2">
        <v>220</v>
      </c>
      <c r="C2525" s="2">
        <v>57300000</v>
      </c>
      <c r="D2525" s="2" t="s">
        <v>718</v>
      </c>
      <c r="E2525" s="2" t="s">
        <v>56</v>
      </c>
      <c r="F2525" t="s">
        <v>30</v>
      </c>
      <c r="N2525" s="2" t="s">
        <v>18</v>
      </c>
      <c r="O2525" s="2" t="s">
        <v>19</v>
      </c>
      <c r="P2525" s="2">
        <v>13000000</v>
      </c>
      <c r="Q2525" s="2">
        <v>9</v>
      </c>
      <c r="R2525" s="2" t="s">
        <v>5008</v>
      </c>
      <c r="S2525" s="2"/>
      <c r="AC2525" s="2"/>
      <c r="AD2525" t="str">
        <f>IFERROR(__xludf.DUMMYFUNCTION("""COMPUTED_VALUE"""),"Eye of the Beholder ")</f>
        <v>Eye of the Beholder </v>
      </c>
      <c r="AE2525">
        <f t="shared" si="68"/>
        <v>16458895</v>
      </c>
    </row>
    <row r="2526" customHeight="1" spans="1:31">
      <c r="A2526" s="2" t="s">
        <v>1390</v>
      </c>
      <c r="B2526" s="2">
        <v>112</v>
      </c>
      <c r="C2526" s="2">
        <v>91038276</v>
      </c>
      <c r="D2526" s="2" t="s">
        <v>3280</v>
      </c>
      <c r="E2526" s="2" t="s">
        <v>30</v>
      </c>
      <c r="F2526" t="s">
        <v>83</v>
      </c>
      <c r="N2526" s="2" t="s">
        <v>18</v>
      </c>
      <c r="O2526" s="2" t="s">
        <v>19</v>
      </c>
      <c r="P2526" s="2">
        <v>13000000</v>
      </c>
      <c r="Q2526" s="2">
        <v>6.1</v>
      </c>
      <c r="R2526" s="2" t="s">
        <v>5009</v>
      </c>
      <c r="S2526" s="2"/>
      <c r="AC2526" s="2"/>
      <c r="AD2526" t="str">
        <f>IFERROR(__xludf.DUMMYFUNCTION("""COMPUTED_VALUE"""),"The Hurt Locker ")</f>
        <v>The Hurt Locker </v>
      </c>
      <c r="AE2526">
        <f t="shared" si="68"/>
        <v>15699869</v>
      </c>
    </row>
    <row r="2527" customHeight="1" spans="1:31">
      <c r="A2527" s="2" t="s">
        <v>709</v>
      </c>
      <c r="B2527" s="2">
        <v>99</v>
      </c>
      <c r="C2527" s="2">
        <v>49369900</v>
      </c>
      <c r="D2527" s="2" t="s">
        <v>4101</v>
      </c>
      <c r="E2527" s="2" t="s">
        <v>14</v>
      </c>
      <c r="F2527" t="s">
        <v>30</v>
      </c>
      <c r="N2527" s="2" t="s">
        <v>18</v>
      </c>
      <c r="O2527" s="2" t="s">
        <v>19</v>
      </c>
      <c r="P2527" s="2">
        <v>7000000</v>
      </c>
      <c r="Q2527" s="2">
        <v>5.7</v>
      </c>
      <c r="R2527" s="2" t="s">
        <v>5010</v>
      </c>
      <c r="S2527" s="2"/>
      <c r="AC2527" s="2"/>
      <c r="AD2527" t="str">
        <f>IFERROR(__xludf.DUMMYFUNCTION("""COMPUTED_VALUE"""),"Firestarter ")</f>
        <v>Firestarter </v>
      </c>
      <c r="AE2527">
        <f t="shared" si="68"/>
        <v>15099886</v>
      </c>
    </row>
    <row r="2528" customHeight="1" spans="1:31">
      <c r="A2528" s="2" t="s">
        <v>2080</v>
      </c>
      <c r="B2528" s="2">
        <v>109</v>
      </c>
      <c r="C2528" s="2">
        <v>61693523</v>
      </c>
      <c r="D2528" s="2" t="s">
        <v>30</v>
      </c>
      <c r="E2528" s="2" t="s">
        <v>30</v>
      </c>
      <c r="F2528" t="s">
        <v>83</v>
      </c>
      <c r="N2528" s="2" t="s">
        <v>18</v>
      </c>
      <c r="O2528" s="2" t="s">
        <v>19</v>
      </c>
      <c r="P2528" s="2">
        <v>13000000</v>
      </c>
      <c r="Q2528" s="2">
        <v>6.8</v>
      </c>
      <c r="R2528" s="2" t="s">
        <v>5011</v>
      </c>
      <c r="S2528" s="2"/>
      <c r="AC2528" s="2"/>
      <c r="AD2528" t="str">
        <f>IFERROR(__xludf.DUMMYFUNCTION("""COMPUTED_VALUE"""),"Killing Them Softly ")</f>
        <v>Killing Them Softly </v>
      </c>
      <c r="AE2528">
        <f t="shared" si="68"/>
        <v>14938473</v>
      </c>
    </row>
    <row r="2529" customHeight="1" spans="1:31">
      <c r="A2529" s="2" t="s">
        <v>2731</v>
      </c>
      <c r="B2529" s="2">
        <v>83</v>
      </c>
      <c r="C2529" s="2">
        <v>46729374</v>
      </c>
      <c r="D2529" s="2" t="s">
        <v>4318</v>
      </c>
      <c r="E2529" s="2" t="s">
        <v>40</v>
      </c>
      <c r="F2529" t="s">
        <v>17</v>
      </c>
      <c r="N2529" s="2" t="s">
        <v>18</v>
      </c>
      <c r="O2529" s="2" t="s">
        <v>19</v>
      </c>
      <c r="P2529" s="2">
        <v>13000000</v>
      </c>
      <c r="Q2529" s="2">
        <v>5.5</v>
      </c>
      <c r="R2529" s="2" t="s">
        <v>5012</v>
      </c>
      <c r="S2529" s="2"/>
      <c r="AC2529" s="2"/>
      <c r="AD2529" t="str">
        <f>IFERROR(__xludf.DUMMYFUNCTION("""COMPUTED_VALUE"""),"A Most Wanted Man ")</f>
        <v>A Most Wanted Man </v>
      </c>
      <c r="AE2529">
        <f t="shared" si="68"/>
        <v>17237122</v>
      </c>
    </row>
    <row r="2530" customHeight="1" spans="1:31">
      <c r="A2530" s="2" t="s">
        <v>2733</v>
      </c>
      <c r="B2530" s="2">
        <v>107</v>
      </c>
      <c r="C2530" s="2">
        <v>44726644</v>
      </c>
      <c r="D2530" s="2" t="s">
        <v>4287</v>
      </c>
      <c r="E2530" s="2" t="s">
        <v>12</v>
      </c>
      <c r="F2530" t="s">
        <v>30</v>
      </c>
      <c r="N2530" s="2" t="s">
        <v>18</v>
      </c>
      <c r="O2530" s="2" t="s">
        <v>19</v>
      </c>
      <c r="P2530" s="2">
        <v>13000000</v>
      </c>
      <c r="Q2530" s="2">
        <v>6.8</v>
      </c>
      <c r="R2530" s="2" t="s">
        <v>5013</v>
      </c>
      <c r="S2530" s="2"/>
      <c r="AC2530" s="2"/>
      <c r="AD2530" t="str">
        <f>IFERROR(__xludf.DUMMYFUNCTION("""COMPUTED_VALUE"""),"Freddy Got Fingered ")</f>
        <v>Freddy Got Fingered </v>
      </c>
      <c r="AE2530">
        <f t="shared" si="68"/>
        <v>14248918</v>
      </c>
    </row>
    <row r="2531" customHeight="1" spans="1:31">
      <c r="A2531" s="2" t="s">
        <v>2735</v>
      </c>
      <c r="B2531" s="2">
        <v>102</v>
      </c>
      <c r="C2531" s="2">
        <v>44134898</v>
      </c>
      <c r="D2531" s="2" t="s">
        <v>975</v>
      </c>
      <c r="E2531" s="2" t="s">
        <v>40</v>
      </c>
      <c r="F2531" t="s">
        <v>30</v>
      </c>
      <c r="N2531" s="2" t="s">
        <v>18</v>
      </c>
      <c r="O2531" s="2" t="s">
        <v>19</v>
      </c>
      <c r="P2531" s="2">
        <v>13000000</v>
      </c>
      <c r="Q2531" s="2">
        <v>7.3</v>
      </c>
      <c r="R2531" s="2" t="s">
        <v>5014</v>
      </c>
      <c r="S2531" s="2"/>
      <c r="AC2531" s="2"/>
      <c r="AD2531" t="str">
        <f>IFERROR(__xludf.DUMMYFUNCTION("""COMPUTED_VALUE"""),"The Pirates Who Don't Do Anything: A VeggieTales Movie ")</f>
        <v>The Pirates Who Don't Do Anything: A VeggieTales Movie </v>
      </c>
      <c r="AE2531">
        <f t="shared" si="68"/>
        <v>12701795</v>
      </c>
    </row>
    <row r="2532" customHeight="1" spans="1:31">
      <c r="A2532" s="2" t="s">
        <v>1641</v>
      </c>
      <c r="B2532" s="2">
        <v>100</v>
      </c>
      <c r="C2532" s="2">
        <v>48637684</v>
      </c>
      <c r="D2532" s="2" t="s">
        <v>607</v>
      </c>
      <c r="E2532" s="2" t="s">
        <v>40</v>
      </c>
      <c r="F2532" t="s">
        <v>28</v>
      </c>
      <c r="N2532" s="2" t="s">
        <v>18</v>
      </c>
      <c r="O2532" s="2" t="s">
        <v>19</v>
      </c>
      <c r="P2532" s="2">
        <v>12500000</v>
      </c>
      <c r="Q2532" s="2">
        <v>6.1</v>
      </c>
      <c r="R2532" s="2" t="s">
        <v>5015</v>
      </c>
      <c r="S2532" s="2"/>
      <c r="AC2532" s="2"/>
      <c r="AD2532" t="str">
        <f>IFERROR(__xludf.DUMMYFUNCTION("""COMPUTED_VALUE"""),"Highlander: Endgame ")</f>
        <v>Highlander: Endgame </v>
      </c>
      <c r="AE2532">
        <f t="shared" si="68"/>
        <v>12801089</v>
      </c>
    </row>
    <row r="2533" customHeight="1" spans="1:31">
      <c r="A2533" s="2" t="s">
        <v>1672</v>
      </c>
      <c r="B2533" s="2">
        <v>97</v>
      </c>
      <c r="C2533" s="2">
        <v>38176108</v>
      </c>
      <c r="D2533" s="2" t="s">
        <v>521</v>
      </c>
      <c r="E2533" s="2" t="s">
        <v>40</v>
      </c>
      <c r="F2533" t="s">
        <v>30</v>
      </c>
      <c r="N2533" s="2" t="s">
        <v>18</v>
      </c>
      <c r="O2533" s="2" t="s">
        <v>19</v>
      </c>
      <c r="P2533" s="2">
        <v>16000000</v>
      </c>
      <c r="Q2533" s="2">
        <v>7.2</v>
      </c>
      <c r="R2533" s="2" t="s">
        <v>5016</v>
      </c>
      <c r="S2533" s="2"/>
      <c r="AC2533" s="2"/>
      <c r="AD2533" t="str">
        <f>IFERROR(__xludf.DUMMYFUNCTION("""COMPUTED_VALUE"""),"Idlewild ")</f>
        <v>Idlewild </v>
      </c>
      <c r="AE2533">
        <f t="shared" si="68"/>
        <v>12549364</v>
      </c>
    </row>
    <row r="2534" customHeight="1" spans="1:31">
      <c r="A2534" s="2" t="s">
        <v>2737</v>
      </c>
      <c r="B2534" s="2">
        <v>92</v>
      </c>
      <c r="C2534" s="2">
        <v>28972187</v>
      </c>
      <c r="D2534" s="2" t="s">
        <v>40</v>
      </c>
      <c r="E2534" s="2" t="s">
        <v>40</v>
      </c>
      <c r="F2534" t="s">
        <v>17</v>
      </c>
      <c r="N2534" s="2" t="s">
        <v>18</v>
      </c>
      <c r="O2534" s="2" t="s">
        <v>19</v>
      </c>
      <c r="P2534" s="2">
        <v>13000000</v>
      </c>
      <c r="Q2534" s="2">
        <v>5.9</v>
      </c>
      <c r="R2534" s="2" t="s">
        <v>5017</v>
      </c>
      <c r="S2534" s="2"/>
      <c r="AC2534" s="2"/>
      <c r="AD2534" t="str">
        <f>IFERROR(__xludf.DUMMYFUNCTION("""COMPUTED_VALUE"""),"One Day ")</f>
        <v>One Day </v>
      </c>
      <c r="AE2534">
        <f t="shared" si="68"/>
        <v>13765907</v>
      </c>
    </row>
    <row r="2535" customHeight="1" spans="1:31">
      <c r="A2535" s="2" t="s">
        <v>2739</v>
      </c>
      <c r="B2535" s="2">
        <v>84</v>
      </c>
      <c r="C2535" s="2">
        <v>27979400</v>
      </c>
      <c r="D2535" s="2" t="s">
        <v>635</v>
      </c>
      <c r="E2535" s="2" t="s">
        <v>12</v>
      </c>
      <c r="F2535" t="s">
        <v>15</v>
      </c>
      <c r="N2535" s="2" t="s">
        <v>18</v>
      </c>
      <c r="O2535" s="2" t="s">
        <v>19</v>
      </c>
      <c r="P2535" s="2">
        <v>8200000</v>
      </c>
      <c r="Q2535" s="2">
        <v>6.1</v>
      </c>
      <c r="R2535" s="2" t="s">
        <v>5018</v>
      </c>
      <c r="S2535" s="2"/>
      <c r="AC2535" s="2"/>
      <c r="AD2535" t="str">
        <f>IFERROR(__xludf.DUMMYFUNCTION("""COMPUTED_VALUE"""),"Whip It ")</f>
        <v>Whip It </v>
      </c>
      <c r="AE2535">
        <f t="shared" si="68"/>
        <v>13034306</v>
      </c>
    </row>
    <row r="2536" customHeight="1" spans="1:31">
      <c r="A2536" s="2" t="s">
        <v>1274</v>
      </c>
      <c r="B2536" s="2">
        <v>86</v>
      </c>
      <c r="C2536" s="2">
        <v>54257433</v>
      </c>
      <c r="D2536" s="2" t="s">
        <v>1788</v>
      </c>
      <c r="E2536" s="2" t="s">
        <v>30</v>
      </c>
      <c r="F2536" t="s">
        <v>28</v>
      </c>
      <c r="N2536" s="2" t="s">
        <v>18</v>
      </c>
      <c r="O2536" s="2" t="s">
        <v>19</v>
      </c>
      <c r="P2536" s="2">
        <v>17000000</v>
      </c>
      <c r="Q2536" s="2">
        <v>6.8</v>
      </c>
      <c r="R2536" s="2" t="s">
        <v>5019</v>
      </c>
      <c r="S2536" s="2"/>
      <c r="AC2536" s="2"/>
      <c r="AD2536" t="str">
        <f>IFERROR(__xludf.DUMMYFUNCTION("""COMPUTED_VALUE"""),"Confidence ")</f>
        <v>Confidence </v>
      </c>
      <c r="AE2536">
        <f t="shared" si="68"/>
        <v>12212320</v>
      </c>
    </row>
    <row r="2537" customHeight="1" spans="1:31">
      <c r="A2537" s="2" t="s">
        <v>2741</v>
      </c>
      <c r="B2537" s="2">
        <v>120</v>
      </c>
      <c r="C2537" s="2">
        <v>23947</v>
      </c>
      <c r="D2537" s="2" t="s">
        <v>1154</v>
      </c>
      <c r="E2537" s="2" t="s">
        <v>15</v>
      </c>
      <c r="F2537" t="s">
        <v>15</v>
      </c>
      <c r="N2537" s="2" t="s">
        <v>18</v>
      </c>
      <c r="O2537" s="2" t="s">
        <v>19</v>
      </c>
      <c r="P2537" s="2">
        <v>13000000</v>
      </c>
      <c r="Q2537" s="2">
        <v>7.7</v>
      </c>
      <c r="R2537" s="2" t="s">
        <v>5020</v>
      </c>
      <c r="S2537" s="2"/>
      <c r="AC2537" s="2"/>
      <c r="AD2537" t="str">
        <f>IFERROR(__xludf.DUMMYFUNCTION("""COMPUTED_VALUE"""),"The Muse ")</f>
        <v>The Muse </v>
      </c>
      <c r="AE2537">
        <f t="shared" si="68"/>
        <v>11614139</v>
      </c>
    </row>
    <row r="2538" customHeight="1" spans="1:31">
      <c r="A2538" s="2" t="s">
        <v>2286</v>
      </c>
      <c r="B2538" s="2">
        <v>89</v>
      </c>
      <c r="C2538" s="2">
        <v>60008303</v>
      </c>
      <c r="D2538" s="2" t="s">
        <v>908</v>
      </c>
      <c r="E2538" s="2" t="s">
        <v>13</v>
      </c>
      <c r="F2538" t="s">
        <v>30</v>
      </c>
      <c r="N2538" s="2" t="s">
        <v>18</v>
      </c>
      <c r="O2538" s="2" t="s">
        <v>19</v>
      </c>
      <c r="P2538" s="2">
        <v>13000000</v>
      </c>
      <c r="Q2538" s="2">
        <v>4.9</v>
      </c>
      <c r="R2538" s="2" t="s">
        <v>5021</v>
      </c>
      <c r="S2538" s="2"/>
      <c r="AC2538" s="2"/>
      <c r="AD2538" t="str">
        <f>IFERROR(__xludf.DUMMYFUNCTION("""COMPUTED_VALUE"""),"De-Lovely ")</f>
        <v>De-Lovely </v>
      </c>
      <c r="AE2538">
        <f t="shared" si="68"/>
        <v>13337174</v>
      </c>
    </row>
    <row r="2539" customHeight="1" spans="1:31">
      <c r="A2539" s="2" t="s">
        <v>2743</v>
      </c>
      <c r="B2539" s="2">
        <v>117</v>
      </c>
      <c r="C2539" s="2">
        <v>49121934</v>
      </c>
      <c r="D2539" s="2" t="s">
        <v>521</v>
      </c>
      <c r="E2539" s="2" t="s">
        <v>40</v>
      </c>
      <c r="F2539" t="s">
        <v>30</v>
      </c>
      <c r="N2539" s="2" t="s">
        <v>18</v>
      </c>
      <c r="O2539" s="2" t="s">
        <v>19</v>
      </c>
      <c r="P2539" s="2">
        <v>13000000</v>
      </c>
      <c r="Q2539" s="2">
        <v>6.1</v>
      </c>
      <c r="R2539" s="2" t="s">
        <v>5022</v>
      </c>
      <c r="S2539" s="2"/>
      <c r="AC2539" s="2"/>
      <c r="AD2539" t="str">
        <f>IFERROR(__xludf.DUMMYFUNCTION("""COMPUTED_VALUE"""),"New York Stories ")</f>
        <v>New York Stories </v>
      </c>
      <c r="AE2539">
        <f t="shared" si="68"/>
        <v>10763345</v>
      </c>
    </row>
    <row r="2540" customHeight="1" spans="1:31">
      <c r="A2540" s="2" t="s">
        <v>2306</v>
      </c>
      <c r="B2540" s="2">
        <v>97</v>
      </c>
      <c r="C2540" s="2">
        <v>27141959</v>
      </c>
      <c r="D2540" s="2" t="s">
        <v>5023</v>
      </c>
      <c r="E2540" s="2" t="s">
        <v>40</v>
      </c>
      <c r="F2540" t="s">
        <v>55</v>
      </c>
      <c r="N2540" s="2" t="s">
        <v>18</v>
      </c>
      <c r="O2540" s="2" t="s">
        <v>19</v>
      </c>
      <c r="P2540" s="2">
        <v>18000000</v>
      </c>
      <c r="Q2540" s="2">
        <v>2.5</v>
      </c>
      <c r="R2540" s="2" t="s">
        <v>5024</v>
      </c>
      <c r="S2540" s="2"/>
      <c r="AC2540" s="2"/>
      <c r="AD2540" t="str">
        <f>IFERROR(__xludf.DUMMYFUNCTION("""COMPUTED_VALUE"""),"Barney's Great Adventure ")</f>
        <v>Barney's Great Adventure </v>
      </c>
      <c r="AE2540">
        <f t="shared" si="68"/>
        <v>11144442</v>
      </c>
    </row>
    <row r="2541" customHeight="1" spans="1:31">
      <c r="A2541" s="2" t="s">
        <v>2745</v>
      </c>
      <c r="B2541" s="2">
        <v>91</v>
      </c>
      <c r="C2541" s="2">
        <v>27052167</v>
      </c>
      <c r="D2541" s="2" t="s">
        <v>174</v>
      </c>
      <c r="E2541" s="2" t="s">
        <v>12</v>
      </c>
      <c r="F2541" t="s">
        <v>28</v>
      </c>
      <c r="N2541" s="2" t="s">
        <v>18</v>
      </c>
      <c r="O2541" s="2" t="s">
        <v>19</v>
      </c>
      <c r="P2541" s="2">
        <v>13000000</v>
      </c>
      <c r="Q2541" s="2">
        <v>6.1</v>
      </c>
      <c r="R2541" s="2" t="s">
        <v>5025</v>
      </c>
      <c r="S2541" s="2"/>
      <c r="AC2541" s="2"/>
      <c r="AD2541" t="str">
        <f>IFERROR(__xludf.DUMMYFUNCTION("""COMPUTED_VALUE"""),"The Man with the Iron Fists ")</f>
        <v>The Man with the Iron Fists </v>
      </c>
      <c r="AE2541">
        <f t="shared" si="68"/>
        <v>15608438</v>
      </c>
    </row>
    <row r="2542" customHeight="1" spans="1:31">
      <c r="A2542" s="2" t="s">
        <v>2747</v>
      </c>
      <c r="B2542" s="2">
        <v>100</v>
      </c>
      <c r="C2542" s="2">
        <v>26539321</v>
      </c>
      <c r="D2542" s="2" t="s">
        <v>1590</v>
      </c>
      <c r="E2542" s="2" t="s">
        <v>40</v>
      </c>
      <c r="F2542" t="s">
        <v>40</v>
      </c>
      <c r="N2542" s="2" t="s">
        <v>18</v>
      </c>
      <c r="O2542" s="2" t="s">
        <v>19</v>
      </c>
      <c r="P2542" s="2">
        <v>13000000</v>
      </c>
      <c r="Q2542" s="2">
        <v>5.9</v>
      </c>
      <c r="R2542" s="2" t="s">
        <v>5026</v>
      </c>
      <c r="S2542" s="2"/>
      <c r="AC2542" s="2"/>
      <c r="AD2542" t="str">
        <f>IFERROR(__xludf.DUMMYFUNCTION("""COMPUTED_VALUE"""),"Home Fries ")</f>
        <v>Home Fries </v>
      </c>
      <c r="AE2542">
        <f t="shared" si="68"/>
        <v>10443225</v>
      </c>
    </row>
    <row r="2543" customHeight="1" spans="1:31">
      <c r="A2543" s="2" t="s">
        <v>2749</v>
      </c>
      <c r="B2543" s="2">
        <v>72</v>
      </c>
      <c r="C2543" s="2">
        <v>28501605</v>
      </c>
      <c r="D2543" s="2" t="s">
        <v>3112</v>
      </c>
      <c r="E2543" s="2" t="s">
        <v>14</v>
      </c>
      <c r="F2543" t="s">
        <v>39</v>
      </c>
      <c r="N2543" s="2" t="s">
        <v>18</v>
      </c>
      <c r="O2543" s="2" t="s">
        <v>19</v>
      </c>
      <c r="P2543" s="2">
        <v>13000000</v>
      </c>
      <c r="Q2543" s="2">
        <v>5.7</v>
      </c>
      <c r="R2543" s="2" t="s">
        <v>5027</v>
      </c>
      <c r="S2543" s="2"/>
      <c r="AC2543" s="2"/>
      <c r="AD2543" t="str">
        <f>IFERROR(__xludf.DUMMYFUNCTION("""COMPUTED_VALUE"""),"Here on Earth ")</f>
        <v>Here on Earth </v>
      </c>
      <c r="AE2543">
        <f t="shared" si="68"/>
        <v>10494051</v>
      </c>
    </row>
    <row r="2544" customHeight="1" spans="1:31">
      <c r="A2544" s="2" t="s">
        <v>2752</v>
      </c>
      <c r="B2544" s="2">
        <v>84</v>
      </c>
      <c r="C2544" s="2">
        <v>52543632</v>
      </c>
      <c r="D2544" s="2" t="s">
        <v>557</v>
      </c>
      <c r="E2544" s="2" t="s">
        <v>56</v>
      </c>
      <c r="F2544" t="s">
        <v>72</v>
      </c>
      <c r="N2544" s="2" t="s">
        <v>18</v>
      </c>
      <c r="O2544" s="2" t="s">
        <v>19</v>
      </c>
      <c r="P2544" s="2">
        <v>13200000</v>
      </c>
      <c r="Q2544" s="2">
        <v>5.6</v>
      </c>
      <c r="R2544" s="2" t="s">
        <v>5028</v>
      </c>
      <c r="S2544" s="2"/>
      <c r="AC2544" s="2"/>
      <c r="AD2544" t="str">
        <f>IFERROR(__xludf.DUMMYFUNCTION("""COMPUTED_VALUE"""),"Brazil ")</f>
        <v>Brazil </v>
      </c>
      <c r="AE2544">
        <f t="shared" si="68"/>
        <v>9928858</v>
      </c>
    </row>
    <row r="2545" customHeight="1" spans="1:31">
      <c r="A2545" s="2" t="s">
        <v>919</v>
      </c>
      <c r="B2545" s="2">
        <v>126</v>
      </c>
      <c r="C2545" s="2">
        <v>25592632</v>
      </c>
      <c r="D2545" s="2" t="s">
        <v>72</v>
      </c>
      <c r="E2545" s="2" t="s">
        <v>72</v>
      </c>
      <c r="F2545" t="s">
        <v>17</v>
      </c>
      <c r="N2545" s="2" t="s">
        <v>18</v>
      </c>
      <c r="O2545" s="2" t="s">
        <v>19</v>
      </c>
      <c r="P2545" s="2">
        <v>18000000</v>
      </c>
      <c r="Q2545" s="2">
        <v>7.2</v>
      </c>
      <c r="R2545" s="2" t="s">
        <v>5029</v>
      </c>
      <c r="S2545" s="2"/>
      <c r="AC2545" s="2"/>
      <c r="AD2545" t="str">
        <f>IFERROR(__xludf.DUMMYFUNCTION("""COMPUTED_VALUE"""),"Raise Your Voice ")</f>
        <v>Raise Your Voice </v>
      </c>
      <c r="AE2545">
        <f t="shared" si="68"/>
        <v>10411877</v>
      </c>
    </row>
    <row r="2546" customHeight="1" spans="1:31">
      <c r="A2546" s="2" t="s">
        <v>2755</v>
      </c>
      <c r="B2546" s="2">
        <v>108</v>
      </c>
      <c r="C2546" s="2">
        <v>25440971</v>
      </c>
      <c r="D2546" s="2" t="s">
        <v>840</v>
      </c>
      <c r="E2546" s="2" t="s">
        <v>30</v>
      </c>
      <c r="F2546" t="s">
        <v>28</v>
      </c>
      <c r="N2546" s="2" t="s">
        <v>18</v>
      </c>
      <c r="O2546" s="2" t="s">
        <v>31</v>
      </c>
      <c r="P2546" s="2">
        <v>15000000</v>
      </c>
      <c r="Q2546" s="2">
        <v>7.7</v>
      </c>
      <c r="R2546" s="2" t="s">
        <v>5030</v>
      </c>
      <c r="S2546" s="2"/>
      <c r="AC2546" s="2"/>
      <c r="AD2546" t="str">
        <f>IFERROR(__xludf.DUMMYFUNCTION("""COMPUTED_VALUE"""),"The Big Lebowski ")</f>
        <v>The Big Lebowski </v>
      </c>
      <c r="AE2546">
        <f t="shared" si="68"/>
        <v>17439046</v>
      </c>
    </row>
    <row r="2547" customHeight="1" spans="1:31">
      <c r="A2547" s="2" t="s">
        <v>640</v>
      </c>
      <c r="B2547" s="2">
        <v>112</v>
      </c>
      <c r="C2547" s="2">
        <v>22858926</v>
      </c>
      <c r="D2547" s="2" t="s">
        <v>3310</v>
      </c>
      <c r="E2547" s="2" t="s">
        <v>40</v>
      </c>
      <c r="F2547" t="s">
        <v>72</v>
      </c>
      <c r="N2547" s="2" t="s">
        <v>18</v>
      </c>
      <c r="O2547" s="2" t="s">
        <v>19</v>
      </c>
      <c r="P2547" s="2">
        <v>13000000</v>
      </c>
      <c r="Q2547" s="2">
        <v>7.8</v>
      </c>
      <c r="R2547" s="2" t="s">
        <v>5031</v>
      </c>
      <c r="S2547" s="2"/>
      <c r="AC2547" s="2"/>
      <c r="AD2547" t="str">
        <f>IFERROR(__xludf.DUMMYFUNCTION("""COMPUTED_VALUE"""),"Black Snake Moan ")</f>
        <v>Black Snake Moan </v>
      </c>
      <c r="AE2547">
        <f t="shared" si="68"/>
        <v>9396371</v>
      </c>
    </row>
    <row r="2548" customHeight="1" spans="1:31">
      <c r="A2548" s="2" t="s">
        <v>2758</v>
      </c>
      <c r="B2548" s="2">
        <v>90</v>
      </c>
      <c r="C2548" s="2">
        <v>22235901</v>
      </c>
      <c r="D2548" s="2" t="s">
        <v>607</v>
      </c>
      <c r="E2548" s="2" t="s">
        <v>40</v>
      </c>
      <c r="F2548" t="s">
        <v>30</v>
      </c>
      <c r="N2548" s="2" t="s">
        <v>18</v>
      </c>
      <c r="O2548" s="2" t="s">
        <v>19</v>
      </c>
      <c r="P2548" s="2">
        <v>6000000</v>
      </c>
      <c r="Q2548" s="2">
        <v>6.1</v>
      </c>
      <c r="R2548" s="2" t="s">
        <v>5032</v>
      </c>
      <c r="S2548" s="2"/>
      <c r="AC2548" s="2"/>
      <c r="AD2548" t="str">
        <f>IFERROR(__xludf.DUMMYFUNCTION("""COMPUTED_VALUE"""),"Dark Blue ")</f>
        <v>Dark Blue </v>
      </c>
      <c r="AE2548">
        <f t="shared" si="68"/>
        <v>9059470</v>
      </c>
    </row>
    <row r="2549" customHeight="1" spans="1:31">
      <c r="A2549" s="2" t="s">
        <v>545</v>
      </c>
      <c r="B2549" s="2">
        <v>91</v>
      </c>
      <c r="C2549" s="2">
        <v>38916903</v>
      </c>
      <c r="D2549" s="2" t="s">
        <v>5033</v>
      </c>
      <c r="E2549" s="2" t="s">
        <v>13</v>
      </c>
      <c r="F2549" t="s">
        <v>39</v>
      </c>
      <c r="N2549" s="2" t="s">
        <v>18</v>
      </c>
      <c r="O2549" s="2" t="s">
        <v>19</v>
      </c>
      <c r="P2549" s="2">
        <v>13000000</v>
      </c>
      <c r="Q2549" s="2">
        <v>5.8</v>
      </c>
      <c r="R2549" s="2" t="s">
        <v>5034</v>
      </c>
      <c r="S2549" s="2"/>
      <c r="AC2549" s="2"/>
      <c r="AD2549" t="str">
        <f>IFERROR(__xludf.DUMMYFUNCTION("""COMPUTED_VALUE"""),"A Mighty Heart ")</f>
        <v>A Mighty Heart </v>
      </c>
      <c r="AE2549">
        <f t="shared" si="68"/>
        <v>9172702</v>
      </c>
    </row>
    <row r="2550" customHeight="1" spans="1:31">
      <c r="A2550" s="2" t="s">
        <v>1342</v>
      </c>
      <c r="B2550" s="2">
        <v>135</v>
      </c>
      <c r="C2550" s="2">
        <v>16929123</v>
      </c>
      <c r="D2550" s="2" t="s">
        <v>103</v>
      </c>
      <c r="E2550" s="2" t="s">
        <v>30</v>
      </c>
      <c r="F2550" t="s">
        <v>30</v>
      </c>
      <c r="N2550" s="2" t="s">
        <v>18</v>
      </c>
      <c r="O2550" s="2" t="s">
        <v>19</v>
      </c>
      <c r="P2550" s="2">
        <v>14000000</v>
      </c>
      <c r="Q2550" s="2">
        <v>6.5</v>
      </c>
      <c r="R2550" s="2" t="s">
        <v>5035</v>
      </c>
      <c r="S2550" s="2"/>
      <c r="AC2550" s="2"/>
      <c r="AD2550" t="str">
        <f>IFERROR(__xludf.DUMMYFUNCTION("""COMPUTED_VALUE"""),"Whatever It Takes ")</f>
        <v>Whatever It Takes </v>
      </c>
      <c r="AE2550">
        <f t="shared" si="68"/>
        <v>8735435</v>
      </c>
    </row>
    <row r="2551" customHeight="1" spans="1:31">
      <c r="A2551" s="2" t="s">
        <v>1000</v>
      </c>
      <c r="B2551" s="2">
        <v>141</v>
      </c>
      <c r="C2551" s="2">
        <v>13753931</v>
      </c>
      <c r="D2551" s="2" t="s">
        <v>731</v>
      </c>
      <c r="E2551" s="2" t="s">
        <v>30</v>
      </c>
      <c r="F2551" t="s">
        <v>28</v>
      </c>
      <c r="N2551" s="2" t="s">
        <v>3256</v>
      </c>
      <c r="O2551" s="2" t="s">
        <v>19</v>
      </c>
      <c r="P2551" s="2">
        <v>19000000</v>
      </c>
      <c r="Q2551" s="2">
        <v>7.9</v>
      </c>
      <c r="R2551" s="2" t="s">
        <v>5036</v>
      </c>
      <c r="S2551" s="2"/>
      <c r="AC2551" s="2"/>
      <c r="AD2551" t="str">
        <f>IFERROR(__xludf.DUMMYFUNCTION("""COMPUTED_VALUE"""),"Boat Trip ")</f>
        <v>Boat Trip </v>
      </c>
      <c r="AE2551">
        <f t="shared" ref="AE2551:AE2614" si="69">C2435-B2435</f>
        <v>8586279</v>
      </c>
    </row>
    <row r="2552" customHeight="1" spans="1:31">
      <c r="A2552" s="2" t="s">
        <v>2760</v>
      </c>
      <c r="B2552" s="2">
        <v>104</v>
      </c>
      <c r="C2552" s="2">
        <v>10996440</v>
      </c>
      <c r="D2552" s="2" t="s">
        <v>260</v>
      </c>
      <c r="E2552" s="2" t="s">
        <v>13</v>
      </c>
      <c r="F2552" t="s">
        <v>39</v>
      </c>
      <c r="N2552" s="2" t="s">
        <v>18</v>
      </c>
      <c r="O2552" s="2" t="s">
        <v>19</v>
      </c>
      <c r="P2552" s="2">
        <v>13000000</v>
      </c>
      <c r="Q2552" s="2">
        <v>6.3</v>
      </c>
      <c r="R2552" s="2" t="s">
        <v>5037</v>
      </c>
      <c r="S2552" s="2"/>
      <c r="AC2552" s="2"/>
      <c r="AD2552" t="str">
        <f>IFERROR(__xludf.DUMMYFUNCTION("""COMPUTED_VALUE"""),"The Importance of Being Earnest ")</f>
        <v>The Importance of Being Earnest </v>
      </c>
      <c r="AE2552">
        <f t="shared" si="69"/>
        <v>8378044</v>
      </c>
    </row>
    <row r="2553" customHeight="1" spans="1:31">
      <c r="A2553" s="2" t="s">
        <v>2763</v>
      </c>
      <c r="B2553" s="2">
        <v>84</v>
      </c>
      <c r="C2553" s="2">
        <v>8026971</v>
      </c>
      <c r="D2553" s="2" t="s">
        <v>607</v>
      </c>
      <c r="E2553" s="2" t="s">
        <v>40</v>
      </c>
      <c r="F2553" t="s">
        <v>28</v>
      </c>
      <c r="N2553" s="2" t="s">
        <v>18</v>
      </c>
      <c r="O2553" s="2" t="s">
        <v>19</v>
      </c>
      <c r="P2553" s="2">
        <v>13000000</v>
      </c>
      <c r="Q2553" s="2">
        <v>3.8</v>
      </c>
      <c r="R2553" s="2" t="s">
        <v>5038</v>
      </c>
      <c r="S2553" s="2"/>
      <c r="AC2553" s="2"/>
      <c r="AD2553" t="str">
        <f>IFERROR(__xludf.DUMMYFUNCTION("""COMPUTED_VALUE"""),"Hoot ")</f>
        <v>Hoot </v>
      </c>
      <c r="AE2553">
        <f t="shared" si="69"/>
        <v>8080025</v>
      </c>
    </row>
    <row r="2554" customHeight="1" spans="1:31">
      <c r="A2554" s="2" t="s">
        <v>2765</v>
      </c>
      <c r="B2554" s="2">
        <v>118</v>
      </c>
      <c r="C2554" s="2">
        <v>14677654</v>
      </c>
      <c r="D2554" s="2" t="s">
        <v>30</v>
      </c>
      <c r="E2554" s="2" t="s">
        <v>30</v>
      </c>
      <c r="F2554" t="s">
        <v>40</v>
      </c>
      <c r="N2554" s="2" t="s">
        <v>18</v>
      </c>
      <c r="O2554" s="2" t="s">
        <v>3349</v>
      </c>
      <c r="P2554" s="2">
        <v>13000000</v>
      </c>
      <c r="Q2554" s="2">
        <v>8.3</v>
      </c>
      <c r="R2554" s="2" t="s">
        <v>5039</v>
      </c>
      <c r="S2554" s="2"/>
      <c r="AC2554" s="2"/>
      <c r="AD2554" t="str">
        <f>IFERROR(__xludf.DUMMYFUNCTION("""COMPUTED_VALUE"""),"In Bruges ")</f>
        <v>In Bruges </v>
      </c>
      <c r="AE2554">
        <f t="shared" si="69"/>
        <v>7757023</v>
      </c>
    </row>
    <row r="2555" customHeight="1" spans="1:31">
      <c r="A2555" s="2" t="s">
        <v>2767</v>
      </c>
      <c r="B2555" s="2">
        <v>82</v>
      </c>
      <c r="C2555" s="2">
        <v>9975684</v>
      </c>
      <c r="D2555" s="2" t="s">
        <v>40</v>
      </c>
      <c r="E2555" s="2" t="s">
        <v>40</v>
      </c>
      <c r="F2555" t="s">
        <v>23</v>
      </c>
      <c r="N2555" s="2" t="s">
        <v>18</v>
      </c>
      <c r="O2555" s="2" t="s">
        <v>121</v>
      </c>
      <c r="P2555" s="2">
        <v>13000000</v>
      </c>
      <c r="Q2555" s="2">
        <v>6.4</v>
      </c>
      <c r="R2555" s="2" t="s">
        <v>5040</v>
      </c>
      <c r="S2555" s="2"/>
      <c r="AC2555" s="2"/>
      <c r="AD2555" t="str">
        <f>IFERROR(__xludf.DUMMYFUNCTION("""COMPUTED_VALUE"""),"Peeples ")</f>
        <v>Peeples </v>
      </c>
      <c r="AE2555">
        <f t="shared" si="69"/>
        <v>9123739</v>
      </c>
    </row>
    <row r="2556" customHeight="1" spans="1:31">
      <c r="A2556" s="2" t="s">
        <v>2770</v>
      </c>
      <c r="B2556" s="2">
        <v>95</v>
      </c>
      <c r="C2556" s="2">
        <v>7881335</v>
      </c>
      <c r="D2556" s="2" t="s">
        <v>2471</v>
      </c>
      <c r="E2556" s="2" t="s">
        <v>40</v>
      </c>
      <c r="F2556" t="s">
        <v>30</v>
      </c>
      <c r="N2556" s="2" t="s">
        <v>18</v>
      </c>
      <c r="O2556" s="2" t="s">
        <v>19</v>
      </c>
      <c r="P2556" s="2">
        <v>13000000</v>
      </c>
      <c r="Q2556" s="2">
        <v>6.7</v>
      </c>
      <c r="R2556" s="2" t="s">
        <v>5041</v>
      </c>
      <c r="S2556" s="2"/>
      <c r="AC2556" s="2"/>
      <c r="AD2556" t="str">
        <f>IFERROR(__xludf.DUMMYFUNCTION("""COMPUTED_VALUE"""),"The Rocker ")</f>
        <v>The Rocker </v>
      </c>
      <c r="AE2556">
        <f t="shared" si="69"/>
        <v>6409104</v>
      </c>
    </row>
    <row r="2557" customHeight="1" spans="1:31">
      <c r="A2557" s="2" t="s">
        <v>2250</v>
      </c>
      <c r="B2557" s="2">
        <v>94</v>
      </c>
      <c r="C2557" s="2">
        <v>6241697</v>
      </c>
      <c r="D2557" s="2" t="s">
        <v>40</v>
      </c>
      <c r="E2557" s="2" t="s">
        <v>40</v>
      </c>
      <c r="F2557" t="s">
        <v>40</v>
      </c>
      <c r="N2557" s="2" t="s">
        <v>18</v>
      </c>
      <c r="O2557" s="2" t="s">
        <v>707</v>
      </c>
      <c r="P2557" s="2">
        <v>13000000</v>
      </c>
      <c r="Q2557" s="2">
        <v>6.1</v>
      </c>
      <c r="R2557" s="2" t="s">
        <v>5042</v>
      </c>
      <c r="S2557" s="2"/>
      <c r="AC2557" s="2"/>
      <c r="AD2557" t="str">
        <f>IFERROR(__xludf.DUMMYFUNCTION("""COMPUTED_VALUE"""),"Post Grad ")</f>
        <v>Post Grad </v>
      </c>
      <c r="AE2557">
        <f t="shared" si="69"/>
        <v>6373605</v>
      </c>
    </row>
    <row r="2558" customHeight="1" spans="1:31">
      <c r="A2558" s="2" t="s">
        <v>2772</v>
      </c>
      <c r="B2558" s="2">
        <v>99</v>
      </c>
      <c r="C2558" s="2">
        <v>5871603</v>
      </c>
      <c r="D2558" s="2" t="s">
        <v>1655</v>
      </c>
      <c r="E2558" s="2" t="s">
        <v>30</v>
      </c>
      <c r="F2558" t="s">
        <v>13</v>
      </c>
      <c r="N2558" s="2" t="s">
        <v>18</v>
      </c>
      <c r="O2558" s="2" t="s">
        <v>19</v>
      </c>
      <c r="P2558" s="2">
        <v>13000000</v>
      </c>
      <c r="Q2558" s="2">
        <v>6</v>
      </c>
      <c r="R2558" s="2" t="s">
        <v>5043</v>
      </c>
      <c r="S2558" s="2"/>
      <c r="AC2558" s="2"/>
      <c r="AD2558" t="str">
        <f>IFERROR(__xludf.DUMMYFUNCTION("""COMPUTED_VALUE"""),"Promised Land ")</f>
        <v>Promised Land </v>
      </c>
      <c r="AE2558">
        <f t="shared" si="69"/>
        <v>7556602</v>
      </c>
    </row>
    <row r="2559" customHeight="1" spans="1:31">
      <c r="A2559" s="2" t="s">
        <v>2774</v>
      </c>
      <c r="B2559" s="2">
        <v>121</v>
      </c>
      <c r="C2559" s="2">
        <v>16574731</v>
      </c>
      <c r="D2559" s="2" t="s">
        <v>2565</v>
      </c>
      <c r="E2559" s="2" t="s">
        <v>30</v>
      </c>
      <c r="F2559" t="s">
        <v>28</v>
      </c>
      <c r="N2559" s="2" t="s">
        <v>18</v>
      </c>
      <c r="O2559" s="2" t="s">
        <v>19</v>
      </c>
      <c r="P2559" s="2">
        <v>13000000</v>
      </c>
      <c r="Q2559" s="2">
        <v>5.8</v>
      </c>
      <c r="R2559" s="2" t="s">
        <v>5044</v>
      </c>
      <c r="S2559" s="2"/>
      <c r="AC2559" s="2"/>
      <c r="AD2559" t="str">
        <f>IFERROR(__xludf.DUMMYFUNCTION("""COMPUTED_VALUE"""),"Whatever Works ")</f>
        <v>Whatever Works </v>
      </c>
      <c r="AE2559">
        <f t="shared" si="69"/>
        <v>5306355</v>
      </c>
    </row>
    <row r="2560" customHeight="1" spans="1:31">
      <c r="A2560" s="2" t="s">
        <v>2776</v>
      </c>
      <c r="B2560" s="2">
        <v>84</v>
      </c>
      <c r="C2560" s="2">
        <v>5002310</v>
      </c>
      <c r="D2560" s="2" t="s">
        <v>5045</v>
      </c>
      <c r="E2560" s="2" t="s">
        <v>13</v>
      </c>
      <c r="F2560" t="s">
        <v>28</v>
      </c>
      <c r="N2560" s="2" t="s">
        <v>18</v>
      </c>
      <c r="O2560" s="2" t="s">
        <v>19</v>
      </c>
      <c r="P2560" s="2">
        <v>13000000</v>
      </c>
      <c r="Q2560" s="2">
        <v>5.6</v>
      </c>
      <c r="R2560" s="2" t="s">
        <v>5046</v>
      </c>
      <c r="S2560" s="2"/>
      <c r="AC2560" s="2"/>
      <c r="AD2560" t="str">
        <f>IFERROR(__xludf.DUMMYFUNCTION("""COMPUTED_VALUE"""),"The In Crowd ")</f>
        <v>The In Crowd </v>
      </c>
      <c r="AE2560">
        <f t="shared" si="69"/>
        <v>5217393</v>
      </c>
    </row>
    <row r="2561" customHeight="1" spans="1:31">
      <c r="A2561" s="2" t="s">
        <v>2778</v>
      </c>
      <c r="B2561" s="2">
        <v>93</v>
      </c>
      <c r="C2561" s="2">
        <v>4919896</v>
      </c>
      <c r="D2561" s="2" t="s">
        <v>2471</v>
      </c>
      <c r="E2561" s="2" t="s">
        <v>40</v>
      </c>
      <c r="F2561" t="s">
        <v>30</v>
      </c>
      <c r="N2561" s="2" t="s">
        <v>18</v>
      </c>
      <c r="O2561" s="2" t="s">
        <v>31</v>
      </c>
      <c r="P2561" s="2">
        <v>13000000</v>
      </c>
      <c r="Q2561" s="2">
        <v>6.1</v>
      </c>
      <c r="R2561" s="2" t="s">
        <v>5047</v>
      </c>
      <c r="S2561" s="2"/>
      <c r="AC2561" s="2"/>
      <c r="AD2561" t="str">
        <f>IFERROR(__xludf.DUMMYFUNCTION("""COMPUTED_VALUE"""),"Three Burials ")</f>
        <v>Three Burials </v>
      </c>
      <c r="AE2561">
        <f t="shared" si="69"/>
        <v>5023168</v>
      </c>
    </row>
    <row r="2562" customHeight="1" spans="1:31">
      <c r="A2562" s="2" t="s">
        <v>2213</v>
      </c>
      <c r="B2562" s="2">
        <v>93</v>
      </c>
      <c r="C2562" s="2">
        <v>25675765</v>
      </c>
      <c r="D2562" s="2" t="s">
        <v>40</v>
      </c>
      <c r="E2562" s="2" t="s">
        <v>40</v>
      </c>
      <c r="F2562" t="s">
        <v>72</v>
      </c>
      <c r="N2562" s="2" t="s">
        <v>18</v>
      </c>
      <c r="O2562" s="2" t="s">
        <v>19</v>
      </c>
      <c r="P2562" s="2">
        <v>13000000</v>
      </c>
      <c r="Q2562" s="2">
        <v>5.9</v>
      </c>
      <c r="R2562" s="2" t="s">
        <v>5048</v>
      </c>
      <c r="S2562" s="2"/>
      <c r="AC2562" s="2"/>
      <c r="AD2562" t="str">
        <f>IFERROR(__xludf.DUMMYFUNCTION("""COMPUTED_VALUE"""),"Jakob the Liar ")</f>
        <v>Jakob the Liar </v>
      </c>
      <c r="AE2562">
        <f t="shared" si="69"/>
        <v>4956281</v>
      </c>
    </row>
    <row r="2563" customHeight="1" spans="1:31">
      <c r="A2563" s="2" t="s">
        <v>2780</v>
      </c>
      <c r="B2563" s="2">
        <v>120</v>
      </c>
      <c r="C2563" s="2">
        <v>4857376</v>
      </c>
      <c r="D2563" s="2" t="s">
        <v>521</v>
      </c>
      <c r="E2563" s="2" t="s">
        <v>40</v>
      </c>
      <c r="F2563" t="s">
        <v>40</v>
      </c>
      <c r="N2563" s="2" t="s">
        <v>1125</v>
      </c>
      <c r="O2563" s="2" t="s">
        <v>707</v>
      </c>
      <c r="P2563" s="2">
        <v>13000000</v>
      </c>
      <c r="Q2563" s="2">
        <v>7.3</v>
      </c>
      <c r="R2563" s="2" t="s">
        <v>5049</v>
      </c>
      <c r="S2563" s="2"/>
      <c r="AC2563" s="2"/>
      <c r="AD2563" t="str">
        <f>IFERROR(__xludf.DUMMYFUNCTION("""COMPUTED_VALUE"""),"Kiss Kiss Bang Bang ")</f>
        <v>Kiss Kiss Bang Bang </v>
      </c>
      <c r="AE2563">
        <f t="shared" si="69"/>
        <v>4235734</v>
      </c>
    </row>
    <row r="2564" customHeight="1" spans="1:31">
      <c r="A2564" s="2" t="s">
        <v>1129</v>
      </c>
      <c r="B2564" s="2">
        <v>112</v>
      </c>
      <c r="C2564" s="2">
        <v>3169424</v>
      </c>
      <c r="D2564" s="2" t="s">
        <v>1527</v>
      </c>
      <c r="E2564" s="2" t="s">
        <v>30</v>
      </c>
      <c r="F2564" t="s">
        <v>15</v>
      </c>
      <c r="N2564" s="2" t="s">
        <v>18</v>
      </c>
      <c r="O2564" s="2" t="s">
        <v>19</v>
      </c>
      <c r="P2564" s="2">
        <v>13000000</v>
      </c>
      <c r="Q2564" s="2">
        <v>6.8</v>
      </c>
      <c r="R2564" s="2" t="s">
        <v>5050</v>
      </c>
      <c r="S2564" s="2"/>
      <c r="AC2564" s="2"/>
      <c r="AD2564" t="str">
        <f>IFERROR(__xludf.DUMMYFUNCTION("""COMPUTED_VALUE"""),"Idle Hands ")</f>
        <v>Idle Hands </v>
      </c>
      <c r="AE2564">
        <f t="shared" si="69"/>
        <v>4002863</v>
      </c>
    </row>
    <row r="2565" customHeight="1" spans="1:31">
      <c r="A2565" s="2" t="s">
        <v>619</v>
      </c>
      <c r="B2565" s="2">
        <v>107</v>
      </c>
      <c r="C2565" s="2">
        <v>18004225</v>
      </c>
      <c r="D2565" s="2" t="s">
        <v>521</v>
      </c>
      <c r="E2565" s="2" t="s">
        <v>40</v>
      </c>
      <c r="F2565" t="s">
        <v>30</v>
      </c>
      <c r="N2565" s="2" t="s">
        <v>18</v>
      </c>
      <c r="O2565" s="2" t="s">
        <v>19</v>
      </c>
      <c r="P2565" s="2">
        <v>13000000</v>
      </c>
      <c r="Q2565" s="2">
        <v>5.7</v>
      </c>
      <c r="R2565" s="2" t="s">
        <v>5051</v>
      </c>
      <c r="S2565" s="2"/>
      <c r="AC2565" s="2"/>
      <c r="AD2565" t="str">
        <f>IFERROR(__xludf.DUMMYFUNCTION("""COMPUTED_VALUE"""),"Mulholland Drive ")</f>
        <v>Mulholland Drive </v>
      </c>
      <c r="AE2565">
        <f t="shared" si="69"/>
        <v>7219431</v>
      </c>
    </row>
    <row r="2566" customHeight="1" spans="1:31">
      <c r="A2566" s="2" t="s">
        <v>2783</v>
      </c>
      <c r="B2566" s="2">
        <v>112</v>
      </c>
      <c r="C2566" s="2">
        <v>3058380</v>
      </c>
      <c r="D2566" s="2" t="s">
        <v>103</v>
      </c>
      <c r="E2566" s="2" t="s">
        <v>30</v>
      </c>
      <c r="F2566" t="s">
        <v>40</v>
      </c>
      <c r="N2566" s="2" t="s">
        <v>1125</v>
      </c>
      <c r="O2566" s="2" t="s">
        <v>707</v>
      </c>
      <c r="P2566" s="2">
        <v>100000000</v>
      </c>
      <c r="Q2566" s="2">
        <v>7.3</v>
      </c>
      <c r="R2566" s="2" t="s">
        <v>5052</v>
      </c>
      <c r="S2566" s="2"/>
      <c r="AC2566" s="2"/>
      <c r="AD2566" t="str">
        <f>IFERROR(__xludf.DUMMYFUNCTION("""COMPUTED_VALUE"""),"You Will Meet a Tall Dark Stranger ")</f>
        <v>You Will Meet a Tall Dark Stranger </v>
      </c>
      <c r="AE2566">
        <f t="shared" si="69"/>
        <v>3247718</v>
      </c>
    </row>
    <row r="2567" customHeight="1" spans="1:31">
      <c r="A2567" s="2" t="s">
        <v>2099</v>
      </c>
      <c r="B2567" s="2">
        <v>96</v>
      </c>
      <c r="C2567" s="2">
        <v>3074838</v>
      </c>
      <c r="D2567" s="2" t="s">
        <v>1300</v>
      </c>
      <c r="E2567" s="2" t="s">
        <v>30</v>
      </c>
      <c r="F2567" t="s">
        <v>30</v>
      </c>
      <c r="N2567" s="2" t="s">
        <v>18</v>
      </c>
      <c r="O2567" s="2" t="s">
        <v>19</v>
      </c>
      <c r="P2567" s="2">
        <v>11000000</v>
      </c>
      <c r="Q2567" s="2">
        <v>6.3</v>
      </c>
      <c r="R2567" s="2" t="s">
        <v>5053</v>
      </c>
      <c r="S2567" s="2"/>
      <c r="AC2567" s="2"/>
      <c r="AD2567" t="str">
        <f>IFERROR(__xludf.DUMMYFUNCTION("""COMPUTED_VALUE"""),"Never Let Me Go ")</f>
        <v>Never Let Me Go </v>
      </c>
      <c r="AE2567">
        <f t="shared" si="69"/>
        <v>2411942</v>
      </c>
    </row>
    <row r="2568" customHeight="1" spans="1:31">
      <c r="A2568" s="2" t="s">
        <v>2785</v>
      </c>
      <c r="B2568" s="2">
        <v>91</v>
      </c>
      <c r="C2568" s="2">
        <v>2104000</v>
      </c>
      <c r="D2568" s="2" t="s">
        <v>3855</v>
      </c>
      <c r="E2568" s="2" t="s">
        <v>40</v>
      </c>
      <c r="F2568" t="s">
        <v>72</v>
      </c>
      <c r="N2568" s="2" t="s">
        <v>18</v>
      </c>
      <c r="O2568" s="2" t="s">
        <v>19</v>
      </c>
      <c r="P2568" s="2">
        <v>13000000</v>
      </c>
      <c r="Q2568" s="2">
        <v>5.9</v>
      </c>
      <c r="R2568" s="2" t="s">
        <v>5054</v>
      </c>
      <c r="S2568" s="2"/>
      <c r="AC2568" s="2"/>
      <c r="AD2568" t="str">
        <f>IFERROR(__xludf.DUMMYFUNCTION("""COMPUTED_VALUE"""),"Transsiberian ")</f>
        <v>Transsiberian </v>
      </c>
      <c r="AE2568">
        <f t="shared" si="69"/>
        <v>2203530</v>
      </c>
    </row>
    <row r="2569" customHeight="1" spans="1:31">
      <c r="A2569" s="2" t="s">
        <v>2122</v>
      </c>
      <c r="B2569" s="2">
        <v>125</v>
      </c>
      <c r="C2569" s="2">
        <v>1172769</v>
      </c>
      <c r="D2569" s="2" t="s">
        <v>669</v>
      </c>
      <c r="E2569" s="2" t="s">
        <v>59</v>
      </c>
      <c r="F2569" t="s">
        <v>24</v>
      </c>
      <c r="N2569" s="2" t="s">
        <v>18</v>
      </c>
      <c r="O2569" s="2" t="s">
        <v>293</v>
      </c>
      <c r="P2569" s="2">
        <v>13000000</v>
      </c>
      <c r="Q2569" s="2">
        <v>7.1</v>
      </c>
      <c r="R2569" s="2" t="s">
        <v>5055</v>
      </c>
      <c r="S2569" s="2"/>
      <c r="AC2569" s="2"/>
      <c r="AD2569" t="str">
        <f>IFERROR(__xludf.DUMMYFUNCTION("""COMPUTED_VALUE"""),"The Clan of the Cave Bear ")</f>
        <v>The Clan of the Cave Bear </v>
      </c>
      <c r="AE2569">
        <f t="shared" si="69"/>
        <v>1953634</v>
      </c>
    </row>
    <row r="2570" customHeight="1" spans="1:31">
      <c r="A2570" s="2" t="s">
        <v>2787</v>
      </c>
      <c r="B2570" s="2">
        <v>102</v>
      </c>
      <c r="C2570" s="2">
        <v>17738570</v>
      </c>
      <c r="D2570" s="2" t="s">
        <v>103</v>
      </c>
      <c r="E2570" s="2" t="s">
        <v>30</v>
      </c>
      <c r="F2570" t="s">
        <v>40</v>
      </c>
      <c r="N2570" s="2" t="s">
        <v>18</v>
      </c>
      <c r="O2570" s="2" t="s">
        <v>19</v>
      </c>
      <c r="P2570" s="2">
        <v>13000000</v>
      </c>
      <c r="Q2570" s="2">
        <v>8</v>
      </c>
      <c r="R2570" s="2" t="s">
        <v>5056</v>
      </c>
      <c r="S2570" s="2"/>
      <c r="AC2570" s="2"/>
      <c r="AD2570" t="str">
        <f>IFERROR(__xludf.DUMMYFUNCTION("""COMPUTED_VALUE"""),"Crazy in Alabama ")</f>
        <v>Crazy in Alabama </v>
      </c>
      <c r="AE2570">
        <f t="shared" si="69"/>
        <v>1954091</v>
      </c>
    </row>
    <row r="2571" customHeight="1" spans="1:31">
      <c r="A2571" s="2" t="s">
        <v>2789</v>
      </c>
      <c r="B2571" s="2">
        <v>87</v>
      </c>
      <c r="C2571" s="2">
        <v>1200000</v>
      </c>
      <c r="D2571" s="2" t="s">
        <v>12</v>
      </c>
      <c r="E2571" s="2" t="s">
        <v>12</v>
      </c>
      <c r="F2571" t="s">
        <v>24</v>
      </c>
      <c r="N2571" s="2" t="s">
        <v>18</v>
      </c>
      <c r="O2571" s="2" t="s">
        <v>19</v>
      </c>
      <c r="P2571" s="2">
        <v>3000000</v>
      </c>
      <c r="Q2571" s="2">
        <v>5.1</v>
      </c>
      <c r="R2571" s="2" t="s">
        <v>5057</v>
      </c>
      <c r="S2571" s="2"/>
      <c r="AC2571" s="2"/>
      <c r="AD2571" t="str">
        <f>IFERROR(__xludf.DUMMYFUNCTION("""COMPUTED_VALUE"""),"Funny Games ")</f>
        <v>Funny Games </v>
      </c>
      <c r="AE2571">
        <f t="shared" si="69"/>
        <v>1294529</v>
      </c>
    </row>
    <row r="2572" customHeight="1" spans="1:31">
      <c r="A2572" s="2" t="s">
        <v>2125</v>
      </c>
      <c r="B2572" s="2">
        <v>118</v>
      </c>
      <c r="C2572" s="2">
        <v>1150403</v>
      </c>
      <c r="D2572" s="2" t="s">
        <v>625</v>
      </c>
      <c r="E2572" s="2" t="s">
        <v>59</v>
      </c>
      <c r="F2572" t="s">
        <v>17</v>
      </c>
      <c r="N2572" s="2" t="s">
        <v>18</v>
      </c>
      <c r="O2572" s="2" t="s">
        <v>19</v>
      </c>
      <c r="P2572" s="2">
        <v>13000000</v>
      </c>
      <c r="Q2572" s="2">
        <v>7.1</v>
      </c>
      <c r="R2572" s="2" t="s">
        <v>5058</v>
      </c>
      <c r="S2572" s="2"/>
      <c r="AC2572" s="2"/>
      <c r="AD2572" t="str">
        <f>IFERROR(__xludf.DUMMYFUNCTION("""COMPUTED_VALUE"""),"Metropolis ")</f>
        <v>Metropolis </v>
      </c>
      <c r="AE2572">
        <f t="shared" si="69"/>
        <v>26290</v>
      </c>
    </row>
    <row r="2573" customHeight="1" spans="1:31">
      <c r="A2573" s="2" t="s">
        <v>2643</v>
      </c>
      <c r="B2573" s="2">
        <v>115</v>
      </c>
      <c r="C2573" s="2">
        <v>403932</v>
      </c>
      <c r="D2573" s="2" t="s">
        <v>1639</v>
      </c>
      <c r="E2573" s="2" t="s">
        <v>30</v>
      </c>
      <c r="F2573" t="s">
        <v>17</v>
      </c>
      <c r="N2573" s="2" t="s">
        <v>18</v>
      </c>
      <c r="O2573" s="2" t="s">
        <v>31</v>
      </c>
      <c r="P2573" s="2">
        <v>20000000</v>
      </c>
      <c r="Q2573" s="2">
        <v>6.5</v>
      </c>
      <c r="R2573" s="2" t="s">
        <v>5059</v>
      </c>
      <c r="S2573" s="2"/>
      <c r="AC2573" s="2"/>
      <c r="AD2573" t="str">
        <f>IFERROR(__xludf.DUMMYFUNCTION("""COMPUTED_VALUE"""),"District B13 ")</f>
        <v>District B13 </v>
      </c>
      <c r="AE2573">
        <f t="shared" si="69"/>
        <v>1197702</v>
      </c>
    </row>
    <row r="2574" customHeight="1" spans="1:31">
      <c r="A2574" s="2" t="s">
        <v>1164</v>
      </c>
      <c r="B2574" s="2">
        <v>91</v>
      </c>
      <c r="C2574" s="2">
        <v>1712111</v>
      </c>
      <c r="D2574" s="2" t="s">
        <v>2781</v>
      </c>
      <c r="E2574" s="2" t="s">
        <v>72</v>
      </c>
      <c r="F2574" t="s">
        <v>30</v>
      </c>
      <c r="N2574" s="2" t="s">
        <v>18</v>
      </c>
      <c r="O2574" s="2" t="s">
        <v>19</v>
      </c>
      <c r="P2574" s="2">
        <v>8495000</v>
      </c>
      <c r="Q2574" s="2">
        <v>4.5</v>
      </c>
      <c r="R2574" s="2" t="s">
        <v>5060</v>
      </c>
      <c r="S2574" s="2"/>
      <c r="AC2574" s="2"/>
      <c r="AD2574" t="str">
        <f>IFERROR(__xludf.DUMMYFUNCTION("""COMPUTED_VALUE"""),"Things to Do in Denver When You're Dead ")</f>
        <v>Things to Do in Denver When You're Dead </v>
      </c>
      <c r="AE2574">
        <f t="shared" si="69"/>
        <v>529651</v>
      </c>
    </row>
    <row r="2575" customHeight="1" spans="1:31">
      <c r="A2575" s="2" t="s">
        <v>2792</v>
      </c>
      <c r="B2575" s="2">
        <v>88</v>
      </c>
      <c r="C2575" s="2">
        <v>1024175</v>
      </c>
      <c r="D2575" s="2" t="s">
        <v>3173</v>
      </c>
      <c r="E2575" s="2" t="s">
        <v>12</v>
      </c>
      <c r="F2575" t="s">
        <v>28</v>
      </c>
      <c r="N2575" s="2" t="s">
        <v>18</v>
      </c>
      <c r="O2575" s="2" t="s">
        <v>31</v>
      </c>
      <c r="P2575" s="2">
        <v>13000000</v>
      </c>
      <c r="Q2575" s="2">
        <v>6.6</v>
      </c>
      <c r="R2575" s="2" t="s">
        <v>5061</v>
      </c>
      <c r="S2575" s="2"/>
      <c r="AC2575" s="2"/>
      <c r="AD2575" t="str">
        <f>IFERROR(__xludf.DUMMYFUNCTION("""COMPUTED_VALUE"""),"The Assassin ")</f>
        <v>The Assassin </v>
      </c>
      <c r="AE2575">
        <f t="shared" si="69"/>
        <v>613451</v>
      </c>
    </row>
    <row r="2576" customHeight="1" spans="1:31">
      <c r="A2576" s="2" t="s">
        <v>997</v>
      </c>
      <c r="B2576" s="2">
        <v>127</v>
      </c>
      <c r="C2576" s="2">
        <v>301305</v>
      </c>
      <c r="D2576" s="2" t="s">
        <v>3062</v>
      </c>
      <c r="E2576" s="2" t="s">
        <v>30</v>
      </c>
      <c r="F2576" t="s">
        <v>83</v>
      </c>
      <c r="N2576" s="2" t="s">
        <v>5062</v>
      </c>
      <c r="O2576" s="2" t="s">
        <v>19</v>
      </c>
      <c r="P2576" s="2">
        <v>13000000</v>
      </c>
      <c r="Q2576" s="2">
        <v>4.3</v>
      </c>
      <c r="R2576" s="2" t="s">
        <v>5063</v>
      </c>
      <c r="S2576" s="2"/>
      <c r="AC2576" s="2"/>
      <c r="AD2576" t="str">
        <f>IFERROR(__xludf.DUMMYFUNCTION("""COMPUTED_VALUE"""),"Buffalo Soldiers ")</f>
        <v>Buffalo Soldiers </v>
      </c>
      <c r="AE2576">
        <f t="shared" si="69"/>
        <v>353645</v>
      </c>
    </row>
    <row r="2577" customHeight="1" spans="1:31">
      <c r="A2577" s="2" t="s">
        <v>2669</v>
      </c>
      <c r="B2577" s="2">
        <v>94</v>
      </c>
      <c r="C2577" s="2">
        <v>51872378</v>
      </c>
      <c r="D2577" s="2" t="s">
        <v>557</v>
      </c>
      <c r="E2577" s="2" t="s">
        <v>56</v>
      </c>
      <c r="F2577" t="s">
        <v>28</v>
      </c>
      <c r="N2577" s="2" t="s">
        <v>18</v>
      </c>
      <c r="O2577" s="2" t="s">
        <v>19</v>
      </c>
      <c r="P2577" s="2">
        <v>13000000</v>
      </c>
      <c r="Q2577" s="2">
        <v>6.7</v>
      </c>
      <c r="R2577" s="2" t="s">
        <v>5064</v>
      </c>
      <c r="S2577" s="2"/>
      <c r="AC2577" s="2"/>
      <c r="AD2577" t="str">
        <f>IFERROR(__xludf.DUMMYFUNCTION("""COMPUTED_VALUE"""),"Ong-bak 2 ")</f>
        <v>Ong-bak 2 </v>
      </c>
      <c r="AE2577">
        <f t="shared" si="69"/>
        <v>101945</v>
      </c>
    </row>
    <row r="2578" customHeight="1" spans="1:31">
      <c r="A2578" s="2" t="s">
        <v>2794</v>
      </c>
      <c r="B2578" s="2">
        <v>115</v>
      </c>
      <c r="C2578" s="2">
        <v>31662</v>
      </c>
      <c r="D2578" s="2" t="s">
        <v>386</v>
      </c>
      <c r="E2578" s="2" t="s">
        <v>12</v>
      </c>
      <c r="F2578" t="s">
        <v>15</v>
      </c>
      <c r="N2578" s="2" t="s">
        <v>18</v>
      </c>
      <c r="O2578" s="2" t="s">
        <v>2880</v>
      </c>
      <c r="P2578" s="2">
        <v>12620000</v>
      </c>
      <c r="Q2578" s="2">
        <v>6.8</v>
      </c>
      <c r="R2578" s="2" t="s">
        <v>5065</v>
      </c>
      <c r="S2578" s="2"/>
      <c r="AC2578" s="2"/>
      <c r="AD2578" t="str">
        <f>IFERROR(__xludf.DUMMYFUNCTION("""COMPUTED_VALUE"""),"The Midnight Meat Train ")</f>
        <v>The Midnight Meat Train </v>
      </c>
      <c r="AE2578">
        <f t="shared" si="69"/>
        <v>73445</v>
      </c>
    </row>
    <row r="2579" customHeight="1" spans="1:31">
      <c r="A2579" s="2" t="s">
        <v>2796</v>
      </c>
      <c r="B2579" s="2">
        <v>90</v>
      </c>
      <c r="C2579" s="2">
        <v>28399192</v>
      </c>
      <c r="D2579" s="2" t="s">
        <v>5066</v>
      </c>
      <c r="E2579" s="2" t="s">
        <v>12</v>
      </c>
      <c r="F2579" t="s">
        <v>30</v>
      </c>
      <c r="N2579" s="2" t="s">
        <v>18</v>
      </c>
      <c r="O2579" s="2" t="s">
        <v>159</v>
      </c>
      <c r="P2579" s="2">
        <v>13000000</v>
      </c>
      <c r="Q2579" s="2">
        <v>5.4</v>
      </c>
      <c r="R2579" s="2" t="s">
        <v>5067</v>
      </c>
      <c r="S2579" s="2"/>
      <c r="AC2579" s="2"/>
      <c r="AD2579" t="str">
        <f>IFERROR(__xludf.DUMMYFUNCTION("""COMPUTED_VALUE"""),"The Son of No One ")</f>
        <v>The Son of No One </v>
      </c>
      <c r="AE2579">
        <f t="shared" si="69"/>
        <v>28780</v>
      </c>
    </row>
    <row r="2580" customHeight="1" spans="1:31">
      <c r="A2580" s="2" t="s">
        <v>1008</v>
      </c>
      <c r="B2580" s="2">
        <v>102</v>
      </c>
      <c r="C2580" s="2">
        <v>2035566</v>
      </c>
      <c r="D2580" s="2" t="s">
        <v>5068</v>
      </c>
      <c r="E2580" s="2" t="s">
        <v>59</v>
      </c>
      <c r="F2580" t="s">
        <v>24</v>
      </c>
      <c r="N2580" s="2" t="s">
        <v>18</v>
      </c>
      <c r="O2580" s="2" t="s">
        <v>707</v>
      </c>
      <c r="P2580" s="2">
        <v>13000000</v>
      </c>
      <c r="Q2580" s="2">
        <v>6.6</v>
      </c>
      <c r="R2580" s="2" t="s">
        <v>5069</v>
      </c>
      <c r="S2580" s="2"/>
      <c r="AC2580" s="2"/>
      <c r="AD2580" t="str">
        <f>IFERROR(__xludf.DUMMYFUNCTION("""COMPUTED_VALUE"""),"All the Queen's Men ")</f>
        <v>All the Queen's Men </v>
      </c>
      <c r="AE2580">
        <f t="shared" si="69"/>
        <v>22618</v>
      </c>
    </row>
    <row r="2581" customHeight="1" spans="1:31">
      <c r="A2581" s="2" t="s">
        <v>2577</v>
      </c>
      <c r="B2581" s="2">
        <v>117</v>
      </c>
      <c r="C2581" s="2">
        <v>21078145</v>
      </c>
      <c r="D2581" s="2" t="s">
        <v>562</v>
      </c>
      <c r="E2581" s="2" t="s">
        <v>59</v>
      </c>
      <c r="F2581" t="s">
        <v>30</v>
      </c>
      <c r="N2581" s="2" t="s">
        <v>18</v>
      </c>
      <c r="O2581" s="2" t="s">
        <v>19</v>
      </c>
      <c r="P2581" s="2">
        <v>12500000</v>
      </c>
      <c r="Q2581" s="2">
        <v>7.3</v>
      </c>
      <c r="R2581" s="2" t="s">
        <v>5070</v>
      </c>
      <c r="S2581" s="2"/>
      <c r="AC2581" s="2"/>
      <c r="AD2581" t="str">
        <f>IFERROR(__xludf.DUMMYFUNCTION("""COMPUTED_VALUE"""),"The Good Night ")</f>
        <v>The Good Night </v>
      </c>
      <c r="AE2581">
        <f t="shared" si="69"/>
        <v>20287</v>
      </c>
    </row>
    <row r="2582" customHeight="1" spans="1:31">
      <c r="A2582" s="2" t="s">
        <v>1995</v>
      </c>
      <c r="B2582" s="2">
        <v>109</v>
      </c>
      <c r="C2582" s="2">
        <v>14060950</v>
      </c>
      <c r="D2582" s="2" t="s">
        <v>30</v>
      </c>
      <c r="E2582" s="2" t="s">
        <v>30</v>
      </c>
      <c r="F2582" t="s">
        <v>15</v>
      </c>
      <c r="N2582" s="2" t="s">
        <v>18</v>
      </c>
      <c r="O2582" s="2" t="s">
        <v>19</v>
      </c>
      <c r="P2582" s="2">
        <v>12500000</v>
      </c>
      <c r="Q2582" s="2">
        <v>6.9</v>
      </c>
      <c r="R2582" s="2" t="s">
        <v>5071</v>
      </c>
      <c r="S2582" s="2"/>
      <c r="AC2582" s="2"/>
      <c r="AD2582" t="str">
        <f>IFERROR(__xludf.DUMMYFUNCTION("""COMPUTED_VALUE"""),"Groundhog Day ")</f>
        <v>Groundhog Day </v>
      </c>
      <c r="AE2582">
        <f t="shared" si="69"/>
        <v>70906872</v>
      </c>
    </row>
    <row r="2583" customHeight="1" spans="1:31">
      <c r="A2583" s="2" t="s">
        <v>617</v>
      </c>
      <c r="B2583" s="2">
        <v>121</v>
      </c>
      <c r="C2583" s="2">
        <v>12281500</v>
      </c>
      <c r="D2583" s="2" t="s">
        <v>2398</v>
      </c>
      <c r="E2583" s="2" t="s">
        <v>12</v>
      </c>
      <c r="F2583" t="s">
        <v>30</v>
      </c>
      <c r="N2583" s="2" t="s">
        <v>18</v>
      </c>
      <c r="O2583" s="2" t="s">
        <v>19</v>
      </c>
      <c r="P2583" s="2">
        <v>13000000</v>
      </c>
      <c r="Q2583" s="2">
        <v>8</v>
      </c>
      <c r="R2583" s="2" t="s">
        <v>5072</v>
      </c>
      <c r="S2583" s="2"/>
      <c r="AC2583" s="2"/>
      <c r="AD2583" t="str">
        <f>IFERROR(__xludf.DUMMYFUNCTION("""COMPUTED_VALUE"""),"Magic Mike XXL ")</f>
        <v>Magic Mike XXL </v>
      </c>
      <c r="AE2583">
        <f t="shared" si="69"/>
        <v>66009858</v>
      </c>
    </row>
    <row r="2584" customHeight="1" spans="1:31">
      <c r="A2584" s="2" t="s">
        <v>2630</v>
      </c>
      <c r="B2584" s="2">
        <v>100</v>
      </c>
      <c r="C2584" s="2">
        <v>10725228</v>
      </c>
      <c r="D2584" s="2" t="s">
        <v>4570</v>
      </c>
      <c r="E2584" s="2" t="s">
        <v>56</v>
      </c>
      <c r="F2584" t="s">
        <v>23</v>
      </c>
      <c r="N2584" s="2" t="s">
        <v>18</v>
      </c>
      <c r="O2584" s="2" t="s">
        <v>19</v>
      </c>
      <c r="P2584" s="2">
        <v>12500000</v>
      </c>
      <c r="Q2584" s="2">
        <v>7.8</v>
      </c>
      <c r="R2584" s="2" t="s">
        <v>5073</v>
      </c>
      <c r="S2584" s="2"/>
      <c r="AC2584" s="2"/>
      <c r="AD2584" t="str">
        <f>IFERROR(__xludf.DUMMYFUNCTION("""COMPUTED_VALUE"""),"Romeo + Juliet ")</f>
        <v>Romeo + Juliet </v>
      </c>
      <c r="AE2584">
        <f t="shared" si="69"/>
        <v>46338608</v>
      </c>
    </row>
    <row r="2585" customHeight="1" spans="1:31">
      <c r="A2585" s="2" t="s">
        <v>2643</v>
      </c>
      <c r="B2585" s="2">
        <v>109</v>
      </c>
      <c r="C2585" s="2">
        <v>214966</v>
      </c>
      <c r="D2585" s="2" t="s">
        <v>805</v>
      </c>
      <c r="E2585" s="2" t="s">
        <v>56</v>
      </c>
      <c r="F2585" t="s">
        <v>23</v>
      </c>
      <c r="N2585" s="2" t="s">
        <v>18</v>
      </c>
      <c r="O2585" s="2" t="s">
        <v>19</v>
      </c>
      <c r="P2585" s="2">
        <v>13000000</v>
      </c>
      <c r="Q2585" s="2">
        <v>6.1</v>
      </c>
      <c r="R2585" s="2" t="s">
        <v>5074</v>
      </c>
      <c r="S2585" s="2"/>
      <c r="AC2585" s="2"/>
      <c r="AD2585" t="str">
        <f>IFERROR(__xludf.DUMMYFUNCTION("""COMPUTED_VALUE"""),"Sarah's Key ")</f>
        <v>Sarah's Key </v>
      </c>
      <c r="AE2585">
        <f t="shared" si="69"/>
        <v>7691589</v>
      </c>
    </row>
    <row r="2586" customHeight="1" spans="1:31">
      <c r="A2586" s="2" t="s">
        <v>2798</v>
      </c>
      <c r="B2586" s="2">
        <v>101</v>
      </c>
      <c r="C2586" s="2">
        <v>11956207</v>
      </c>
      <c r="D2586" s="2" t="s">
        <v>2613</v>
      </c>
      <c r="E2586" s="2" t="s">
        <v>72</v>
      </c>
      <c r="F2586" t="s">
        <v>83</v>
      </c>
      <c r="N2586" s="2" t="s">
        <v>18</v>
      </c>
      <c r="O2586" s="2" t="s">
        <v>19</v>
      </c>
      <c r="P2586" s="2">
        <v>16000000</v>
      </c>
      <c r="Q2586" s="2">
        <v>5.1</v>
      </c>
      <c r="R2586" s="2" t="s">
        <v>5075</v>
      </c>
      <c r="S2586" s="2"/>
      <c r="AC2586" s="2"/>
      <c r="AD2586" t="str">
        <f>IFERROR(__xludf.DUMMYFUNCTION("""COMPUTED_VALUE"""),"Unforgiven ")</f>
        <v>Unforgiven </v>
      </c>
      <c r="AE2586">
        <f t="shared" si="69"/>
        <v>101157316</v>
      </c>
    </row>
    <row r="2587" customHeight="1" spans="1:31">
      <c r="A2587" s="2" t="s">
        <v>1891</v>
      </c>
      <c r="B2587" s="2">
        <v>106</v>
      </c>
      <c r="C2587" s="2">
        <v>5949693</v>
      </c>
      <c r="D2587" s="2" t="s">
        <v>521</v>
      </c>
      <c r="E2587" s="2" t="s">
        <v>40</v>
      </c>
      <c r="F2587" t="s">
        <v>40</v>
      </c>
      <c r="N2587" s="2" t="s">
        <v>18</v>
      </c>
      <c r="O2587" s="2" t="s">
        <v>19</v>
      </c>
      <c r="P2587" s="2">
        <v>12000000</v>
      </c>
      <c r="Q2587" s="2">
        <v>7.4</v>
      </c>
      <c r="R2587" s="2" t="s">
        <v>5076</v>
      </c>
      <c r="S2587" s="2"/>
      <c r="AC2587" s="2"/>
      <c r="AD2587" t="str">
        <f>IFERROR(__xludf.DUMMYFUNCTION("""COMPUTED_VALUE"""),"Manderlay ")</f>
        <v>Manderlay </v>
      </c>
      <c r="AE2587">
        <f t="shared" si="69"/>
        <v>74066</v>
      </c>
    </row>
    <row r="2588" customHeight="1" spans="1:31">
      <c r="A2588" s="2" t="s">
        <v>2800</v>
      </c>
      <c r="B2588" s="2">
        <v>94</v>
      </c>
      <c r="C2588" s="2">
        <v>9030581</v>
      </c>
      <c r="D2588" s="2" t="s">
        <v>1354</v>
      </c>
      <c r="E2588" s="2" t="s">
        <v>30</v>
      </c>
      <c r="F2588" t="s">
        <v>72</v>
      </c>
      <c r="N2588" s="2" t="s">
        <v>18</v>
      </c>
      <c r="O2588" s="2" t="s">
        <v>31</v>
      </c>
      <c r="P2588" s="2">
        <v>12500000</v>
      </c>
      <c r="Q2588" s="2">
        <v>7.8</v>
      </c>
      <c r="R2588" s="2" t="s">
        <v>5077</v>
      </c>
      <c r="S2588" s="2"/>
      <c r="AC2588" s="2"/>
      <c r="AD2588" t="str">
        <f>IFERROR(__xludf.DUMMYFUNCTION("""COMPUTED_VALUE"""),"Slumdog Millionaire ")</f>
        <v>Slumdog Millionaire </v>
      </c>
      <c r="AE2588">
        <f t="shared" si="69"/>
        <v>141319075</v>
      </c>
    </row>
    <row r="2589" customHeight="1" spans="1:31">
      <c r="A2589" s="2" t="s">
        <v>2697</v>
      </c>
      <c r="B2589" s="2">
        <v>140</v>
      </c>
      <c r="C2589" s="2">
        <v>4157491</v>
      </c>
      <c r="D2589" s="2" t="s">
        <v>5078</v>
      </c>
      <c r="E2589" s="2" t="s">
        <v>56</v>
      </c>
      <c r="F2589" t="s">
        <v>24</v>
      </c>
      <c r="N2589" s="2" t="s">
        <v>18</v>
      </c>
      <c r="O2589" s="2" t="s">
        <v>3235</v>
      </c>
      <c r="P2589" s="2">
        <v>12800000</v>
      </c>
      <c r="Q2589" s="2">
        <v>8</v>
      </c>
      <c r="R2589" s="2" t="s">
        <v>5079</v>
      </c>
      <c r="S2589" s="2"/>
      <c r="AC2589" s="2"/>
      <c r="AD2589" t="str">
        <f>IFERROR(__xludf.DUMMYFUNCTION("""COMPUTED_VALUE"""),"Fatal Attraction ")</f>
        <v>Fatal Attraction </v>
      </c>
      <c r="AE2589">
        <f t="shared" si="69"/>
        <v>156645574</v>
      </c>
    </row>
    <row r="2590" customHeight="1" spans="1:31">
      <c r="A2590" s="2" t="s">
        <v>2553</v>
      </c>
      <c r="B2590" s="2">
        <v>132</v>
      </c>
      <c r="C2590" s="2">
        <v>1508689</v>
      </c>
      <c r="D2590" s="2" t="s">
        <v>103</v>
      </c>
      <c r="E2590" s="2" t="s">
        <v>30</v>
      </c>
      <c r="F2590" t="s">
        <v>56</v>
      </c>
      <c r="N2590" s="2" t="s">
        <v>18</v>
      </c>
      <c r="O2590" s="2" t="s">
        <v>19</v>
      </c>
      <c r="P2590" s="2">
        <v>16000000</v>
      </c>
      <c r="Q2590" s="2">
        <v>6.7</v>
      </c>
      <c r="R2590" s="2" t="s">
        <v>5080</v>
      </c>
      <c r="S2590" s="2"/>
      <c r="AC2590" s="2"/>
      <c r="AD2590" t="str">
        <f>IFERROR(__xludf.DUMMYFUNCTION("""COMPUTED_VALUE"""),"Pretty Woman ")</f>
        <v>Pretty Woman </v>
      </c>
      <c r="AE2590">
        <f t="shared" si="69"/>
        <v>178406143</v>
      </c>
    </row>
    <row r="2591" customHeight="1" spans="1:31">
      <c r="A2591" s="2" t="s">
        <v>2802</v>
      </c>
      <c r="B2591" s="2">
        <v>99</v>
      </c>
      <c r="C2591" s="2">
        <v>1227324</v>
      </c>
      <c r="D2591" s="2" t="s">
        <v>718</v>
      </c>
      <c r="E2591" s="2" t="s">
        <v>56</v>
      </c>
      <c r="F2591" t="s">
        <v>56</v>
      </c>
      <c r="N2591" s="2" t="s">
        <v>18</v>
      </c>
      <c r="O2591" s="2" t="s">
        <v>19</v>
      </c>
      <c r="P2591" s="2">
        <v>12500000</v>
      </c>
      <c r="Q2591" s="2">
        <v>6.6</v>
      </c>
      <c r="R2591" s="2" t="s">
        <v>5081</v>
      </c>
      <c r="S2591" s="2"/>
      <c r="AC2591" s="2"/>
      <c r="AD2591" t="str">
        <f>IFERROR(__xludf.DUMMYFUNCTION("""COMPUTED_VALUE"""),"Crocodile Dundee II ")</f>
        <v>Crocodile Dundee II </v>
      </c>
      <c r="AE2591">
        <f t="shared" si="69"/>
        <v>109306102</v>
      </c>
    </row>
    <row r="2592" customHeight="1" spans="1:31">
      <c r="A2592" s="2" t="s">
        <v>2804</v>
      </c>
      <c r="B2592" s="2">
        <v>90</v>
      </c>
      <c r="C2592" s="2">
        <v>4360548</v>
      </c>
      <c r="D2592" s="2" t="s">
        <v>521</v>
      </c>
      <c r="E2592" s="2" t="s">
        <v>40</v>
      </c>
      <c r="F2592" t="s">
        <v>83</v>
      </c>
      <c r="N2592" s="2" t="s">
        <v>18</v>
      </c>
      <c r="O2592" s="2" t="s">
        <v>19</v>
      </c>
      <c r="P2592" s="2">
        <v>15000000</v>
      </c>
      <c r="Q2592" s="2">
        <v>6.4</v>
      </c>
      <c r="R2592" s="2" t="s">
        <v>5082</v>
      </c>
      <c r="S2592" s="2"/>
      <c r="AC2592" s="2"/>
      <c r="AD2592" t="str">
        <f>IFERROR(__xludf.DUMMYFUNCTION("""COMPUTED_VALUE"""),"Born on the Fourth of July ")</f>
        <v>Born on the Fourth of July </v>
      </c>
      <c r="AE2592">
        <f t="shared" si="69"/>
        <v>70001553</v>
      </c>
    </row>
    <row r="2593" customHeight="1" spans="1:31">
      <c r="A2593" s="2" t="s">
        <v>2806</v>
      </c>
      <c r="B2593" s="2">
        <v>105</v>
      </c>
      <c r="C2593" s="2">
        <v>26589953</v>
      </c>
      <c r="D2593" s="2" t="s">
        <v>150</v>
      </c>
      <c r="E2593" s="2" t="s">
        <v>12</v>
      </c>
      <c r="F2593" t="s">
        <v>35</v>
      </c>
      <c r="N2593" s="2" t="s">
        <v>18</v>
      </c>
      <c r="O2593" s="2" t="s">
        <v>19</v>
      </c>
      <c r="P2593" s="2">
        <v>10500000</v>
      </c>
      <c r="Q2593" s="2">
        <v>6.7</v>
      </c>
      <c r="R2593" s="2" t="s">
        <v>5083</v>
      </c>
      <c r="S2593" s="2"/>
      <c r="AC2593" s="2"/>
      <c r="AD2593" t="str">
        <f>IFERROR(__xludf.DUMMYFUNCTION("""COMPUTED_VALUE"""),"Cool Runnings ")</f>
        <v>Cool Runnings </v>
      </c>
      <c r="AE2593">
        <f t="shared" si="69"/>
        <v>68856165</v>
      </c>
    </row>
    <row r="2594" customHeight="1" spans="1:31">
      <c r="A2594" s="2" t="s">
        <v>2808</v>
      </c>
      <c r="B2594" s="2">
        <v>108</v>
      </c>
      <c r="C2594" s="2">
        <v>1039869</v>
      </c>
      <c r="D2594" s="2" t="s">
        <v>669</v>
      </c>
      <c r="E2594" s="2" t="s">
        <v>59</v>
      </c>
      <c r="F2594" t="s">
        <v>30</v>
      </c>
      <c r="N2594" s="2" t="s">
        <v>18</v>
      </c>
      <c r="O2594" s="2" t="s">
        <v>121</v>
      </c>
      <c r="P2594" s="2">
        <v>15000000</v>
      </c>
      <c r="Q2594" s="2">
        <v>6.2</v>
      </c>
      <c r="R2594" s="2" t="s">
        <v>5084</v>
      </c>
      <c r="S2594" s="2"/>
      <c r="AC2594" s="2"/>
      <c r="AD2594" t="str">
        <f>IFERROR(__xludf.DUMMYFUNCTION("""COMPUTED_VALUE"""),"My Bloody Valentine ")</f>
        <v>My Bloody Valentine </v>
      </c>
      <c r="AE2594">
        <f t="shared" si="69"/>
        <v>51527686</v>
      </c>
    </row>
    <row r="2595" customHeight="1" spans="1:31">
      <c r="A2595" s="2" t="s">
        <v>898</v>
      </c>
      <c r="B2595" s="2">
        <v>69</v>
      </c>
      <c r="C2595" s="2">
        <v>48092846</v>
      </c>
      <c r="D2595" s="2" t="s">
        <v>1102</v>
      </c>
      <c r="E2595" s="2" t="s">
        <v>13</v>
      </c>
      <c r="F2595" t="s">
        <v>56</v>
      </c>
      <c r="N2595" s="2" t="s">
        <v>18</v>
      </c>
      <c r="O2595" s="2" t="s">
        <v>19</v>
      </c>
      <c r="P2595" s="2">
        <v>12500000</v>
      </c>
      <c r="Q2595" s="2">
        <v>7.3</v>
      </c>
      <c r="R2595" s="2" t="s">
        <v>5085</v>
      </c>
      <c r="S2595" s="2"/>
      <c r="AC2595" s="2"/>
      <c r="AD2595" t="str">
        <f>IFERROR(__xludf.DUMMYFUNCTION("""COMPUTED_VALUE"""),"Stomp the Yard ")</f>
        <v>Stomp the Yard </v>
      </c>
      <c r="AE2595">
        <f t="shared" si="69"/>
        <v>61356112</v>
      </c>
    </row>
    <row r="2596" customHeight="1" spans="1:31">
      <c r="A2596" s="2" t="s">
        <v>2810</v>
      </c>
      <c r="B2596" s="2">
        <v>148</v>
      </c>
      <c r="C2596" s="2">
        <v>1110186</v>
      </c>
      <c r="D2596" s="2" t="s">
        <v>536</v>
      </c>
      <c r="E2596" s="2" t="s">
        <v>12</v>
      </c>
      <c r="F2596" t="s">
        <v>17</v>
      </c>
      <c r="N2596" s="2" t="s">
        <v>5086</v>
      </c>
      <c r="O2596" s="2" t="s">
        <v>2880</v>
      </c>
      <c r="P2596" s="2">
        <v>12800000</v>
      </c>
      <c r="Q2596" s="2">
        <v>8.1</v>
      </c>
      <c r="R2596" s="2" t="s">
        <v>5087</v>
      </c>
      <c r="S2596" s="2"/>
      <c r="AC2596" s="2"/>
      <c r="AD2596" t="str">
        <f>IFERROR(__xludf.DUMMYFUNCTION("""COMPUTED_VALUE"""),"The Spy Who Loved Me ")</f>
        <v>The Spy Who Loved Me </v>
      </c>
      <c r="AE2596">
        <f t="shared" si="69"/>
        <v>46799877</v>
      </c>
    </row>
    <row r="2597" customHeight="1" spans="1:31">
      <c r="A2597" s="2" t="s">
        <v>2813</v>
      </c>
      <c r="B2597" s="2">
        <v>118</v>
      </c>
      <c r="C2597" s="2">
        <v>1089445</v>
      </c>
      <c r="D2597" s="2" t="s">
        <v>5088</v>
      </c>
      <c r="E2597" s="2" t="s">
        <v>40</v>
      </c>
      <c r="F2597" t="s">
        <v>24</v>
      </c>
      <c r="N2597" s="2" t="s">
        <v>18</v>
      </c>
      <c r="O2597" s="2" t="s">
        <v>121</v>
      </c>
      <c r="P2597" s="2">
        <v>12500000</v>
      </c>
      <c r="Q2597" s="2">
        <v>7</v>
      </c>
      <c r="R2597" s="2" t="s">
        <v>5089</v>
      </c>
      <c r="S2597" s="2"/>
      <c r="AC2597" s="2"/>
      <c r="AD2597" t="str">
        <f>IFERROR(__xludf.DUMMYFUNCTION("""COMPUTED_VALUE"""),"Urban Legend ")</f>
        <v>Urban Legend </v>
      </c>
      <c r="AE2597">
        <f t="shared" si="69"/>
        <v>38048538</v>
      </c>
    </row>
    <row r="2598" customHeight="1" spans="1:31">
      <c r="A2598" s="2" t="s">
        <v>1196</v>
      </c>
      <c r="B2598" s="2">
        <v>132</v>
      </c>
      <c r="C2598" s="2">
        <v>204565000</v>
      </c>
      <c r="D2598" s="2" t="s">
        <v>72</v>
      </c>
      <c r="E2598" s="2" t="s">
        <v>72</v>
      </c>
      <c r="F2598" t="s">
        <v>30</v>
      </c>
      <c r="N2598" s="2" t="s">
        <v>18</v>
      </c>
      <c r="O2598" s="2" t="s">
        <v>19</v>
      </c>
      <c r="P2598" s="2">
        <v>8000000</v>
      </c>
      <c r="Q2598" s="2">
        <v>8</v>
      </c>
      <c r="R2598" s="2" t="s">
        <v>5090</v>
      </c>
      <c r="S2598" s="2"/>
      <c r="AC2598" s="2"/>
      <c r="AD2598" t="str">
        <f>IFERROR(__xludf.DUMMYFUNCTION("""COMPUTED_VALUE"""),"White Fang ")</f>
        <v>White Fang </v>
      </c>
      <c r="AE2598">
        <f t="shared" si="69"/>
        <v>34793053</v>
      </c>
    </row>
    <row r="2599" customHeight="1" spans="1:31">
      <c r="A2599" s="2" t="s">
        <v>166</v>
      </c>
      <c r="B2599" s="2">
        <v>130</v>
      </c>
      <c r="C2599" s="2">
        <v>260000000</v>
      </c>
      <c r="D2599" s="2" t="s">
        <v>666</v>
      </c>
      <c r="E2599" s="2" t="s">
        <v>13</v>
      </c>
      <c r="F2599" t="s">
        <v>17</v>
      </c>
      <c r="N2599" s="2" t="s">
        <v>18</v>
      </c>
      <c r="O2599" s="2" t="s">
        <v>19</v>
      </c>
      <c r="P2599" s="2">
        <v>8000000</v>
      </c>
      <c r="Q2599" s="2">
        <v>8</v>
      </c>
      <c r="R2599" s="2" t="s">
        <v>5091</v>
      </c>
      <c r="S2599" s="2"/>
      <c r="AC2599" s="2"/>
      <c r="AD2599" t="str">
        <f>IFERROR(__xludf.DUMMYFUNCTION("""COMPUTED_VALUE"""),"Superstar ")</f>
        <v>Superstar </v>
      </c>
      <c r="AE2599">
        <f t="shared" si="69"/>
        <v>30628900</v>
      </c>
    </row>
    <row r="2600" customHeight="1" spans="1:31">
      <c r="A2600" s="2" t="s">
        <v>619</v>
      </c>
      <c r="B2600" s="2">
        <v>95</v>
      </c>
      <c r="C2600" s="2">
        <v>101736215</v>
      </c>
      <c r="D2600" s="2" t="s">
        <v>40</v>
      </c>
      <c r="E2600" s="2" t="s">
        <v>40</v>
      </c>
      <c r="F2600" t="s">
        <v>17</v>
      </c>
      <c r="N2600" s="2" t="s">
        <v>18</v>
      </c>
      <c r="O2600" s="2" t="s">
        <v>19</v>
      </c>
      <c r="P2600" s="2">
        <v>11000000</v>
      </c>
      <c r="Q2600" s="2">
        <v>7</v>
      </c>
      <c r="R2600" s="2" t="s">
        <v>5092</v>
      </c>
      <c r="S2600" s="2"/>
      <c r="AC2600" s="2"/>
      <c r="AD2600" t="str">
        <f>IFERROR(__xludf.DUMMYFUNCTION("""COMPUTED_VALUE"""),"The Iron Lady ")</f>
        <v>The Iron Lady </v>
      </c>
      <c r="AE2600">
        <f t="shared" si="69"/>
        <v>29959331</v>
      </c>
    </row>
    <row r="2601" customHeight="1" spans="1:31">
      <c r="A2601" s="2" t="s">
        <v>2816</v>
      </c>
      <c r="B2601" s="2">
        <v>80</v>
      </c>
      <c r="C2601" s="2">
        <v>71442</v>
      </c>
      <c r="D2601" s="2" t="s">
        <v>5093</v>
      </c>
      <c r="E2601" s="2" t="s">
        <v>35</v>
      </c>
      <c r="F2601" t="s">
        <v>56</v>
      </c>
      <c r="N2601" s="2" t="s">
        <v>1125</v>
      </c>
      <c r="O2601" s="2" t="s">
        <v>707</v>
      </c>
      <c r="P2601" s="2">
        <v>9600000</v>
      </c>
      <c r="Q2601" s="2">
        <v>7.9</v>
      </c>
      <c r="R2601" s="2" t="s">
        <v>5094</v>
      </c>
      <c r="S2601" s="2"/>
      <c r="AC2601" s="2"/>
      <c r="AD2601" t="str">
        <f>IFERROR(__xludf.DUMMYFUNCTION("""COMPUTED_VALUE"""),"Jonah: A VeggieTales Movie ")</f>
        <v>Jonah: A VeggieTales Movie </v>
      </c>
      <c r="AE2601">
        <f t="shared" si="69"/>
        <v>25571269</v>
      </c>
    </row>
    <row r="2602" customHeight="1" spans="1:31">
      <c r="A2602" s="2" t="s">
        <v>1942</v>
      </c>
      <c r="B2602" s="2">
        <v>94</v>
      </c>
      <c r="C2602" s="2">
        <v>79817937</v>
      </c>
      <c r="D2602" s="2" t="s">
        <v>5095</v>
      </c>
      <c r="E2602" s="2" t="s">
        <v>12</v>
      </c>
      <c r="F2602" t="s">
        <v>56</v>
      </c>
      <c r="N2602" s="2" t="s">
        <v>18</v>
      </c>
      <c r="O2602" s="2" t="s">
        <v>19</v>
      </c>
      <c r="P2602" s="2">
        <v>25000000</v>
      </c>
      <c r="Q2602" s="2">
        <v>5.9</v>
      </c>
      <c r="R2602" s="2" t="s">
        <v>5096</v>
      </c>
      <c r="S2602" s="2"/>
      <c r="AC2602" s="2"/>
      <c r="AD2602" t="str">
        <f>IFERROR(__xludf.DUMMYFUNCTION("""COMPUTED_VALUE"""),"Poetic Justice ")</f>
        <v>Poetic Justice </v>
      </c>
      <c r="AE2602">
        <f t="shared" si="69"/>
        <v>27515677</v>
      </c>
    </row>
    <row r="2603" customHeight="1" spans="1:31">
      <c r="A2603" s="2" t="s">
        <v>497</v>
      </c>
      <c r="B2603" s="2">
        <v>122</v>
      </c>
      <c r="C2603" s="2">
        <v>91547205</v>
      </c>
      <c r="D2603" s="2" t="s">
        <v>607</v>
      </c>
      <c r="E2603" s="2" t="s">
        <v>40</v>
      </c>
      <c r="F2603" t="s">
        <v>17</v>
      </c>
      <c r="N2603" s="2" t="s">
        <v>18</v>
      </c>
      <c r="O2603" s="2" t="s">
        <v>19</v>
      </c>
      <c r="P2603" s="2">
        <v>12000000</v>
      </c>
      <c r="Q2603" s="2">
        <v>6.6</v>
      </c>
      <c r="R2603" s="2" t="s">
        <v>5097</v>
      </c>
      <c r="S2603" s="2"/>
      <c r="AC2603" s="2"/>
      <c r="AD2603" t="str">
        <f>IFERROR(__xludf.DUMMYFUNCTION("""COMPUTED_VALUE"""),"All About the Benjamins ")</f>
        <v>All About the Benjamins </v>
      </c>
      <c r="AE2603">
        <f t="shared" si="69"/>
        <v>25482836</v>
      </c>
    </row>
    <row r="2604" customHeight="1" spans="1:31">
      <c r="A2604" s="2" t="s">
        <v>497</v>
      </c>
      <c r="B2604" s="2">
        <v>102</v>
      </c>
      <c r="C2604" s="2">
        <v>75074950</v>
      </c>
      <c r="D2604" s="2" t="s">
        <v>975</v>
      </c>
      <c r="E2604" s="2" t="s">
        <v>40</v>
      </c>
      <c r="F2604" t="s">
        <v>40</v>
      </c>
      <c r="N2604" s="2" t="s">
        <v>18</v>
      </c>
      <c r="O2604" s="2" t="s">
        <v>19</v>
      </c>
      <c r="P2604" s="2">
        <v>12000000</v>
      </c>
      <c r="Q2604" s="2">
        <v>6.3</v>
      </c>
      <c r="R2604" s="2" t="s">
        <v>5098</v>
      </c>
      <c r="S2604" s="2"/>
      <c r="AC2604" s="2"/>
      <c r="AD2604" t="str">
        <f>IFERROR(__xludf.DUMMYFUNCTION("""COMPUTED_VALUE"""),"Vampire in Brooklyn ")</f>
        <v>Vampire in Brooklyn </v>
      </c>
      <c r="AE2604">
        <f t="shared" si="69"/>
        <v>19899900</v>
      </c>
    </row>
    <row r="2605" customHeight="1" spans="1:31">
      <c r="A2605" s="2" t="s">
        <v>1958</v>
      </c>
      <c r="B2605" s="2">
        <v>116</v>
      </c>
      <c r="C2605" s="2">
        <v>78900000</v>
      </c>
      <c r="D2605" s="2" t="s">
        <v>38</v>
      </c>
      <c r="E2605" s="2" t="s">
        <v>12</v>
      </c>
      <c r="F2605" t="s">
        <v>30</v>
      </c>
      <c r="N2605" s="2" t="s">
        <v>18</v>
      </c>
      <c r="O2605" s="2" t="s">
        <v>19</v>
      </c>
      <c r="P2605" s="2">
        <v>11000000</v>
      </c>
      <c r="Q2605" s="2">
        <v>7.7</v>
      </c>
      <c r="R2605" s="2" t="s">
        <v>5099</v>
      </c>
      <c r="S2605" s="2"/>
      <c r="AC2605" s="2"/>
      <c r="AD2605" t="str">
        <f>IFERROR(__xludf.DUMMYFUNCTION("""COMPUTED_VALUE"""),"An American Haunting ")</f>
        <v>An American Haunting </v>
      </c>
      <c r="AE2605">
        <f t="shared" si="69"/>
        <v>16297955</v>
      </c>
    </row>
    <row r="2606" customHeight="1" spans="1:31">
      <c r="A2606" s="2" t="s">
        <v>213</v>
      </c>
      <c r="B2606" s="2">
        <v>78</v>
      </c>
      <c r="C2606" s="2">
        <v>72217000</v>
      </c>
      <c r="D2606" s="2" t="s">
        <v>40</v>
      </c>
      <c r="E2606" s="2" t="s">
        <v>40</v>
      </c>
      <c r="F2606" t="s">
        <v>14</v>
      </c>
      <c r="N2606" s="2" t="s">
        <v>18</v>
      </c>
      <c r="O2606" s="2" t="s">
        <v>19</v>
      </c>
      <c r="P2606" s="2">
        <v>12000000</v>
      </c>
      <c r="Q2606" s="2">
        <v>6.9</v>
      </c>
      <c r="R2606" s="2" t="s">
        <v>5100</v>
      </c>
      <c r="S2606" s="2"/>
      <c r="AC2606" s="2"/>
      <c r="AD2606" t="str">
        <f>IFERROR(__xludf.DUMMYFUNCTION("""COMPUTED_VALUE"""),"My Boss's Daughter ")</f>
        <v>My Boss's Daughter </v>
      </c>
      <c r="AE2606">
        <f t="shared" si="69"/>
        <v>15549612</v>
      </c>
    </row>
    <row r="2607" customHeight="1" spans="1:31">
      <c r="A2607" s="2" t="s">
        <v>2818</v>
      </c>
      <c r="B2607" s="2">
        <v>114</v>
      </c>
      <c r="C2607" s="2">
        <v>79568000</v>
      </c>
      <c r="D2607" s="2" t="s">
        <v>1154</v>
      </c>
      <c r="E2607" s="2" t="s">
        <v>15</v>
      </c>
      <c r="F2607" t="s">
        <v>40</v>
      </c>
      <c r="N2607" s="2" t="s">
        <v>18</v>
      </c>
      <c r="O2607" s="2" t="s">
        <v>19</v>
      </c>
      <c r="P2607" s="2">
        <v>12000000</v>
      </c>
      <c r="Q2607" s="2">
        <v>7.1</v>
      </c>
      <c r="R2607" s="2" t="s">
        <v>5101</v>
      </c>
      <c r="S2607" s="2"/>
      <c r="AC2607" s="2"/>
      <c r="AD2607" t="str">
        <f>IFERROR(__xludf.DUMMYFUNCTION("""COMPUTED_VALUE"""),"A Perfect Getaway ")</f>
        <v>A Perfect Getaway </v>
      </c>
      <c r="AE2607">
        <f t="shared" si="69"/>
        <v>15483432</v>
      </c>
    </row>
    <row r="2608" customHeight="1" spans="1:31">
      <c r="A2608" s="2" t="s">
        <v>413</v>
      </c>
      <c r="B2608" s="2">
        <v>112</v>
      </c>
      <c r="C2608" s="2">
        <v>65500000</v>
      </c>
      <c r="D2608" s="2" t="s">
        <v>2171</v>
      </c>
      <c r="E2608" s="2" t="s">
        <v>56</v>
      </c>
      <c r="F2608" t="s">
        <v>30</v>
      </c>
      <c r="N2608" s="2" t="s">
        <v>18</v>
      </c>
      <c r="O2608" s="2" t="s">
        <v>19</v>
      </c>
      <c r="P2608" s="2">
        <v>12000000</v>
      </c>
      <c r="Q2608" s="2">
        <v>7.4</v>
      </c>
      <c r="R2608" s="2" t="s">
        <v>5102</v>
      </c>
      <c r="S2608" s="2"/>
      <c r="AC2608" s="2"/>
      <c r="AD2608" t="str">
        <f>IFERROR(__xludf.DUMMYFUNCTION("""COMPUTED_VALUE"""),"Our Family Wedding ")</f>
        <v>Our Family Wedding </v>
      </c>
      <c r="AE2608">
        <f t="shared" si="69"/>
        <v>20246856</v>
      </c>
    </row>
    <row r="2609" customHeight="1" spans="1:31">
      <c r="A2609" s="2" t="s">
        <v>2821</v>
      </c>
      <c r="B2609" s="2">
        <v>110</v>
      </c>
      <c r="C2609" s="2">
        <v>70011073</v>
      </c>
      <c r="D2609" s="2" t="s">
        <v>5103</v>
      </c>
      <c r="E2609" s="2" t="s">
        <v>12</v>
      </c>
      <c r="F2609" t="s">
        <v>72</v>
      </c>
      <c r="N2609" s="2" t="s">
        <v>18</v>
      </c>
      <c r="O2609" s="2" t="s">
        <v>19</v>
      </c>
      <c r="P2609" s="2">
        <v>12000000</v>
      </c>
      <c r="Q2609" s="2">
        <v>6.5</v>
      </c>
      <c r="R2609" s="2" t="s">
        <v>5104</v>
      </c>
      <c r="S2609" s="2"/>
      <c r="AC2609" s="2"/>
      <c r="AD2609" t="str">
        <f>IFERROR(__xludf.DUMMYFUNCTION("""COMPUTED_VALUE"""),"Dead Man on Campus ")</f>
        <v>Dead Man on Campus </v>
      </c>
      <c r="AE2609">
        <f t="shared" si="69"/>
        <v>15062802</v>
      </c>
    </row>
    <row r="2610" customHeight="1" spans="1:31">
      <c r="A2610" s="2" t="s">
        <v>1494</v>
      </c>
      <c r="B2610" s="2">
        <v>104</v>
      </c>
      <c r="C2610" s="2">
        <v>65269010</v>
      </c>
      <c r="D2610" s="2" t="s">
        <v>5105</v>
      </c>
      <c r="E2610" s="2" t="s">
        <v>56</v>
      </c>
      <c r="F2610" t="s">
        <v>40</v>
      </c>
      <c r="N2610" s="2" t="s">
        <v>18</v>
      </c>
      <c r="O2610" s="2" t="s">
        <v>19</v>
      </c>
      <c r="P2610" s="2">
        <v>12000000</v>
      </c>
      <c r="Q2610" s="2">
        <v>6.5</v>
      </c>
      <c r="R2610" s="2" t="s">
        <v>5106</v>
      </c>
      <c r="S2610" s="2"/>
      <c r="AC2610" s="2"/>
      <c r="AD2610" t="str">
        <f>IFERROR(__xludf.DUMMYFUNCTION("""COMPUTED_VALUE"""),"Tea with Mussolini ")</f>
        <v>Tea with Mussolini </v>
      </c>
      <c r="AE2610">
        <f t="shared" si="69"/>
        <v>14348006</v>
      </c>
    </row>
    <row r="2611" customHeight="1" spans="1:31">
      <c r="A2611" s="2" t="s">
        <v>2823</v>
      </c>
      <c r="B2611" s="2">
        <v>81</v>
      </c>
      <c r="C2611" s="2">
        <v>63071133</v>
      </c>
      <c r="D2611" s="2" t="s">
        <v>5107</v>
      </c>
      <c r="E2611" s="2" t="s">
        <v>13</v>
      </c>
      <c r="F2611" t="s">
        <v>83</v>
      </c>
      <c r="N2611" s="2" t="s">
        <v>18</v>
      </c>
      <c r="O2611" s="2" t="s">
        <v>19</v>
      </c>
      <c r="P2611" s="2">
        <v>12000000</v>
      </c>
      <c r="Q2611" s="2">
        <v>6.8</v>
      </c>
      <c r="R2611" s="2" t="s">
        <v>5108</v>
      </c>
      <c r="S2611" s="2"/>
      <c r="AC2611" s="2"/>
      <c r="AD2611" t="str">
        <f>IFERROR(__xludf.DUMMYFUNCTION("""COMPUTED_VALUE"""),"Thinner ")</f>
        <v>Thinner </v>
      </c>
      <c r="AE2611">
        <f t="shared" si="69"/>
        <v>15171382</v>
      </c>
    </row>
    <row r="2612" customHeight="1" spans="1:31">
      <c r="A2612" s="2" t="s">
        <v>627</v>
      </c>
      <c r="B2612" s="2">
        <v>154</v>
      </c>
      <c r="C2612" s="2">
        <v>39647595</v>
      </c>
      <c r="D2612" s="2" t="s">
        <v>557</v>
      </c>
      <c r="E2612" s="2" t="s">
        <v>56</v>
      </c>
      <c r="F2612" t="s">
        <v>30</v>
      </c>
      <c r="N2612" s="2" t="s">
        <v>18</v>
      </c>
      <c r="O2612" s="2" t="s">
        <v>19</v>
      </c>
      <c r="P2612" s="2">
        <v>12000000</v>
      </c>
      <c r="Q2612" s="2">
        <v>7.5</v>
      </c>
      <c r="R2612" s="2" t="s">
        <v>5109</v>
      </c>
      <c r="S2612" s="2"/>
      <c r="AC2612" s="2"/>
      <c r="AD2612" t="str">
        <f>IFERROR(__xludf.DUMMYFUNCTION("""COMPUTED_VALUE"""),"Crooklyn ")</f>
        <v>Crooklyn </v>
      </c>
      <c r="AE2612">
        <f t="shared" si="69"/>
        <v>13639885</v>
      </c>
    </row>
    <row r="2613" customHeight="1" spans="1:31">
      <c r="A2613" s="2" t="s">
        <v>1306</v>
      </c>
      <c r="B2613" s="2">
        <v>102</v>
      </c>
      <c r="C2613" s="2">
        <v>38087366</v>
      </c>
      <c r="D2613" s="2" t="s">
        <v>1716</v>
      </c>
      <c r="E2613" s="2" t="s">
        <v>13</v>
      </c>
      <c r="F2613" t="s">
        <v>56</v>
      </c>
      <c r="N2613" s="2" t="s">
        <v>18</v>
      </c>
      <c r="O2613" s="2" t="s">
        <v>19</v>
      </c>
      <c r="P2613" s="2">
        <v>12000000</v>
      </c>
      <c r="Q2613" s="2">
        <v>6.6</v>
      </c>
      <c r="R2613" s="2" t="s">
        <v>5110</v>
      </c>
      <c r="S2613" s="2"/>
      <c r="AC2613" s="2"/>
      <c r="AD2613" t="str">
        <f>IFERROR(__xludf.DUMMYFUNCTION("""COMPUTED_VALUE"""),"Jason X ")</f>
        <v>Jason X </v>
      </c>
      <c r="AE2613">
        <f t="shared" si="69"/>
        <v>12610646</v>
      </c>
    </row>
    <row r="2614" customHeight="1" spans="1:31">
      <c r="A2614" s="2" t="s">
        <v>547</v>
      </c>
      <c r="B2614" s="2">
        <v>89</v>
      </c>
      <c r="C2614" s="2">
        <v>64572496</v>
      </c>
      <c r="D2614" s="2" t="s">
        <v>1045</v>
      </c>
      <c r="E2614" s="2" t="s">
        <v>30</v>
      </c>
      <c r="F2614" t="s">
        <v>30</v>
      </c>
      <c r="N2614" s="2" t="s">
        <v>18</v>
      </c>
      <c r="O2614" s="2" t="s">
        <v>19</v>
      </c>
      <c r="P2614" s="2">
        <v>12000000</v>
      </c>
      <c r="Q2614" s="2">
        <v>7.1</v>
      </c>
      <c r="R2614" s="2" t="s">
        <v>5111</v>
      </c>
      <c r="S2614" s="2"/>
      <c r="AC2614" s="2"/>
      <c r="AD2614" t="str">
        <f>IFERROR(__xludf.DUMMYFUNCTION("""COMPUTED_VALUE"""),"Bobby ")</f>
        <v>Bobby </v>
      </c>
      <c r="AE2614">
        <f t="shared" si="69"/>
        <v>11204387</v>
      </c>
    </row>
    <row r="2615" customHeight="1" spans="1:31">
      <c r="A2615" s="2" t="s">
        <v>1467</v>
      </c>
      <c r="B2615" s="2">
        <v>132</v>
      </c>
      <c r="C2615" s="2">
        <v>30400000</v>
      </c>
      <c r="D2615" s="2" t="s">
        <v>1109</v>
      </c>
      <c r="E2615" s="2" t="s">
        <v>30</v>
      </c>
      <c r="F2615" t="s">
        <v>23</v>
      </c>
      <c r="N2615" s="2" t="s">
        <v>18</v>
      </c>
      <c r="O2615" s="2" t="s">
        <v>31</v>
      </c>
      <c r="P2615" s="2">
        <v>12000000</v>
      </c>
      <c r="Q2615" s="2">
        <v>6.6</v>
      </c>
      <c r="R2615" s="2" t="s">
        <v>5112</v>
      </c>
      <c r="S2615" s="2"/>
      <c r="AC2615" s="2"/>
      <c r="AD2615" t="str">
        <f>IFERROR(__xludf.DUMMYFUNCTION("""COMPUTED_VALUE"""),"Head Over Heels ")</f>
        <v>Head Over Heels </v>
      </c>
      <c r="AE2615">
        <f t="shared" ref="AE2615:AE2678" si="70">C2499-B2499</f>
        <v>10397279</v>
      </c>
    </row>
    <row r="2616" customHeight="1" spans="1:31">
      <c r="A2616" s="2" t="s">
        <v>836</v>
      </c>
      <c r="B2616" s="2">
        <v>103</v>
      </c>
      <c r="C2616" s="2">
        <v>42365600</v>
      </c>
      <c r="D2616" s="2" t="s">
        <v>5113</v>
      </c>
      <c r="E2616" s="2" t="s">
        <v>13</v>
      </c>
      <c r="F2616" t="s">
        <v>59</v>
      </c>
      <c r="N2616" s="2" t="s">
        <v>18</v>
      </c>
      <c r="O2616" s="2" t="s">
        <v>31</v>
      </c>
      <c r="P2616" s="2">
        <v>5000000</v>
      </c>
      <c r="Q2616" s="2">
        <v>7</v>
      </c>
      <c r="R2616" s="2" t="s">
        <v>5114</v>
      </c>
      <c r="S2616" s="2"/>
      <c r="AC2616" s="2"/>
      <c r="AD2616" t="str">
        <f>IFERROR(__xludf.DUMMYFUNCTION("""COMPUTED_VALUE"""),"Fun Size ")</f>
        <v>Fun Size </v>
      </c>
      <c r="AE2616">
        <f t="shared" si="70"/>
        <v>9402324</v>
      </c>
    </row>
    <row r="2617" customHeight="1" spans="1:31">
      <c r="A2617" s="2" t="s">
        <v>2826</v>
      </c>
      <c r="B2617" s="2">
        <v>93</v>
      </c>
      <c r="C2617" s="2">
        <v>37188667</v>
      </c>
      <c r="D2617" s="2" t="s">
        <v>975</v>
      </c>
      <c r="E2617" s="2" t="s">
        <v>40</v>
      </c>
      <c r="F2617" t="s">
        <v>30</v>
      </c>
      <c r="N2617" s="2" t="s">
        <v>18</v>
      </c>
      <c r="O2617" s="2" t="s">
        <v>19</v>
      </c>
      <c r="P2617" s="2">
        <v>12000000</v>
      </c>
      <c r="Q2617" s="2">
        <v>3.3</v>
      </c>
      <c r="R2617" s="2" t="s">
        <v>5115</v>
      </c>
      <c r="S2617" s="2"/>
      <c r="AC2617" s="2"/>
      <c r="AD2617" t="str">
        <f>IFERROR(__xludf.DUMMYFUNCTION("""COMPUTED_VALUE"""),"Little Children ")</f>
        <v>Little Children </v>
      </c>
      <c r="AE2617">
        <f t="shared" si="70"/>
        <v>5459687</v>
      </c>
    </row>
    <row r="2618" customHeight="1" spans="1:31">
      <c r="A2618" s="2" t="s">
        <v>2828</v>
      </c>
      <c r="B2618" s="2">
        <v>93</v>
      </c>
      <c r="C2618" s="2">
        <v>54724272</v>
      </c>
      <c r="D2618" s="2" t="s">
        <v>383</v>
      </c>
      <c r="E2618" s="2" t="s">
        <v>40</v>
      </c>
      <c r="F2618" t="s">
        <v>30</v>
      </c>
      <c r="N2618" s="2" t="s">
        <v>18</v>
      </c>
      <c r="O2618" s="2" t="s">
        <v>19</v>
      </c>
      <c r="P2618" s="2">
        <v>12000000</v>
      </c>
      <c r="Q2618" s="2">
        <v>6.7</v>
      </c>
      <c r="R2618" s="2" t="s">
        <v>5116</v>
      </c>
      <c r="S2618" s="2"/>
      <c r="AC2618" s="2"/>
      <c r="AD2618" t="str">
        <f>IFERROR(__xludf.DUMMYFUNCTION("""COMPUTED_VALUE"""),"Gossip ")</f>
        <v>Gossip </v>
      </c>
      <c r="AE2618">
        <f t="shared" si="70"/>
        <v>5108730</v>
      </c>
    </row>
    <row r="2619" customHeight="1" spans="1:31">
      <c r="A2619" s="2" t="s">
        <v>2667</v>
      </c>
      <c r="B2619" s="2">
        <v>96</v>
      </c>
      <c r="C2619" s="2">
        <v>31597131</v>
      </c>
      <c r="D2619" s="2" t="s">
        <v>1655</v>
      </c>
      <c r="E2619" s="2" t="s">
        <v>30</v>
      </c>
      <c r="F2619" t="s">
        <v>17</v>
      </c>
      <c r="N2619" s="2" t="s">
        <v>18</v>
      </c>
      <c r="O2619" s="2" t="s">
        <v>19</v>
      </c>
      <c r="P2619" s="2">
        <v>12000000</v>
      </c>
      <c r="Q2619" s="2">
        <v>6.8</v>
      </c>
      <c r="R2619" s="2" t="s">
        <v>5117</v>
      </c>
      <c r="S2619" s="2"/>
      <c r="AC2619" s="2"/>
      <c r="AD2619" t="str">
        <f>IFERROR(__xludf.DUMMYFUNCTION("""COMPUTED_VALUE"""),"A Walk on the Moon ")</f>
        <v>A Walk on the Moon </v>
      </c>
      <c r="AE2619">
        <f t="shared" si="70"/>
        <v>4741880</v>
      </c>
    </row>
    <row r="2620" customHeight="1" spans="1:31">
      <c r="A2620" s="2" t="s">
        <v>2830</v>
      </c>
      <c r="B2620" s="2">
        <v>89</v>
      </c>
      <c r="C2620" s="2">
        <v>31691811</v>
      </c>
      <c r="D2620" s="2" t="s">
        <v>1764</v>
      </c>
      <c r="E2620" s="2" t="s">
        <v>72</v>
      </c>
      <c r="F2620" t="s">
        <v>28</v>
      </c>
      <c r="N2620" s="2" t="s">
        <v>18</v>
      </c>
      <c r="O2620" s="2" t="s">
        <v>19</v>
      </c>
      <c r="P2620" s="2">
        <v>12000000</v>
      </c>
      <c r="Q2620" s="2">
        <v>6</v>
      </c>
      <c r="R2620" s="2" t="s">
        <v>5118</v>
      </c>
      <c r="S2620" s="2"/>
      <c r="AC2620" s="2"/>
      <c r="AD2620" t="str">
        <f>IFERROR(__xludf.DUMMYFUNCTION("""COMPUTED_VALUE"""),"Catch a Fire ")</f>
        <v>Catch a Fire </v>
      </c>
      <c r="AE2620">
        <f t="shared" si="70"/>
        <v>4291867</v>
      </c>
    </row>
    <row r="2621" customHeight="1" spans="1:31">
      <c r="A2621" s="2" t="s">
        <v>2832</v>
      </c>
      <c r="B2621" s="2">
        <v>92</v>
      </c>
      <c r="C2621" s="2">
        <v>31397498</v>
      </c>
      <c r="D2621" s="2" t="s">
        <v>2613</v>
      </c>
      <c r="E2621" s="2" t="s">
        <v>72</v>
      </c>
      <c r="F2621" t="s">
        <v>56</v>
      </c>
      <c r="N2621" s="2" t="s">
        <v>18</v>
      </c>
      <c r="O2621" s="2" t="s">
        <v>19</v>
      </c>
      <c r="P2621" s="2">
        <v>12000000</v>
      </c>
      <c r="Q2621" s="2">
        <v>5.4</v>
      </c>
      <c r="R2621" s="2" t="s">
        <v>5119</v>
      </c>
      <c r="S2621" s="2"/>
      <c r="AC2621" s="2"/>
      <c r="AD2621" t="str">
        <f>IFERROR(__xludf.DUMMYFUNCTION("""COMPUTED_VALUE"""),"Soul Survivors ")</f>
        <v>Soul Survivors </v>
      </c>
      <c r="AE2621">
        <f t="shared" si="70"/>
        <v>3100566</v>
      </c>
    </row>
    <row r="2622" customHeight="1" spans="1:31">
      <c r="A2622" s="2" t="s">
        <v>2835</v>
      </c>
      <c r="B2622" s="2">
        <v>97</v>
      </c>
      <c r="C2622" s="2">
        <v>31179516</v>
      </c>
      <c r="D2622" s="2" t="s">
        <v>40</v>
      </c>
      <c r="E2622" s="2" t="s">
        <v>40</v>
      </c>
      <c r="F2622" t="s">
        <v>30</v>
      </c>
      <c r="N2622" s="2" t="s">
        <v>18</v>
      </c>
      <c r="O2622" s="2" t="s">
        <v>19</v>
      </c>
      <c r="P2622" s="2">
        <v>12000000</v>
      </c>
      <c r="Q2622" s="2">
        <v>4.3</v>
      </c>
      <c r="R2622" s="2" t="s">
        <v>5120</v>
      </c>
      <c r="S2622" s="2"/>
      <c r="AC2622" s="2"/>
      <c r="AD2622" t="str">
        <f>IFERROR(__xludf.DUMMYFUNCTION("""COMPUTED_VALUE"""),"Jefferson in Paris ")</f>
        <v>Jefferson in Paris </v>
      </c>
      <c r="AE2622">
        <f t="shared" si="70"/>
        <v>2473861</v>
      </c>
    </row>
    <row r="2623" customHeight="1" spans="1:31">
      <c r="A2623" s="2" t="s">
        <v>1174</v>
      </c>
      <c r="B2623" s="2">
        <v>93</v>
      </c>
      <c r="C2623" s="2">
        <v>31155435</v>
      </c>
      <c r="D2623" s="2" t="s">
        <v>1086</v>
      </c>
      <c r="E2623" s="2" t="s">
        <v>40</v>
      </c>
      <c r="F2623" t="s">
        <v>30</v>
      </c>
      <c r="N2623" s="2" t="s">
        <v>18</v>
      </c>
      <c r="O2623" s="2" t="s">
        <v>19</v>
      </c>
      <c r="P2623" s="2">
        <v>12000000</v>
      </c>
      <c r="Q2623" s="2">
        <v>6.2</v>
      </c>
      <c r="R2623" s="2" t="s">
        <v>5121</v>
      </c>
      <c r="S2623" s="2"/>
      <c r="AC2623" s="2"/>
      <c r="AD2623" t="str">
        <f>IFERROR(__xludf.DUMMYFUNCTION("""COMPUTED_VALUE"""),"Caravans ")</f>
        <v>Caravans </v>
      </c>
      <c r="AE2623">
        <f t="shared" si="70"/>
        <v>999873</v>
      </c>
    </row>
    <row r="2624" customHeight="1" spans="1:31">
      <c r="A2624" s="2" t="s">
        <v>2837</v>
      </c>
      <c r="B2624" s="2">
        <v>89</v>
      </c>
      <c r="C2624" s="2">
        <v>27281507</v>
      </c>
      <c r="D2624" s="2" t="s">
        <v>5122</v>
      </c>
      <c r="E2624" s="2" t="s">
        <v>40</v>
      </c>
      <c r="F2624" t="s">
        <v>17</v>
      </c>
      <c r="N2624" s="2" t="s">
        <v>18</v>
      </c>
      <c r="O2624" s="2" t="s">
        <v>19</v>
      </c>
      <c r="P2624" s="2">
        <v>12000000</v>
      </c>
      <c r="Q2624" s="2">
        <v>7.7</v>
      </c>
      <c r="R2624" s="2" t="s">
        <v>5123</v>
      </c>
      <c r="S2624" s="2"/>
      <c r="AC2624" s="2"/>
      <c r="AD2624" t="str">
        <f>IFERROR(__xludf.DUMMYFUNCTION("""COMPUTED_VALUE"""),"Mr. Turner ")</f>
        <v>Mr. Turner </v>
      </c>
      <c r="AE2624">
        <f t="shared" si="70"/>
        <v>3958350</v>
      </c>
    </row>
    <row r="2625" customHeight="1" spans="1:31">
      <c r="A2625" s="2" t="s">
        <v>1416</v>
      </c>
      <c r="B2625" s="2">
        <v>123</v>
      </c>
      <c r="C2625" s="2">
        <v>25776062</v>
      </c>
      <c r="D2625" s="2" t="s">
        <v>2624</v>
      </c>
      <c r="E2625" s="2" t="s">
        <v>59</v>
      </c>
      <c r="F2625" t="s">
        <v>30</v>
      </c>
      <c r="N2625" s="2" t="s">
        <v>18</v>
      </c>
      <c r="O2625" s="2" t="s">
        <v>19</v>
      </c>
      <c r="P2625" s="2">
        <v>12000000</v>
      </c>
      <c r="Q2625" s="2">
        <v>7.4</v>
      </c>
      <c r="R2625" s="2" t="s">
        <v>5124</v>
      </c>
      <c r="S2625" s="2"/>
      <c r="AC2625" s="2"/>
      <c r="AD2625" t="str">
        <f>IFERROR(__xludf.DUMMYFUNCTION("""COMPUTED_VALUE"""),"Amen. ")</f>
        <v>Amen. </v>
      </c>
      <c r="AE2625">
        <f t="shared" si="70"/>
        <v>274167</v>
      </c>
    </row>
    <row r="2626" customHeight="1" spans="1:31">
      <c r="A2626" s="2" t="s">
        <v>2839</v>
      </c>
      <c r="B2626" s="2">
        <v>93</v>
      </c>
      <c r="C2626" s="2">
        <v>25240988</v>
      </c>
      <c r="D2626" s="2" t="s">
        <v>1652</v>
      </c>
      <c r="E2626" s="2" t="s">
        <v>65</v>
      </c>
      <c r="F2626" t="s">
        <v>17</v>
      </c>
      <c r="N2626" s="2" t="s">
        <v>18</v>
      </c>
      <c r="O2626" s="2" t="s">
        <v>19</v>
      </c>
      <c r="P2626" s="2">
        <v>12000000</v>
      </c>
      <c r="Q2626" s="2">
        <v>5.9</v>
      </c>
      <c r="R2626" s="2" t="s">
        <v>5125</v>
      </c>
      <c r="S2626" s="2"/>
      <c r="AC2626" s="2"/>
      <c r="AD2626" t="str">
        <f>IFERROR(__xludf.DUMMYFUNCTION("""COMPUTED_VALUE"""),"The Lucky Ones ")</f>
        <v>The Lucky Ones </v>
      </c>
      <c r="AE2626">
        <f t="shared" si="70"/>
        <v>182973</v>
      </c>
    </row>
    <row r="2627" customHeight="1" spans="1:31">
      <c r="A2627" s="2" t="s">
        <v>2841</v>
      </c>
      <c r="B2627" s="2">
        <v>133</v>
      </c>
      <c r="C2627" s="2">
        <v>124868837</v>
      </c>
      <c r="D2627" s="2" t="s">
        <v>103</v>
      </c>
      <c r="E2627" s="2" t="s">
        <v>30</v>
      </c>
      <c r="F2627" t="s">
        <v>30</v>
      </c>
      <c r="N2627" s="2" t="s">
        <v>18</v>
      </c>
      <c r="O2627" s="2" t="s">
        <v>19</v>
      </c>
      <c r="P2627" s="2">
        <v>12000000</v>
      </c>
      <c r="Q2627" s="2">
        <v>7.8</v>
      </c>
      <c r="R2627" s="2" t="s">
        <v>5126</v>
      </c>
      <c r="S2627" s="2"/>
      <c r="AC2627" s="2"/>
      <c r="AD2627" t="str">
        <f>IFERROR(__xludf.DUMMYFUNCTION("""COMPUTED_VALUE"""),"Margaret ")</f>
        <v>Margaret </v>
      </c>
      <c r="AE2627">
        <f t="shared" si="70"/>
        <v>46309</v>
      </c>
    </row>
    <row r="2628" customHeight="1" spans="1:31">
      <c r="A2628" s="2" t="s">
        <v>1148</v>
      </c>
      <c r="B2628" s="2">
        <v>121</v>
      </c>
      <c r="C2628" s="2">
        <v>22905674</v>
      </c>
      <c r="D2628" s="2" t="s">
        <v>718</v>
      </c>
      <c r="E2628" s="2" t="s">
        <v>56</v>
      </c>
      <c r="F2628" t="s">
        <v>28</v>
      </c>
      <c r="N2628" s="2" t="s">
        <v>18</v>
      </c>
      <c r="O2628" s="2" t="s">
        <v>19</v>
      </c>
      <c r="P2628" s="2">
        <v>12000000</v>
      </c>
      <c r="Q2628" s="2">
        <v>7.4</v>
      </c>
      <c r="R2628" s="2" t="s">
        <v>5127</v>
      </c>
      <c r="S2628" s="2"/>
      <c r="AC2628" s="2"/>
      <c r="AD2628" t="str">
        <f>IFERROR(__xludf.DUMMYFUNCTION("""COMPUTED_VALUE"""),"Flipped ")</f>
        <v>Flipped </v>
      </c>
      <c r="AE2628">
        <f t="shared" si="70"/>
        <v>1752124</v>
      </c>
    </row>
    <row r="2629" customHeight="1" spans="1:31">
      <c r="A2629" s="2" t="s">
        <v>1645</v>
      </c>
      <c r="B2629" s="2">
        <v>102</v>
      </c>
      <c r="C2629" s="2">
        <v>25277561</v>
      </c>
      <c r="D2629" s="2" t="s">
        <v>607</v>
      </c>
      <c r="E2629" s="2" t="s">
        <v>40</v>
      </c>
      <c r="F2629" t="s">
        <v>28</v>
      </c>
      <c r="N2629" s="2" t="s">
        <v>18</v>
      </c>
      <c r="O2629" s="2" t="s">
        <v>19</v>
      </c>
      <c r="P2629" s="2">
        <v>12000000</v>
      </c>
      <c r="Q2629" s="2">
        <v>6.5</v>
      </c>
      <c r="R2629" s="2" t="s">
        <v>5128</v>
      </c>
      <c r="S2629" s="2"/>
      <c r="AC2629" s="2"/>
      <c r="AD2629" t="str">
        <f>IFERROR(__xludf.DUMMYFUNCTION("""COMPUTED_VALUE"""),"Brokeback Mountain ")</f>
        <v>Brokeback Mountain </v>
      </c>
      <c r="AE2629">
        <f t="shared" si="70"/>
        <v>83025719</v>
      </c>
    </row>
    <row r="2630" customHeight="1" spans="1:31">
      <c r="A2630" s="2" t="s">
        <v>1144</v>
      </c>
      <c r="B2630" s="2">
        <v>99</v>
      </c>
      <c r="C2630" s="2">
        <v>21133087</v>
      </c>
      <c r="D2630" s="2" t="s">
        <v>1189</v>
      </c>
      <c r="E2630" s="2" t="s">
        <v>72</v>
      </c>
      <c r="F2630" t="s">
        <v>30</v>
      </c>
      <c r="N2630" s="2" t="s">
        <v>18</v>
      </c>
      <c r="O2630" s="2" t="s">
        <v>19</v>
      </c>
      <c r="P2630" s="2">
        <v>12000000</v>
      </c>
      <c r="Q2630" s="2">
        <v>7</v>
      </c>
      <c r="R2630" s="2" t="s">
        <v>5129</v>
      </c>
      <c r="S2630" s="2"/>
      <c r="AC2630" s="2"/>
      <c r="AD2630" t="str">
        <f>IFERROR(__xludf.DUMMYFUNCTION("""COMPUTED_VALUE"""),"Clueless ")</f>
        <v>Clueless </v>
      </c>
      <c r="AE2630">
        <f t="shared" si="70"/>
        <v>56631475</v>
      </c>
    </row>
    <row r="2631" customHeight="1" spans="1:31">
      <c r="A2631" s="2" t="s">
        <v>1377</v>
      </c>
      <c r="B2631" s="2">
        <v>98</v>
      </c>
      <c r="C2631" s="2">
        <v>37707719</v>
      </c>
      <c r="D2631" s="2" t="s">
        <v>562</v>
      </c>
      <c r="E2631" s="2" t="s">
        <v>59</v>
      </c>
      <c r="F2631" t="s">
        <v>17</v>
      </c>
      <c r="N2631" s="2" t="s">
        <v>18</v>
      </c>
      <c r="O2631" s="2" t="s">
        <v>31</v>
      </c>
      <c r="P2631" s="2">
        <v>12000000</v>
      </c>
      <c r="Q2631" s="2">
        <v>7.6</v>
      </c>
      <c r="R2631" s="2" t="s">
        <v>5130</v>
      </c>
      <c r="S2631" s="2"/>
      <c r="AC2631" s="2"/>
      <c r="AD2631" t="str">
        <f>IFERROR(__xludf.DUMMYFUNCTION("""COMPUTED_VALUE"""),"Far from Heaven ")</f>
        <v>Far from Heaven </v>
      </c>
      <c r="AE2631">
        <f t="shared" si="70"/>
        <v>15854881</v>
      </c>
    </row>
    <row r="2632" customHeight="1" spans="1:31">
      <c r="A2632" s="2" t="s">
        <v>2272</v>
      </c>
      <c r="B2632" s="2">
        <v>118</v>
      </c>
      <c r="C2632" s="2">
        <v>18761993</v>
      </c>
      <c r="D2632" s="2" t="s">
        <v>975</v>
      </c>
      <c r="E2632" s="2" t="s">
        <v>40</v>
      </c>
      <c r="F2632" t="s">
        <v>28</v>
      </c>
      <c r="N2632" s="2" t="s">
        <v>18</v>
      </c>
      <c r="O2632" s="2" t="s">
        <v>19</v>
      </c>
      <c r="P2632" s="2">
        <v>9000000</v>
      </c>
      <c r="Q2632" s="2">
        <v>6.9</v>
      </c>
      <c r="R2632" s="2" t="s">
        <v>5131</v>
      </c>
      <c r="S2632" s="2"/>
      <c r="AC2632" s="2"/>
      <c r="AD2632" t="str">
        <f>IFERROR(__xludf.DUMMYFUNCTION("""COMPUTED_VALUE"""),"Hot Tub Time Machine 2 ")</f>
        <v>Hot Tub Time Machine 2 </v>
      </c>
      <c r="AE2632">
        <f t="shared" si="70"/>
        <v>12282578</v>
      </c>
    </row>
    <row r="2633" customHeight="1" spans="1:31">
      <c r="A2633" s="2" t="s">
        <v>2592</v>
      </c>
      <c r="B2633" s="2">
        <v>104</v>
      </c>
      <c r="C2633" s="2">
        <v>18595716</v>
      </c>
      <c r="D2633" s="2" t="s">
        <v>1017</v>
      </c>
      <c r="E2633" s="2" t="s">
        <v>40</v>
      </c>
      <c r="F2633" t="s">
        <v>56</v>
      </c>
      <c r="N2633" s="2" t="s">
        <v>18</v>
      </c>
      <c r="O2633" s="2" t="s">
        <v>19</v>
      </c>
      <c r="P2633" s="2">
        <v>12000000</v>
      </c>
      <c r="Q2633" s="2">
        <v>5.3</v>
      </c>
      <c r="R2633" s="2" t="s">
        <v>5132</v>
      </c>
      <c r="S2633" s="2"/>
      <c r="AC2633" s="2"/>
      <c r="AD2633" t="str">
        <f>IFERROR(__xludf.DUMMYFUNCTION("""COMPUTED_VALUE"""),"Quills ")</f>
        <v>Quills </v>
      </c>
      <c r="AE2633">
        <f t="shared" si="70"/>
        <v>7060752</v>
      </c>
    </row>
    <row r="2634" customHeight="1" spans="1:31">
      <c r="A2634" s="2" t="s">
        <v>2843</v>
      </c>
      <c r="B2634" s="2">
        <v>109</v>
      </c>
      <c r="C2634" s="2">
        <v>31990064</v>
      </c>
      <c r="D2634" s="2" t="s">
        <v>1543</v>
      </c>
      <c r="E2634" s="2" t="s">
        <v>30</v>
      </c>
      <c r="F2634" t="s">
        <v>17</v>
      </c>
      <c r="N2634" s="2" t="s">
        <v>18</v>
      </c>
      <c r="O2634" s="2" t="s">
        <v>19</v>
      </c>
      <c r="P2634" s="2">
        <v>12000000</v>
      </c>
      <c r="Q2634" s="2">
        <v>6.4</v>
      </c>
      <c r="R2634" s="2" t="s">
        <v>5133</v>
      </c>
      <c r="S2634" s="2"/>
      <c r="AC2634" s="2"/>
      <c r="AD2634" t="str">
        <f>IFERROR(__xludf.DUMMYFUNCTION("""COMPUTED_VALUE"""),"Seven Psychopaths ")</f>
        <v>Seven Psychopaths </v>
      </c>
      <c r="AE2634">
        <f t="shared" si="70"/>
        <v>14989651</v>
      </c>
    </row>
    <row r="2635" customHeight="1" spans="1:31">
      <c r="A2635" s="2" t="s">
        <v>1796</v>
      </c>
      <c r="B2635" s="2">
        <v>115</v>
      </c>
      <c r="C2635" s="2">
        <v>17613460</v>
      </c>
      <c r="D2635" s="2" t="s">
        <v>2214</v>
      </c>
      <c r="E2635" s="2" t="s">
        <v>13</v>
      </c>
      <c r="F2635" t="s">
        <v>56</v>
      </c>
      <c r="N2635" s="2" t="s">
        <v>18</v>
      </c>
      <c r="O2635" s="2" t="s">
        <v>19</v>
      </c>
      <c r="P2635" s="2">
        <v>12000000</v>
      </c>
      <c r="Q2635" s="2">
        <v>7.8</v>
      </c>
      <c r="R2635" s="2" t="s">
        <v>5134</v>
      </c>
      <c r="S2635" s="2"/>
      <c r="AC2635" s="2"/>
      <c r="AD2635" t="str">
        <f>IFERROR(__xludf.DUMMYFUNCTION("""COMPUTED_VALUE"""),"Downfall ")</f>
        <v>Downfall </v>
      </c>
      <c r="AE2635">
        <f t="shared" si="70"/>
        <v>5501762</v>
      </c>
    </row>
    <row r="2636" customHeight="1" spans="1:31">
      <c r="A2636" s="2" t="s">
        <v>2846</v>
      </c>
      <c r="B2636" s="2">
        <v>92</v>
      </c>
      <c r="C2636" s="2">
        <v>21088568</v>
      </c>
      <c r="D2636" s="2" t="s">
        <v>3756</v>
      </c>
      <c r="E2636" s="2" t="s">
        <v>12</v>
      </c>
      <c r="F2636" t="s">
        <v>56</v>
      </c>
      <c r="N2636" s="2" t="s">
        <v>18</v>
      </c>
      <c r="O2636" s="2" t="s">
        <v>19</v>
      </c>
      <c r="P2636" s="2">
        <v>13000000</v>
      </c>
      <c r="Q2636" s="2">
        <v>6.7</v>
      </c>
      <c r="R2636" s="2" t="s">
        <v>5135</v>
      </c>
      <c r="S2636" s="2"/>
      <c r="AC2636" s="2"/>
      <c r="AD2636" t="str">
        <f>IFERROR(__xludf.DUMMYFUNCTION("""COMPUTED_VALUE"""),"The Sea Inside ")</f>
        <v>The Sea Inside </v>
      </c>
      <c r="AE2636">
        <f t="shared" si="70"/>
        <v>2086220</v>
      </c>
    </row>
    <row r="2637" customHeight="1" spans="1:31">
      <c r="A2637" s="2" t="s">
        <v>1041</v>
      </c>
      <c r="B2637" s="2">
        <v>91</v>
      </c>
      <c r="C2637" s="2">
        <v>17292381</v>
      </c>
      <c r="D2637" s="2" t="s">
        <v>5136</v>
      </c>
      <c r="E2637" s="2" t="s">
        <v>40</v>
      </c>
      <c r="F2637" t="s">
        <v>30</v>
      </c>
      <c r="N2637" s="2" t="s">
        <v>18</v>
      </c>
      <c r="O2637" s="2" t="s">
        <v>19</v>
      </c>
      <c r="P2637" s="2">
        <v>12000000</v>
      </c>
      <c r="Q2637" s="2">
        <v>5.3</v>
      </c>
      <c r="R2637" s="2" t="s">
        <v>5137</v>
      </c>
      <c r="S2637" s="2"/>
      <c r="AC2637" s="2"/>
      <c r="AD2637" t="str">
        <f>IFERROR(__xludf.DUMMYFUNCTION("""COMPUTED_VALUE"""),"Good Morning, Vietnam ")</f>
        <v>Good Morning, Vietnam </v>
      </c>
      <c r="AE2637">
        <f t="shared" si="70"/>
        <v>123922249</v>
      </c>
    </row>
    <row r="2638" customHeight="1" spans="1:31">
      <c r="A2638" s="2" t="s">
        <v>1794</v>
      </c>
      <c r="B2638" s="2">
        <v>94</v>
      </c>
      <c r="C2638" s="2">
        <v>16300302</v>
      </c>
      <c r="D2638" s="2" t="s">
        <v>975</v>
      </c>
      <c r="E2638" s="2" t="s">
        <v>40</v>
      </c>
      <c r="F2638" t="s">
        <v>30</v>
      </c>
      <c r="N2638" s="2" t="s">
        <v>18</v>
      </c>
      <c r="O2638" s="2" t="s">
        <v>19</v>
      </c>
      <c r="P2638" s="2">
        <v>12000000</v>
      </c>
      <c r="Q2638" s="2">
        <v>6.3</v>
      </c>
      <c r="R2638" s="2" t="s">
        <v>5138</v>
      </c>
      <c r="S2638" s="2"/>
      <c r="AC2638" s="2"/>
      <c r="AD2638" t="str">
        <f>IFERROR(__xludf.DUMMYFUNCTION("""COMPUTED_VALUE"""),"The Last Godfather ")</f>
        <v>The Last Godfather </v>
      </c>
      <c r="AE2638">
        <f t="shared" si="70"/>
        <v>163491</v>
      </c>
    </row>
    <row r="2639" customHeight="1" spans="1:31">
      <c r="A2639" s="2" t="s">
        <v>1164</v>
      </c>
      <c r="B2639" s="2">
        <v>93</v>
      </c>
      <c r="C2639" s="2">
        <v>27829874</v>
      </c>
      <c r="D2639" s="2" t="s">
        <v>150</v>
      </c>
      <c r="E2639" s="2" t="s">
        <v>12</v>
      </c>
      <c r="F2639" t="s">
        <v>30</v>
      </c>
      <c r="N2639" s="2" t="s">
        <v>18</v>
      </c>
      <c r="O2639" s="2" t="s">
        <v>19</v>
      </c>
      <c r="P2639" s="2">
        <v>12000000</v>
      </c>
      <c r="Q2639" s="2">
        <v>7</v>
      </c>
      <c r="R2639" s="2" t="s">
        <v>5139</v>
      </c>
      <c r="S2639" s="2"/>
      <c r="AC2639" s="2"/>
      <c r="AD2639" t="str">
        <f>IFERROR(__xludf.DUMMYFUNCTION("""COMPUTED_VALUE"""),"Justin Bieber: Never Say Never ")</f>
        <v>Justin Bieber: Never Say Never </v>
      </c>
      <c r="AE2639">
        <f t="shared" si="70"/>
        <v>73000827</v>
      </c>
    </row>
    <row r="2640" customHeight="1" spans="1:31">
      <c r="A2640" s="2" t="s">
        <v>1356</v>
      </c>
      <c r="B2640" s="2">
        <v>100</v>
      </c>
      <c r="C2640" s="2">
        <v>12902790</v>
      </c>
      <c r="D2640" s="2" t="s">
        <v>521</v>
      </c>
      <c r="E2640" s="2" t="s">
        <v>40</v>
      </c>
      <c r="F2640" t="s">
        <v>17</v>
      </c>
      <c r="N2640" s="2" t="s">
        <v>18</v>
      </c>
      <c r="O2640" s="2" t="s">
        <v>19</v>
      </c>
      <c r="P2640" s="2">
        <v>12000000</v>
      </c>
      <c r="Q2640" s="2">
        <v>6.6</v>
      </c>
      <c r="R2640" s="2" t="s">
        <v>5140</v>
      </c>
      <c r="S2640" s="2"/>
      <c r="AC2640" s="2"/>
      <c r="AD2640" t="str">
        <f>IFERROR(__xludf.DUMMYFUNCTION("""COMPUTED_VALUE"""),"Black Swan ")</f>
        <v>Black Swan </v>
      </c>
      <c r="AE2640">
        <f t="shared" si="70"/>
        <v>106952219</v>
      </c>
    </row>
    <row r="2641" customHeight="1" spans="1:31">
      <c r="A2641" s="2" t="s">
        <v>275</v>
      </c>
      <c r="B2641" s="2">
        <v>293</v>
      </c>
      <c r="C2641" s="2">
        <v>11433134</v>
      </c>
      <c r="D2641" s="2" t="s">
        <v>5141</v>
      </c>
      <c r="E2641" s="2" t="s">
        <v>13</v>
      </c>
      <c r="F2641" t="s">
        <v>17</v>
      </c>
      <c r="N2641" s="2" t="s">
        <v>4574</v>
      </c>
      <c r="O2641" s="2" t="s">
        <v>5142</v>
      </c>
      <c r="P2641" s="2">
        <v>14000000</v>
      </c>
      <c r="Q2641" s="2">
        <v>8.4</v>
      </c>
      <c r="R2641" s="2" t="s">
        <v>5143</v>
      </c>
      <c r="S2641" s="2"/>
      <c r="AC2641" s="2"/>
      <c r="AD2641" t="str">
        <f>IFERROR(__xludf.DUMMYFUNCTION("""COMPUTED_VALUE"""),"The Godfather: Part II ")</f>
        <v>The Godfather: Part II </v>
      </c>
      <c r="AE2641">
        <f t="shared" si="70"/>
        <v>57299780</v>
      </c>
    </row>
    <row r="2642" customHeight="1" spans="1:31">
      <c r="A2642" s="2" t="s">
        <v>2848</v>
      </c>
      <c r="B2642" s="2">
        <v>93</v>
      </c>
      <c r="C2642" s="2">
        <v>10198766</v>
      </c>
      <c r="D2642" s="2" t="s">
        <v>40</v>
      </c>
      <c r="E2642" s="2" t="s">
        <v>40</v>
      </c>
      <c r="F2642" t="s">
        <v>40</v>
      </c>
      <c r="N2642" s="2" t="s">
        <v>18</v>
      </c>
      <c r="O2642" s="2" t="s">
        <v>19</v>
      </c>
      <c r="P2642" s="2">
        <v>12000000</v>
      </c>
      <c r="Q2642" s="2">
        <v>5.4</v>
      </c>
      <c r="R2642" s="2" t="s">
        <v>5144</v>
      </c>
      <c r="S2642" s="2"/>
      <c r="AC2642" s="2"/>
      <c r="AD2642" t="str">
        <f>IFERROR(__xludf.DUMMYFUNCTION("""COMPUTED_VALUE"""),"Save the Last Dance ")</f>
        <v>Save the Last Dance </v>
      </c>
      <c r="AE2642">
        <f t="shared" si="70"/>
        <v>91038164</v>
      </c>
    </row>
    <row r="2643" customHeight="1" spans="1:31">
      <c r="A2643" s="2" t="s">
        <v>1397</v>
      </c>
      <c r="B2643" s="2">
        <v>123</v>
      </c>
      <c r="C2643" s="2">
        <v>15294553</v>
      </c>
      <c r="D2643" s="2" t="s">
        <v>266</v>
      </c>
      <c r="E2643" s="2" t="s">
        <v>30</v>
      </c>
      <c r="F2643" t="s">
        <v>40</v>
      </c>
      <c r="N2643" s="2" t="s">
        <v>18</v>
      </c>
      <c r="O2643" s="2" t="s">
        <v>31</v>
      </c>
      <c r="P2643" s="2">
        <v>12000000</v>
      </c>
      <c r="Q2643" s="2">
        <v>7.8</v>
      </c>
      <c r="R2643" s="2" t="s">
        <v>5145</v>
      </c>
      <c r="S2643" s="2"/>
      <c r="AC2643" s="2"/>
      <c r="AD2643" t="str">
        <f>IFERROR(__xludf.DUMMYFUNCTION("""COMPUTED_VALUE"""),"A Nightmare on Elm Street 4: The Dream Master ")</f>
        <v>A Nightmare on Elm Street 4: The Dream Master </v>
      </c>
      <c r="AE2643">
        <f t="shared" si="70"/>
        <v>49369801</v>
      </c>
    </row>
    <row r="2644" customHeight="1" spans="1:31">
      <c r="A2644" s="2" t="s">
        <v>673</v>
      </c>
      <c r="B2644" s="2">
        <v>119</v>
      </c>
      <c r="C2644" s="2">
        <v>11041228</v>
      </c>
      <c r="D2644" s="2" t="s">
        <v>101</v>
      </c>
      <c r="E2644" s="2" t="s">
        <v>12</v>
      </c>
      <c r="F2644" t="s">
        <v>56</v>
      </c>
      <c r="N2644" s="2" t="s">
        <v>722</v>
      </c>
      <c r="O2644" s="2" t="s">
        <v>343</v>
      </c>
      <c r="P2644" s="2">
        <v>100000000</v>
      </c>
      <c r="Q2644" s="2">
        <v>7.6</v>
      </c>
      <c r="R2644" s="2" t="s">
        <v>5146</v>
      </c>
      <c r="S2644" s="2"/>
      <c r="AC2644" s="2"/>
      <c r="AD2644" t="str">
        <f>IFERROR(__xludf.DUMMYFUNCTION("""COMPUTED_VALUE"""),"Miracles from Heaven ")</f>
        <v>Miracles from Heaven </v>
      </c>
      <c r="AE2644">
        <f t="shared" si="70"/>
        <v>61693414</v>
      </c>
    </row>
    <row r="2645" customHeight="1" spans="1:31">
      <c r="A2645" s="2" t="s">
        <v>2850</v>
      </c>
      <c r="B2645" s="2">
        <v>107</v>
      </c>
      <c r="C2645" s="2">
        <v>7918283</v>
      </c>
      <c r="D2645" s="2" t="s">
        <v>1655</v>
      </c>
      <c r="E2645" s="2" t="s">
        <v>30</v>
      </c>
      <c r="F2645" t="s">
        <v>30</v>
      </c>
      <c r="N2645" s="2" t="s">
        <v>18</v>
      </c>
      <c r="O2645" s="2" t="s">
        <v>19</v>
      </c>
      <c r="P2645" s="2">
        <v>12000000</v>
      </c>
      <c r="Q2645" s="2">
        <v>6.6</v>
      </c>
      <c r="R2645" s="2" t="s">
        <v>5147</v>
      </c>
      <c r="S2645" s="2"/>
      <c r="AC2645" s="2"/>
      <c r="AD2645" t="str">
        <f>IFERROR(__xludf.DUMMYFUNCTION("""COMPUTED_VALUE"""),"Dude, Where's My Car? ")</f>
        <v>Dude, Where's My Car? </v>
      </c>
      <c r="AE2645">
        <f t="shared" si="70"/>
        <v>46729291</v>
      </c>
    </row>
    <row r="2646" customHeight="1" spans="1:31">
      <c r="A2646" s="2" t="s">
        <v>2853</v>
      </c>
      <c r="B2646" s="2">
        <v>106</v>
      </c>
      <c r="C2646" s="2">
        <v>22331028</v>
      </c>
      <c r="D2646" s="2" t="s">
        <v>1154</v>
      </c>
      <c r="E2646" s="2" t="s">
        <v>15</v>
      </c>
      <c r="F2646" t="s">
        <v>30</v>
      </c>
      <c r="N2646" s="2" t="s">
        <v>18</v>
      </c>
      <c r="O2646" s="2" t="s">
        <v>19</v>
      </c>
      <c r="P2646" s="2">
        <v>12000000</v>
      </c>
      <c r="Q2646" s="2">
        <v>6.4</v>
      </c>
      <c r="R2646" s="2" t="s">
        <v>5148</v>
      </c>
      <c r="S2646" s="2"/>
      <c r="AC2646" s="2"/>
      <c r="AD2646" t="str">
        <f>IFERROR(__xludf.DUMMYFUNCTION("""COMPUTED_VALUE"""),"Young Guns ")</f>
        <v>Young Guns </v>
      </c>
      <c r="AE2646">
        <f t="shared" si="70"/>
        <v>44726537</v>
      </c>
    </row>
    <row r="2647" customHeight="1" spans="1:31">
      <c r="A2647" s="2" t="s">
        <v>2855</v>
      </c>
      <c r="B2647" s="2">
        <v>109</v>
      </c>
      <c r="C2647" s="2">
        <v>8134217</v>
      </c>
      <c r="D2647" s="2" t="s">
        <v>1747</v>
      </c>
      <c r="E2647" s="2" t="s">
        <v>59</v>
      </c>
      <c r="F2647" t="s">
        <v>40</v>
      </c>
      <c r="N2647" s="2" t="s">
        <v>18</v>
      </c>
      <c r="O2647" s="2" t="s">
        <v>19</v>
      </c>
      <c r="P2647" s="2">
        <v>12000000</v>
      </c>
      <c r="Q2647" s="2">
        <v>7</v>
      </c>
      <c r="R2647" s="2" t="s">
        <v>5149</v>
      </c>
      <c r="S2647" s="2"/>
      <c r="AC2647" s="2"/>
      <c r="AD2647" t="str">
        <f>IFERROR(__xludf.DUMMYFUNCTION("""COMPUTED_VALUE"""),"St. Vincent ")</f>
        <v>St. Vincent </v>
      </c>
      <c r="AE2647">
        <f t="shared" si="70"/>
        <v>44134796</v>
      </c>
    </row>
    <row r="2648" customHeight="1" spans="1:31">
      <c r="A2648" s="2" t="s">
        <v>2857</v>
      </c>
      <c r="B2648" s="2">
        <v>81</v>
      </c>
      <c r="C2648" s="2">
        <v>6982680</v>
      </c>
      <c r="D2648" s="2" t="s">
        <v>383</v>
      </c>
      <c r="E2648" s="2" t="s">
        <v>40</v>
      </c>
      <c r="F2648" t="s">
        <v>72</v>
      </c>
      <c r="N2648" s="2" t="s">
        <v>18</v>
      </c>
      <c r="O2648" s="2" t="s">
        <v>19</v>
      </c>
      <c r="P2648" s="2">
        <v>10000000</v>
      </c>
      <c r="Q2648" s="2">
        <v>5.7</v>
      </c>
      <c r="R2648" s="2" t="s">
        <v>5150</v>
      </c>
      <c r="S2648" s="2"/>
      <c r="AC2648" s="2"/>
      <c r="AD2648" t="str">
        <f>IFERROR(__xludf.DUMMYFUNCTION("""COMPUTED_VALUE"""),"About Last Night ")</f>
        <v>About Last Night </v>
      </c>
      <c r="AE2648">
        <f t="shared" si="70"/>
        <v>48637584</v>
      </c>
    </row>
    <row r="2649" customHeight="1" spans="1:31">
      <c r="A2649" s="2" t="s">
        <v>2860</v>
      </c>
      <c r="B2649" s="2">
        <v>95</v>
      </c>
      <c r="C2649" s="2">
        <v>6739141</v>
      </c>
      <c r="D2649" s="2" t="s">
        <v>516</v>
      </c>
      <c r="E2649" s="2" t="s">
        <v>12</v>
      </c>
      <c r="F2649" t="s">
        <v>24</v>
      </c>
      <c r="N2649" s="2" t="s">
        <v>18</v>
      </c>
      <c r="O2649" s="2" t="s">
        <v>159</v>
      </c>
      <c r="P2649" s="2">
        <v>8000000</v>
      </c>
      <c r="Q2649" s="2">
        <v>5.9</v>
      </c>
      <c r="R2649" s="2" t="s">
        <v>5151</v>
      </c>
      <c r="S2649" s="2"/>
      <c r="AC2649" s="2"/>
      <c r="AD2649" t="str">
        <f>IFERROR(__xludf.DUMMYFUNCTION("""COMPUTED_VALUE"""),"10 Things I Hate About You ")</f>
        <v>10 Things I Hate About You </v>
      </c>
      <c r="AE2649">
        <f t="shared" si="70"/>
        <v>38176011</v>
      </c>
    </row>
    <row r="2650" customHeight="1" spans="1:31">
      <c r="A2650" s="2" t="s">
        <v>2862</v>
      </c>
      <c r="B2650" s="2">
        <v>86</v>
      </c>
      <c r="C2650" s="2">
        <v>5542025</v>
      </c>
      <c r="D2650" s="2" t="s">
        <v>40</v>
      </c>
      <c r="E2650" s="2" t="s">
        <v>40</v>
      </c>
      <c r="F2650" t="s">
        <v>56</v>
      </c>
      <c r="N2650" s="2" t="s">
        <v>18</v>
      </c>
      <c r="O2650" s="2" t="s">
        <v>19</v>
      </c>
      <c r="P2650" s="2">
        <v>12000000</v>
      </c>
      <c r="Q2650" s="2">
        <v>6.3</v>
      </c>
      <c r="R2650" s="2" t="s">
        <v>5152</v>
      </c>
      <c r="S2650" s="2"/>
      <c r="AC2650" s="2"/>
      <c r="AD2650" t="str">
        <f>IFERROR(__xludf.DUMMYFUNCTION("""COMPUTED_VALUE"""),"The New Guy ")</f>
        <v>The New Guy </v>
      </c>
      <c r="AE2650">
        <f t="shared" si="70"/>
        <v>28972095</v>
      </c>
    </row>
    <row r="2651" customHeight="1" spans="1:31">
      <c r="A2651" s="2" t="s">
        <v>1814</v>
      </c>
      <c r="B2651" s="2">
        <v>113</v>
      </c>
      <c r="C2651" s="2">
        <v>5032496</v>
      </c>
      <c r="D2651" s="2" t="s">
        <v>975</v>
      </c>
      <c r="E2651" s="2" t="s">
        <v>40</v>
      </c>
      <c r="F2651" t="s">
        <v>55</v>
      </c>
      <c r="N2651" s="2" t="s">
        <v>18</v>
      </c>
      <c r="O2651" s="2" t="s">
        <v>19</v>
      </c>
      <c r="P2651" s="2">
        <v>12000000</v>
      </c>
      <c r="Q2651" s="2">
        <v>6.3</v>
      </c>
      <c r="R2651" s="2" t="s">
        <v>5153</v>
      </c>
      <c r="S2651" s="2"/>
      <c r="AC2651" s="2"/>
      <c r="AD2651" t="str">
        <f>IFERROR(__xludf.DUMMYFUNCTION("""COMPUTED_VALUE"""),"Loaded Weapon 1 ")</f>
        <v>Loaded Weapon 1 </v>
      </c>
      <c r="AE2651">
        <f t="shared" si="70"/>
        <v>27979316</v>
      </c>
    </row>
    <row r="2652" customHeight="1" spans="1:31">
      <c r="A2652" s="2" t="s">
        <v>1057</v>
      </c>
      <c r="B2652" s="2">
        <v>122</v>
      </c>
      <c r="C2652" s="2">
        <v>6754898</v>
      </c>
      <c r="D2652" s="2" t="s">
        <v>975</v>
      </c>
      <c r="E2652" s="2" t="s">
        <v>40</v>
      </c>
      <c r="F2652" t="s">
        <v>30</v>
      </c>
      <c r="N2652" s="2" t="s">
        <v>18</v>
      </c>
      <c r="O2652" s="2" t="s">
        <v>19</v>
      </c>
      <c r="P2652" s="2">
        <v>12000000</v>
      </c>
      <c r="Q2652" s="2">
        <v>6.2</v>
      </c>
      <c r="R2652" s="2" t="s">
        <v>5154</v>
      </c>
      <c r="S2652" s="2"/>
      <c r="AC2652" s="2"/>
      <c r="AD2652" t="str">
        <f>IFERROR(__xludf.DUMMYFUNCTION("""COMPUTED_VALUE"""),"The Shallows ")</f>
        <v>The Shallows </v>
      </c>
      <c r="AE2652">
        <f t="shared" si="70"/>
        <v>54257347</v>
      </c>
    </row>
    <row r="2653" customHeight="1" spans="1:31">
      <c r="A2653" s="2" t="s">
        <v>2509</v>
      </c>
      <c r="B2653" s="2">
        <v>90</v>
      </c>
      <c r="C2653" s="2">
        <v>4922166</v>
      </c>
      <c r="D2653" s="2" t="s">
        <v>4512</v>
      </c>
      <c r="E2653" s="2" t="s">
        <v>40</v>
      </c>
      <c r="F2653" t="s">
        <v>17</v>
      </c>
      <c r="N2653" s="2" t="s">
        <v>18</v>
      </c>
      <c r="O2653" s="2" t="s">
        <v>19</v>
      </c>
      <c r="P2653" s="2">
        <v>12000000</v>
      </c>
      <c r="Q2653" s="2">
        <v>2.1</v>
      </c>
      <c r="R2653" s="2" t="s">
        <v>5155</v>
      </c>
      <c r="S2653" s="2"/>
      <c r="AC2653" s="2"/>
      <c r="AD2653" t="str">
        <f>IFERROR(__xludf.DUMMYFUNCTION("""COMPUTED_VALUE"""),"The Butterfly Effect ")</f>
        <v>The Butterfly Effect </v>
      </c>
      <c r="AE2653">
        <f t="shared" si="70"/>
        <v>23827</v>
      </c>
    </row>
    <row r="2654" customHeight="1" spans="1:31">
      <c r="A2654" s="2" t="s">
        <v>1259</v>
      </c>
      <c r="B2654" s="2">
        <v>108</v>
      </c>
      <c r="C2654" s="2">
        <v>4903000</v>
      </c>
      <c r="D2654" s="2" t="s">
        <v>975</v>
      </c>
      <c r="E2654" s="2" t="s">
        <v>40</v>
      </c>
      <c r="F2654" t="s">
        <v>30</v>
      </c>
      <c r="N2654" s="2" t="s">
        <v>18</v>
      </c>
      <c r="O2654" s="2" t="s">
        <v>19</v>
      </c>
      <c r="P2654" s="2">
        <v>12000000</v>
      </c>
      <c r="Q2654" s="2">
        <v>5</v>
      </c>
      <c r="R2654" s="2" t="s">
        <v>5156</v>
      </c>
      <c r="S2654" s="2"/>
      <c r="AC2654" s="2"/>
      <c r="AD2654" t="str">
        <f>IFERROR(__xludf.DUMMYFUNCTION("""COMPUTED_VALUE"""),"Snow Day ")</f>
        <v>Snow Day </v>
      </c>
      <c r="AE2654">
        <f t="shared" si="70"/>
        <v>60008214</v>
      </c>
    </row>
    <row r="2655" customHeight="1" spans="1:31">
      <c r="A2655" s="2" t="s">
        <v>2865</v>
      </c>
      <c r="B2655" s="2">
        <v>113</v>
      </c>
      <c r="C2655" s="2">
        <v>4717455</v>
      </c>
      <c r="D2655" s="2" t="s">
        <v>328</v>
      </c>
      <c r="E2655" s="2" t="s">
        <v>28</v>
      </c>
      <c r="F2655" t="s">
        <v>17</v>
      </c>
      <c r="N2655" s="2" t="s">
        <v>18</v>
      </c>
      <c r="O2655" s="2" t="s">
        <v>159</v>
      </c>
      <c r="P2655" s="2">
        <v>12000000</v>
      </c>
      <c r="Q2655" s="2">
        <v>5.3</v>
      </c>
      <c r="R2655" s="2" t="s">
        <v>5157</v>
      </c>
      <c r="S2655" s="2"/>
      <c r="AC2655" s="2"/>
      <c r="AD2655" t="str">
        <f>IFERROR(__xludf.DUMMYFUNCTION("""COMPUTED_VALUE"""),"This Christmas ")</f>
        <v>This Christmas </v>
      </c>
      <c r="AE2655">
        <f t="shared" si="70"/>
        <v>49121817</v>
      </c>
    </row>
    <row r="2656" customHeight="1" spans="1:31">
      <c r="A2656" s="2" t="s">
        <v>1938</v>
      </c>
      <c r="B2656" s="2">
        <v>110</v>
      </c>
      <c r="C2656" s="2">
        <v>3148482</v>
      </c>
      <c r="D2656" s="2" t="s">
        <v>103</v>
      </c>
      <c r="E2656" s="2" t="s">
        <v>30</v>
      </c>
      <c r="F2656" t="s">
        <v>28</v>
      </c>
      <c r="N2656" s="2" t="s">
        <v>18</v>
      </c>
      <c r="O2656" s="2" t="s">
        <v>19</v>
      </c>
      <c r="P2656" s="2">
        <v>12000000</v>
      </c>
      <c r="Q2656" s="2">
        <v>7.1</v>
      </c>
      <c r="R2656" s="2" t="s">
        <v>5158</v>
      </c>
      <c r="S2656" s="2"/>
      <c r="AC2656" s="2"/>
      <c r="AD2656" t="str">
        <f>IFERROR(__xludf.DUMMYFUNCTION("""COMPUTED_VALUE"""),"Baby Geniuses ")</f>
        <v>Baby Geniuses </v>
      </c>
      <c r="AE2656">
        <f t="shared" si="70"/>
        <v>27141862</v>
      </c>
    </row>
    <row r="2657" customHeight="1" spans="1:31">
      <c r="A2657" s="2" t="s">
        <v>2867</v>
      </c>
      <c r="B2657" s="2">
        <v>109</v>
      </c>
      <c r="C2657" s="2">
        <v>2326407</v>
      </c>
      <c r="D2657" s="2" t="s">
        <v>30</v>
      </c>
      <c r="E2657" s="2" t="s">
        <v>30</v>
      </c>
      <c r="F2657" t="s">
        <v>30</v>
      </c>
      <c r="N2657" s="2" t="s">
        <v>18</v>
      </c>
      <c r="O2657" s="2" t="s">
        <v>31</v>
      </c>
      <c r="P2657" s="2">
        <v>12000000</v>
      </c>
      <c r="Q2657" s="2">
        <v>7</v>
      </c>
      <c r="R2657" s="2" t="s">
        <v>5159</v>
      </c>
      <c r="S2657" s="2"/>
      <c r="AC2657" s="2"/>
      <c r="AD2657" t="str">
        <f>IFERROR(__xludf.DUMMYFUNCTION("""COMPUTED_VALUE"""),"The Big Hit ")</f>
        <v>The Big Hit </v>
      </c>
      <c r="AE2657">
        <f t="shared" si="70"/>
        <v>27052076</v>
      </c>
    </row>
    <row r="2658" customHeight="1" spans="1:31">
      <c r="A2658" s="2" t="s">
        <v>1595</v>
      </c>
      <c r="B2658" s="2">
        <v>110</v>
      </c>
      <c r="C2658" s="2">
        <v>2201412</v>
      </c>
      <c r="D2658" s="2" t="s">
        <v>5160</v>
      </c>
      <c r="E2658" s="2" t="s">
        <v>40</v>
      </c>
      <c r="F2658" t="s">
        <v>30</v>
      </c>
      <c r="N2658" s="2" t="s">
        <v>5086</v>
      </c>
      <c r="O2658" s="2" t="s">
        <v>2880</v>
      </c>
      <c r="P2658" s="2">
        <v>12215500000</v>
      </c>
      <c r="Q2658" s="2">
        <v>7</v>
      </c>
      <c r="R2658" s="2" t="s">
        <v>2202</v>
      </c>
      <c r="S2658" s="2"/>
      <c r="AC2658" s="2"/>
      <c r="AD2658" t="str">
        <f>IFERROR(__xludf.DUMMYFUNCTION("""COMPUTED_VALUE"""),"Harriet the Spy ")</f>
        <v>Harriet the Spy </v>
      </c>
      <c r="AE2658">
        <f t="shared" si="70"/>
        <v>26539221</v>
      </c>
    </row>
    <row r="2659" customHeight="1" spans="1:31">
      <c r="A2659" s="2" t="s">
        <v>2869</v>
      </c>
      <c r="B2659" s="2">
        <v>101</v>
      </c>
      <c r="C2659" s="2">
        <v>2060953</v>
      </c>
      <c r="D2659" s="2" t="s">
        <v>4101</v>
      </c>
      <c r="E2659" s="2" t="s">
        <v>14</v>
      </c>
      <c r="F2659" t="s">
        <v>13</v>
      </c>
      <c r="N2659" s="2" t="s">
        <v>18</v>
      </c>
      <c r="O2659" s="2" t="s">
        <v>2287</v>
      </c>
      <c r="P2659" s="2">
        <v>12000000</v>
      </c>
      <c r="Q2659" s="2">
        <v>7.1</v>
      </c>
      <c r="R2659" s="2" t="s">
        <v>5161</v>
      </c>
      <c r="S2659" s="2"/>
      <c r="AC2659" s="2"/>
      <c r="AD2659" t="str">
        <f>IFERROR(__xludf.DUMMYFUNCTION("""COMPUTED_VALUE"""),"Child's Play 2 ")</f>
        <v>Child's Play 2 </v>
      </c>
      <c r="AE2659">
        <f t="shared" si="70"/>
        <v>28501533</v>
      </c>
    </row>
    <row r="2660" customHeight="1" spans="1:31">
      <c r="A2660" s="2" t="s">
        <v>2872</v>
      </c>
      <c r="B2660" s="2">
        <v>97</v>
      </c>
      <c r="C2660" s="2">
        <v>3950294</v>
      </c>
      <c r="D2660" s="2" t="s">
        <v>521</v>
      </c>
      <c r="E2660" s="2" t="s">
        <v>40</v>
      </c>
      <c r="F2660" t="s">
        <v>17</v>
      </c>
      <c r="N2660" s="2" t="s">
        <v>18</v>
      </c>
      <c r="O2660" s="2" t="s">
        <v>19</v>
      </c>
      <c r="P2660" s="2">
        <v>12000000</v>
      </c>
      <c r="Q2660" s="2">
        <v>7</v>
      </c>
      <c r="R2660" s="2" t="s">
        <v>5162</v>
      </c>
      <c r="S2660" s="2"/>
      <c r="AC2660" s="2"/>
      <c r="AD2660" t="str">
        <f>IFERROR(__xludf.DUMMYFUNCTION("""COMPUTED_VALUE"""),"No Good Deed ")</f>
        <v>No Good Deed </v>
      </c>
      <c r="AE2660">
        <f t="shared" si="70"/>
        <v>52543548</v>
      </c>
    </row>
    <row r="2661" customHeight="1" spans="1:31">
      <c r="A2661" s="2" t="s">
        <v>2874</v>
      </c>
      <c r="B2661" s="2">
        <v>172</v>
      </c>
      <c r="C2661" s="2">
        <v>2835886</v>
      </c>
      <c r="D2661" s="2" t="s">
        <v>30</v>
      </c>
      <c r="E2661" s="2" t="s">
        <v>30</v>
      </c>
      <c r="F2661" t="s">
        <v>13</v>
      </c>
      <c r="N2661" s="2" t="s">
        <v>4119</v>
      </c>
      <c r="O2661" s="2" t="s">
        <v>3655</v>
      </c>
      <c r="P2661" s="2">
        <v>9200000</v>
      </c>
      <c r="Q2661" s="2">
        <v>7.7</v>
      </c>
      <c r="R2661" s="2" t="s">
        <v>5163</v>
      </c>
      <c r="S2661" s="2"/>
      <c r="AC2661" s="2"/>
      <c r="AD2661" t="str">
        <f>IFERROR(__xludf.DUMMYFUNCTION("""COMPUTED_VALUE"""),"The Mist ")</f>
        <v>The Mist </v>
      </c>
      <c r="AE2661">
        <f t="shared" si="70"/>
        <v>25592506</v>
      </c>
    </row>
    <row r="2662" customHeight="1" spans="1:31">
      <c r="A2662" s="2" t="s">
        <v>2876</v>
      </c>
      <c r="B2662" s="2">
        <v>104</v>
      </c>
      <c r="C2662" s="2">
        <v>1779284</v>
      </c>
      <c r="D2662" s="2" t="s">
        <v>975</v>
      </c>
      <c r="E2662" s="2" t="s">
        <v>40</v>
      </c>
      <c r="F2662" t="s">
        <v>17</v>
      </c>
      <c r="N2662" s="2" t="s">
        <v>18</v>
      </c>
      <c r="O2662" s="2" t="s">
        <v>19</v>
      </c>
      <c r="P2662" s="2">
        <v>12000000</v>
      </c>
      <c r="Q2662" s="2">
        <v>7.1</v>
      </c>
      <c r="R2662" s="2" t="s">
        <v>5164</v>
      </c>
      <c r="S2662" s="2"/>
      <c r="AC2662" s="2"/>
      <c r="AD2662" t="str">
        <f>IFERROR(__xludf.DUMMYFUNCTION("""COMPUTED_VALUE"""),"Ex Machina ")</f>
        <v>Ex Machina </v>
      </c>
      <c r="AE2662">
        <f t="shared" si="70"/>
        <v>25440863</v>
      </c>
    </row>
    <row r="2663" customHeight="1" spans="1:31">
      <c r="A2663" s="2" t="s">
        <v>2879</v>
      </c>
      <c r="B2663" s="2">
        <v>99</v>
      </c>
      <c r="C2663" s="2">
        <v>1702277</v>
      </c>
      <c r="D2663" s="2" t="s">
        <v>1655</v>
      </c>
      <c r="E2663" s="2" t="s">
        <v>30</v>
      </c>
      <c r="F2663" t="s">
        <v>24</v>
      </c>
      <c r="N2663" s="2" t="s">
        <v>18</v>
      </c>
      <c r="O2663" s="2" t="s">
        <v>31</v>
      </c>
      <c r="P2663" s="2">
        <v>12000000</v>
      </c>
      <c r="Q2663" s="2">
        <v>6.8</v>
      </c>
      <c r="R2663" s="2" t="s">
        <v>5165</v>
      </c>
      <c r="S2663" s="2"/>
      <c r="AC2663" s="2"/>
      <c r="AD2663" t="str">
        <f>IFERROR(__xludf.DUMMYFUNCTION("""COMPUTED_VALUE"""),"Being John Malkovich ")</f>
        <v>Being John Malkovich </v>
      </c>
      <c r="AE2663">
        <f t="shared" si="70"/>
        <v>22858814</v>
      </c>
    </row>
    <row r="2664" customHeight="1" spans="1:31">
      <c r="A2664" s="2" t="s">
        <v>1605</v>
      </c>
      <c r="B2664" s="2">
        <v>129</v>
      </c>
      <c r="C2664" s="2">
        <v>261481</v>
      </c>
      <c r="D2664" s="2" t="s">
        <v>4041</v>
      </c>
      <c r="E2664" s="2" t="s">
        <v>30</v>
      </c>
      <c r="F2664" t="s">
        <v>13</v>
      </c>
      <c r="N2664" s="2" t="s">
        <v>3028</v>
      </c>
      <c r="O2664" s="2" t="s">
        <v>1554</v>
      </c>
      <c r="P2664" s="2">
        <v>12000000</v>
      </c>
      <c r="Q2664" s="2">
        <v>7.5</v>
      </c>
      <c r="R2664" s="2" t="s">
        <v>5166</v>
      </c>
      <c r="S2664" s="2"/>
      <c r="AC2664" s="2"/>
      <c r="AD2664" t="str">
        <f>IFERROR(__xludf.DUMMYFUNCTION("""COMPUTED_VALUE"""),"Two Can Play That Game ")</f>
        <v>Two Can Play That Game </v>
      </c>
      <c r="AE2664">
        <f t="shared" si="70"/>
        <v>22235811</v>
      </c>
    </row>
    <row r="2665" customHeight="1" spans="1:31">
      <c r="A2665" s="2" t="s">
        <v>2882</v>
      </c>
      <c r="B2665" s="2">
        <v>91</v>
      </c>
      <c r="C2665" s="2">
        <v>1506998</v>
      </c>
      <c r="D2665" s="2" t="s">
        <v>5167</v>
      </c>
      <c r="E2665" s="2" t="s">
        <v>56</v>
      </c>
      <c r="F2665" t="s">
        <v>29</v>
      </c>
      <c r="N2665" s="2" t="s">
        <v>18</v>
      </c>
      <c r="O2665" s="2" t="s">
        <v>19</v>
      </c>
      <c r="P2665" s="2">
        <v>12000000</v>
      </c>
      <c r="Q2665" s="2">
        <v>6.3</v>
      </c>
      <c r="R2665" s="2" t="s">
        <v>5168</v>
      </c>
      <c r="S2665" s="2"/>
      <c r="AC2665" s="2"/>
      <c r="AD2665" t="str">
        <f>IFERROR(__xludf.DUMMYFUNCTION("""COMPUTED_VALUE"""),"Earth to Echo ")</f>
        <v>Earth to Echo </v>
      </c>
      <c r="AE2665">
        <f t="shared" si="70"/>
        <v>38916812</v>
      </c>
    </row>
    <row r="2666" customHeight="1" spans="1:31">
      <c r="A2666" s="2" t="s">
        <v>2885</v>
      </c>
      <c r="B2666" s="2">
        <v>100</v>
      </c>
      <c r="C2666" s="2">
        <v>860002</v>
      </c>
      <c r="D2666" s="2" t="s">
        <v>1297</v>
      </c>
      <c r="E2666" s="2" t="s">
        <v>13</v>
      </c>
      <c r="F2666" t="s">
        <v>30</v>
      </c>
      <c r="N2666" s="2" t="s">
        <v>18</v>
      </c>
      <c r="O2666" s="2" t="s">
        <v>19</v>
      </c>
      <c r="P2666" s="2">
        <v>12000000</v>
      </c>
      <c r="Q2666" s="2">
        <v>7.3</v>
      </c>
      <c r="R2666" s="2" t="s">
        <v>5169</v>
      </c>
      <c r="S2666" s="2"/>
      <c r="AC2666" s="2"/>
      <c r="AD2666" t="str">
        <f>IFERROR(__xludf.DUMMYFUNCTION("""COMPUTED_VALUE"""),"Crazy/Beautiful ")</f>
        <v>Crazy/Beautiful </v>
      </c>
      <c r="AE2666">
        <f t="shared" si="70"/>
        <v>16928988</v>
      </c>
    </row>
    <row r="2667" customHeight="1" spans="1:31">
      <c r="A2667" s="2" t="s">
        <v>1255</v>
      </c>
      <c r="B2667" s="2">
        <v>111</v>
      </c>
      <c r="C2667" s="2">
        <v>548934</v>
      </c>
      <c r="D2667" s="2" t="s">
        <v>1543</v>
      </c>
      <c r="E2667" s="2" t="s">
        <v>30</v>
      </c>
      <c r="F2667" t="s">
        <v>15</v>
      </c>
      <c r="N2667" s="2" t="s">
        <v>18</v>
      </c>
      <c r="O2667" s="2" t="s">
        <v>3349</v>
      </c>
      <c r="P2667" s="2">
        <v>12000000</v>
      </c>
      <c r="Q2667" s="2">
        <v>6.8</v>
      </c>
      <c r="R2667" s="2" t="s">
        <v>5170</v>
      </c>
      <c r="S2667" s="2"/>
      <c r="AC2667" s="2"/>
      <c r="AD2667" t="str">
        <f>IFERROR(__xludf.DUMMYFUNCTION("""COMPUTED_VALUE"""),"Letters from Iwo Jima ")</f>
        <v>Letters from Iwo Jima </v>
      </c>
      <c r="AE2667">
        <f t="shared" si="70"/>
        <v>13753790</v>
      </c>
    </row>
    <row r="2668" customHeight="1" spans="1:31">
      <c r="A2668" s="2" t="s">
        <v>2890</v>
      </c>
      <c r="B2668" s="2">
        <v>114</v>
      </c>
      <c r="C2668" s="2">
        <v>447750</v>
      </c>
      <c r="D2668" s="2" t="s">
        <v>805</v>
      </c>
      <c r="E2668" s="2" t="s">
        <v>56</v>
      </c>
      <c r="F2668" t="s">
        <v>17</v>
      </c>
      <c r="N2668" s="2" t="s">
        <v>18</v>
      </c>
      <c r="O2668" s="2" t="s">
        <v>19</v>
      </c>
      <c r="P2668" s="2">
        <v>10000000</v>
      </c>
      <c r="Q2668" s="2">
        <v>7.2</v>
      </c>
      <c r="R2668" s="2" t="s">
        <v>5171</v>
      </c>
      <c r="S2668" s="2"/>
      <c r="AC2668" s="2"/>
      <c r="AD2668" t="str">
        <f>IFERROR(__xludf.DUMMYFUNCTION("""COMPUTED_VALUE"""),"The Astronaut Farmer ")</f>
        <v>The Astronaut Farmer </v>
      </c>
      <c r="AE2668">
        <f t="shared" si="70"/>
        <v>10996336</v>
      </c>
    </row>
    <row r="2669" customHeight="1" spans="1:31">
      <c r="A2669" s="2" t="s">
        <v>105</v>
      </c>
      <c r="B2669" s="2">
        <v>86</v>
      </c>
      <c r="C2669" s="2">
        <v>333976</v>
      </c>
      <c r="D2669" s="2" t="s">
        <v>383</v>
      </c>
      <c r="E2669" s="2" t="s">
        <v>40</v>
      </c>
      <c r="F2669" t="s">
        <v>15</v>
      </c>
      <c r="N2669" s="2" t="s">
        <v>18</v>
      </c>
      <c r="O2669" s="2" t="s">
        <v>19</v>
      </c>
      <c r="P2669" s="2">
        <v>12000000</v>
      </c>
      <c r="Q2669" s="2">
        <v>6.4</v>
      </c>
      <c r="R2669" s="2" t="s">
        <v>5172</v>
      </c>
      <c r="S2669" s="2"/>
      <c r="AC2669" s="2"/>
      <c r="AD2669" t="str">
        <f>IFERROR(__xludf.DUMMYFUNCTION("""COMPUTED_VALUE"""),"Woo ")</f>
        <v>Woo </v>
      </c>
      <c r="AE2669">
        <f t="shared" si="70"/>
        <v>8026887</v>
      </c>
    </row>
    <row r="2670" customHeight="1" spans="1:31">
      <c r="A2670" s="2" t="s">
        <v>2122</v>
      </c>
      <c r="B2670" s="2">
        <v>107</v>
      </c>
      <c r="C2670" s="2">
        <v>141853</v>
      </c>
      <c r="D2670" s="2" t="s">
        <v>975</v>
      </c>
      <c r="E2670" s="2" t="s">
        <v>40</v>
      </c>
      <c r="F2670" t="s">
        <v>24</v>
      </c>
      <c r="N2670" s="2" t="s">
        <v>18</v>
      </c>
      <c r="O2670" s="2" t="s">
        <v>159</v>
      </c>
      <c r="P2670" s="2">
        <v>12000000</v>
      </c>
      <c r="Q2670" s="2">
        <v>6</v>
      </c>
      <c r="R2670" s="2" t="s">
        <v>5173</v>
      </c>
      <c r="S2670" s="2"/>
      <c r="AC2670" s="2"/>
      <c r="AD2670" t="str">
        <f>IFERROR(__xludf.DUMMYFUNCTION("""COMPUTED_VALUE"""),"Room ")</f>
        <v>Room </v>
      </c>
      <c r="AE2670">
        <f t="shared" si="70"/>
        <v>14677536</v>
      </c>
    </row>
    <row r="2671" customHeight="1" spans="1:31">
      <c r="A2671" s="2" t="s">
        <v>2491</v>
      </c>
      <c r="B2671" s="2">
        <v>90</v>
      </c>
      <c r="C2671" s="2">
        <v>303439</v>
      </c>
      <c r="D2671" s="2" t="s">
        <v>712</v>
      </c>
      <c r="E2671" s="2" t="s">
        <v>30</v>
      </c>
      <c r="F2671" t="s">
        <v>30</v>
      </c>
      <c r="N2671" s="2" t="s">
        <v>18</v>
      </c>
      <c r="O2671" s="2" t="s">
        <v>19</v>
      </c>
      <c r="P2671" s="2">
        <v>8000000</v>
      </c>
      <c r="Q2671" s="2">
        <v>6.4</v>
      </c>
      <c r="R2671" s="2" t="s">
        <v>5174</v>
      </c>
      <c r="S2671" s="2"/>
      <c r="AC2671" s="2"/>
      <c r="AD2671" t="str">
        <f>IFERROR(__xludf.DUMMYFUNCTION("""COMPUTED_VALUE"""),"Dirty Work ")</f>
        <v>Dirty Work </v>
      </c>
      <c r="AE2671">
        <f t="shared" si="70"/>
        <v>9975602</v>
      </c>
    </row>
    <row r="2672" customHeight="1" spans="1:31">
      <c r="A2672" s="2" t="s">
        <v>2893</v>
      </c>
      <c r="B2672" s="2">
        <v>120</v>
      </c>
      <c r="C2672" s="2">
        <v>214202</v>
      </c>
      <c r="D2672" s="2" t="s">
        <v>805</v>
      </c>
      <c r="E2672" s="2" t="s">
        <v>56</v>
      </c>
      <c r="F2672" t="s">
        <v>23</v>
      </c>
      <c r="N2672" s="2" t="s">
        <v>18</v>
      </c>
      <c r="O2672" s="2" t="s">
        <v>293</v>
      </c>
      <c r="P2672" s="2">
        <v>12000000</v>
      </c>
      <c r="Q2672" s="2">
        <v>7.5</v>
      </c>
      <c r="R2672" s="2" t="s">
        <v>5175</v>
      </c>
      <c r="S2672" s="2"/>
      <c r="AC2672" s="2"/>
      <c r="AD2672" t="str">
        <f>IFERROR(__xludf.DUMMYFUNCTION("""COMPUTED_VALUE"""),"Serial Mom ")</f>
        <v>Serial Mom </v>
      </c>
      <c r="AE2672">
        <f t="shared" si="70"/>
        <v>7881240</v>
      </c>
    </row>
    <row r="2673" customHeight="1" spans="1:31">
      <c r="A2673" s="2" t="s">
        <v>2896</v>
      </c>
      <c r="B2673" s="2">
        <v>134</v>
      </c>
      <c r="C2673" s="2">
        <v>195888</v>
      </c>
      <c r="D2673" s="2" t="s">
        <v>3062</v>
      </c>
      <c r="E2673" s="2" t="s">
        <v>30</v>
      </c>
      <c r="F2673" t="s">
        <v>13</v>
      </c>
      <c r="N2673" s="2" t="s">
        <v>5176</v>
      </c>
      <c r="O2673" s="2" t="s">
        <v>4445</v>
      </c>
      <c r="P2673" s="2">
        <v>2500000000</v>
      </c>
      <c r="Q2673" s="2">
        <v>7.1</v>
      </c>
      <c r="R2673" s="2" t="s">
        <v>5177</v>
      </c>
      <c r="S2673" s="2"/>
      <c r="AC2673" s="2"/>
      <c r="AD2673" t="str">
        <f>IFERROR(__xludf.DUMMYFUNCTION("""COMPUTED_VALUE"""),"Dick ")</f>
        <v>Dick </v>
      </c>
      <c r="AE2673">
        <f t="shared" si="70"/>
        <v>6241603</v>
      </c>
    </row>
    <row r="2674" customHeight="1" spans="1:31">
      <c r="A2674" s="2" t="s">
        <v>2898</v>
      </c>
      <c r="B2674" s="2">
        <v>110</v>
      </c>
      <c r="C2674" s="2">
        <v>175370</v>
      </c>
      <c r="D2674" s="2" t="s">
        <v>40</v>
      </c>
      <c r="E2674" s="2" t="s">
        <v>40</v>
      </c>
      <c r="F2674" t="s">
        <v>56</v>
      </c>
      <c r="N2674" s="2" t="s">
        <v>18</v>
      </c>
      <c r="O2674" s="2" t="s">
        <v>19</v>
      </c>
      <c r="P2674" s="2">
        <v>12000000</v>
      </c>
      <c r="Q2674" s="2">
        <v>4.6</v>
      </c>
      <c r="R2674" s="2" t="s">
        <v>5178</v>
      </c>
      <c r="S2674" s="2"/>
      <c r="AC2674" s="2"/>
      <c r="AD2674" t="str">
        <f>IFERROR(__xludf.DUMMYFUNCTION("""COMPUTED_VALUE"""),"Light It Up ")</f>
        <v>Light It Up </v>
      </c>
      <c r="AE2674">
        <f t="shared" si="70"/>
        <v>5871504</v>
      </c>
    </row>
    <row r="2675" customHeight="1" spans="1:31">
      <c r="A2675" s="2" t="s">
        <v>2901</v>
      </c>
      <c r="B2675" s="2">
        <v>132</v>
      </c>
      <c r="C2675" s="2">
        <v>119922</v>
      </c>
      <c r="D2675" s="2" t="s">
        <v>731</v>
      </c>
      <c r="E2675" s="2" t="s">
        <v>30</v>
      </c>
      <c r="F2675" t="s">
        <v>30</v>
      </c>
      <c r="N2675" s="2" t="s">
        <v>722</v>
      </c>
      <c r="O2675" s="2" t="s">
        <v>343</v>
      </c>
      <c r="P2675" s="2">
        <v>12000000</v>
      </c>
      <c r="Q2675" s="2">
        <v>7.7</v>
      </c>
      <c r="R2675" s="2" t="s">
        <v>5179</v>
      </c>
      <c r="S2675" s="2"/>
      <c r="AC2675" s="2"/>
      <c r="AD2675" t="str">
        <f>IFERROR(__xludf.DUMMYFUNCTION("""COMPUTED_VALUE"""),"54 ")</f>
        <v>54 </v>
      </c>
      <c r="AE2675">
        <f t="shared" si="70"/>
        <v>16574610</v>
      </c>
    </row>
    <row r="2676" customHeight="1" spans="1:31">
      <c r="A2676" s="2" t="s">
        <v>709</v>
      </c>
      <c r="B2676" s="2">
        <v>113</v>
      </c>
      <c r="C2676" s="2">
        <v>17149</v>
      </c>
      <c r="D2676" s="2" t="s">
        <v>536</v>
      </c>
      <c r="E2676" s="2" t="s">
        <v>12</v>
      </c>
      <c r="F2676" t="s">
        <v>72</v>
      </c>
      <c r="N2676" s="2" t="s">
        <v>18</v>
      </c>
      <c r="O2676" s="2" t="s">
        <v>5180</v>
      </c>
      <c r="P2676" s="2">
        <v>20000000</v>
      </c>
      <c r="Q2676" s="2">
        <v>5.6</v>
      </c>
      <c r="R2676" s="2" t="s">
        <v>5181</v>
      </c>
      <c r="S2676" s="2"/>
      <c r="AC2676" s="2"/>
      <c r="AD2676" t="str">
        <f>IFERROR(__xludf.DUMMYFUNCTION("""COMPUTED_VALUE"""),"Bubble Boy ")</f>
        <v>Bubble Boy </v>
      </c>
      <c r="AE2676">
        <f t="shared" si="70"/>
        <v>5002226</v>
      </c>
    </row>
    <row r="2677" customHeight="1" spans="1:31">
      <c r="A2677" s="2" t="s">
        <v>2903</v>
      </c>
      <c r="B2677" s="2">
        <v>111</v>
      </c>
      <c r="C2677" s="2">
        <v>14616</v>
      </c>
      <c r="D2677" s="2" t="s">
        <v>30</v>
      </c>
      <c r="E2677" s="2" t="s">
        <v>30</v>
      </c>
      <c r="F2677" t="s">
        <v>30</v>
      </c>
      <c r="N2677" s="2" t="s">
        <v>18</v>
      </c>
      <c r="O2677" s="2" t="s">
        <v>19</v>
      </c>
      <c r="P2677" s="2">
        <v>12000000</v>
      </c>
      <c r="Q2677" s="2">
        <v>7.5</v>
      </c>
      <c r="R2677" s="2" t="s">
        <v>5182</v>
      </c>
      <c r="S2677" s="2"/>
      <c r="AC2677" s="2"/>
      <c r="AD2677" t="str">
        <f>IFERROR(__xludf.DUMMYFUNCTION("""COMPUTED_VALUE"""),"Birthday Girl ")</f>
        <v>Birthday Girl </v>
      </c>
      <c r="AE2677">
        <f t="shared" si="70"/>
        <v>4919803</v>
      </c>
    </row>
    <row r="2678" customHeight="1" spans="1:31">
      <c r="A2678" s="2" t="s">
        <v>932</v>
      </c>
      <c r="B2678" s="2">
        <v>99</v>
      </c>
      <c r="C2678" s="2">
        <v>91443253</v>
      </c>
      <c r="D2678" s="2" t="s">
        <v>562</v>
      </c>
      <c r="E2678" s="2" t="s">
        <v>59</v>
      </c>
      <c r="F2678" t="s">
        <v>72</v>
      </c>
      <c r="N2678" s="2" t="s">
        <v>18</v>
      </c>
      <c r="O2678" s="2" t="s">
        <v>19</v>
      </c>
      <c r="P2678" s="2">
        <v>12000000</v>
      </c>
      <c r="Q2678" s="2">
        <v>5.8</v>
      </c>
      <c r="R2678" s="2" t="s">
        <v>5183</v>
      </c>
      <c r="S2678" s="2"/>
      <c r="AC2678" s="2"/>
      <c r="AD2678" t="str">
        <f>IFERROR(__xludf.DUMMYFUNCTION("""COMPUTED_VALUE"""),"21 &amp; Over ")</f>
        <v>21 &amp; Over </v>
      </c>
      <c r="AE2678">
        <f t="shared" si="70"/>
        <v>25675672</v>
      </c>
    </row>
    <row r="2679" customHeight="1" spans="1:31">
      <c r="A2679" s="2" t="s">
        <v>479</v>
      </c>
      <c r="B2679" s="2">
        <v>104</v>
      </c>
      <c r="C2679" s="2">
        <v>30093107</v>
      </c>
      <c r="D2679" s="2" t="s">
        <v>383</v>
      </c>
      <c r="E2679" s="2" t="s">
        <v>40</v>
      </c>
      <c r="F2679" t="s">
        <v>30</v>
      </c>
      <c r="N2679" s="2" t="s">
        <v>18</v>
      </c>
      <c r="O2679" s="2" t="s">
        <v>31</v>
      </c>
      <c r="P2679" s="2">
        <v>6000000</v>
      </c>
      <c r="Q2679" s="2">
        <v>8.3</v>
      </c>
      <c r="R2679" s="2" t="s">
        <v>5184</v>
      </c>
      <c r="S2679" s="2"/>
      <c r="AC2679" s="2"/>
      <c r="AD2679" t="str">
        <f>IFERROR(__xludf.DUMMYFUNCTION("""COMPUTED_VALUE"""),"Paris, je t'aime ")</f>
        <v>Paris, je t'aime </v>
      </c>
      <c r="AE2679">
        <f t="shared" ref="AE2679:AE2742" si="71">C2563-B2563</f>
        <v>4857256</v>
      </c>
    </row>
    <row r="2680" customHeight="1" spans="1:31">
      <c r="A2680" s="2" t="s">
        <v>2661</v>
      </c>
      <c r="B2680" s="2">
        <v>103</v>
      </c>
      <c r="C2680" s="2">
        <v>57469179</v>
      </c>
      <c r="D2680" s="2" t="s">
        <v>3112</v>
      </c>
      <c r="E2680" s="2" t="s">
        <v>14</v>
      </c>
      <c r="F2680" t="s">
        <v>40</v>
      </c>
      <c r="N2680" s="2" t="s">
        <v>18</v>
      </c>
      <c r="O2680" s="2" t="s">
        <v>19</v>
      </c>
      <c r="P2680" s="2">
        <v>11500000</v>
      </c>
      <c r="Q2680" s="2">
        <v>6.6</v>
      </c>
      <c r="R2680" s="2" t="s">
        <v>5185</v>
      </c>
      <c r="S2680" s="2"/>
      <c r="AC2680" s="2"/>
      <c r="AD2680" t="str">
        <f>IFERROR(__xludf.DUMMYFUNCTION("""COMPUTED_VALUE"""),"Resurrecting the Champ ")</f>
        <v>Resurrecting the Champ </v>
      </c>
      <c r="AE2680">
        <f t="shared" si="71"/>
        <v>3169312</v>
      </c>
    </row>
    <row r="2681" customHeight="1" spans="1:31">
      <c r="A2681" s="2" t="s">
        <v>2905</v>
      </c>
      <c r="B2681" s="2">
        <v>134</v>
      </c>
      <c r="C2681" s="2">
        <v>48856</v>
      </c>
      <c r="D2681" s="2" t="s">
        <v>30</v>
      </c>
      <c r="E2681" s="2" t="s">
        <v>30</v>
      </c>
      <c r="F2681" t="s">
        <v>24</v>
      </c>
      <c r="N2681" s="2" t="s">
        <v>3256</v>
      </c>
      <c r="O2681" s="2" t="s">
        <v>1160</v>
      </c>
      <c r="P2681" s="2">
        <v>11900000</v>
      </c>
      <c r="Q2681" s="2">
        <v>7.5</v>
      </c>
      <c r="R2681" s="2" t="s">
        <v>5186</v>
      </c>
      <c r="S2681" s="2"/>
      <c r="AC2681" s="2"/>
      <c r="AD2681" t="str">
        <f>IFERROR(__xludf.DUMMYFUNCTION("""COMPUTED_VALUE"""),"Admission ")</f>
        <v>Admission </v>
      </c>
      <c r="AE2681">
        <f t="shared" si="71"/>
        <v>18004118</v>
      </c>
    </row>
    <row r="2682" customHeight="1" spans="1:31">
      <c r="A2682" s="2" t="s">
        <v>845</v>
      </c>
      <c r="B2682" s="2">
        <v>106</v>
      </c>
      <c r="C2682" s="2">
        <v>148170000</v>
      </c>
      <c r="D2682" s="2" t="s">
        <v>340</v>
      </c>
      <c r="E2682" s="2" t="s">
        <v>40</v>
      </c>
      <c r="F2682" t="s">
        <v>30</v>
      </c>
      <c r="N2682" s="2" t="s">
        <v>18</v>
      </c>
      <c r="O2682" s="2" t="s">
        <v>19</v>
      </c>
      <c r="P2682" s="2">
        <v>11000000</v>
      </c>
      <c r="Q2682" s="2">
        <v>7.2</v>
      </c>
      <c r="R2682" s="2" t="s">
        <v>5187</v>
      </c>
      <c r="S2682" s="2"/>
      <c r="AC2682" s="2"/>
      <c r="AD2682" t="str">
        <f>IFERROR(__xludf.DUMMYFUNCTION("""COMPUTED_VALUE"""),"The Widow of Saint-Pierre ")</f>
        <v>The Widow of Saint-Pierre </v>
      </c>
      <c r="AE2682">
        <f t="shared" si="71"/>
        <v>3058268</v>
      </c>
    </row>
    <row r="2683" customHeight="1" spans="1:31">
      <c r="A2683" s="2" t="s">
        <v>528</v>
      </c>
      <c r="B2683" s="2">
        <v>125</v>
      </c>
      <c r="C2683" s="2">
        <v>460935665</v>
      </c>
      <c r="D2683" s="2" t="s">
        <v>11</v>
      </c>
      <c r="E2683" s="2" t="s">
        <v>12</v>
      </c>
      <c r="F2683" t="s">
        <v>59</v>
      </c>
      <c r="N2683" s="2" t="s">
        <v>18</v>
      </c>
      <c r="O2683" s="2" t="s">
        <v>19</v>
      </c>
      <c r="P2683" s="2">
        <v>11000000</v>
      </c>
      <c r="Q2683" s="2">
        <v>8.7</v>
      </c>
      <c r="R2683" s="2" t="s">
        <v>5188</v>
      </c>
      <c r="S2683" s="2"/>
      <c r="AC2683" s="2"/>
      <c r="AD2683" t="str">
        <f>IFERROR(__xludf.DUMMYFUNCTION("""COMPUTED_VALUE"""),"Chloe ")</f>
        <v>Chloe </v>
      </c>
      <c r="AE2683">
        <f t="shared" si="71"/>
        <v>3074742</v>
      </c>
    </row>
    <row r="2684" customHeight="1" spans="1:31">
      <c r="A2684" s="2" t="s">
        <v>2907</v>
      </c>
      <c r="B2684" s="2">
        <v>109</v>
      </c>
      <c r="C2684" s="2">
        <v>35537564</v>
      </c>
      <c r="D2684" s="2" t="s">
        <v>40</v>
      </c>
      <c r="E2684" s="2" t="s">
        <v>40</v>
      </c>
      <c r="F2684" t="s">
        <v>56</v>
      </c>
      <c r="N2684" s="2" t="s">
        <v>18</v>
      </c>
      <c r="O2684" s="2" t="s">
        <v>19</v>
      </c>
      <c r="P2684" s="2">
        <v>11500000</v>
      </c>
      <c r="Q2684" s="2">
        <v>6</v>
      </c>
      <c r="R2684" s="2" t="s">
        <v>5189</v>
      </c>
      <c r="S2684" s="2"/>
      <c r="AC2684" s="2"/>
      <c r="AD2684" t="str">
        <f>IFERROR(__xludf.DUMMYFUNCTION("""COMPUTED_VALUE"""),"Faithful ")</f>
        <v>Faithful </v>
      </c>
      <c r="AE2684">
        <f t="shared" si="71"/>
        <v>2103909</v>
      </c>
    </row>
    <row r="2685" customHeight="1" spans="1:31">
      <c r="A2685" s="2" t="s">
        <v>1954</v>
      </c>
      <c r="B2685" s="2">
        <v>200</v>
      </c>
      <c r="C2685" s="2">
        <v>111722000</v>
      </c>
      <c r="D2685" s="2" t="s">
        <v>3062</v>
      </c>
      <c r="E2685" s="2" t="s">
        <v>30</v>
      </c>
      <c r="F2685" t="s">
        <v>30</v>
      </c>
      <c r="N2685" s="2" t="s">
        <v>18</v>
      </c>
      <c r="O2685" s="2" t="s">
        <v>19</v>
      </c>
      <c r="P2685" s="2">
        <v>11000000</v>
      </c>
      <c r="Q2685" s="2">
        <v>8</v>
      </c>
      <c r="R2685" s="2" t="s">
        <v>5190</v>
      </c>
      <c r="S2685" s="2"/>
      <c r="AC2685" s="2"/>
      <c r="AD2685" t="str">
        <f>IFERROR(__xludf.DUMMYFUNCTION("""COMPUTED_VALUE"""),"Find Me Guilty ")</f>
        <v>Find Me Guilty </v>
      </c>
      <c r="AE2685">
        <f t="shared" si="71"/>
        <v>1172644</v>
      </c>
    </row>
    <row r="2686" customHeight="1" spans="1:31">
      <c r="A2686" s="2" t="s">
        <v>1066</v>
      </c>
      <c r="B2686" s="2">
        <v>112</v>
      </c>
      <c r="C2686" s="2">
        <v>90556401</v>
      </c>
      <c r="D2686" s="2" t="s">
        <v>1186</v>
      </c>
      <c r="E2686" s="2" t="s">
        <v>40</v>
      </c>
      <c r="F2686" t="s">
        <v>30</v>
      </c>
      <c r="N2686" s="2" t="s">
        <v>18</v>
      </c>
      <c r="O2686" s="2" t="s">
        <v>19</v>
      </c>
      <c r="P2686" s="2">
        <v>11000000</v>
      </c>
      <c r="Q2686" s="2">
        <v>4.5</v>
      </c>
      <c r="R2686" s="2" t="s">
        <v>5191</v>
      </c>
      <c r="S2686" s="2"/>
      <c r="AC2686" s="2"/>
      <c r="AD2686" t="str">
        <f>IFERROR(__xludf.DUMMYFUNCTION("""COMPUTED_VALUE"""),"The Perks of Being a Wallflower ")</f>
        <v>The Perks of Being a Wallflower </v>
      </c>
      <c r="AE2686">
        <f t="shared" si="71"/>
        <v>17738468</v>
      </c>
    </row>
    <row r="2687" customHeight="1" spans="1:31">
      <c r="A2687" s="2" t="s">
        <v>1091</v>
      </c>
      <c r="B2687" s="2">
        <v>116</v>
      </c>
      <c r="C2687" s="2">
        <v>93571803</v>
      </c>
      <c r="D2687" s="2" t="s">
        <v>592</v>
      </c>
      <c r="E2687" s="2" t="s">
        <v>59</v>
      </c>
      <c r="F2687" t="s">
        <v>30</v>
      </c>
      <c r="N2687" s="2" t="s">
        <v>18</v>
      </c>
      <c r="O2687" s="2" t="s">
        <v>19</v>
      </c>
      <c r="P2687" s="2">
        <v>25000000</v>
      </c>
      <c r="Q2687" s="2">
        <v>7.9</v>
      </c>
      <c r="R2687" s="2" t="s">
        <v>5192</v>
      </c>
      <c r="S2687" s="2"/>
      <c r="AC2687" s="2"/>
      <c r="AD2687" t="str">
        <f>IFERROR(__xludf.DUMMYFUNCTION("""COMPUTED_VALUE"""),"Excessive Force ")</f>
        <v>Excessive Force </v>
      </c>
      <c r="AE2687">
        <f t="shared" si="71"/>
        <v>1199913</v>
      </c>
    </row>
    <row r="2688" customHeight="1" spans="1:31">
      <c r="A2688" s="2" t="s">
        <v>1601</v>
      </c>
      <c r="B2688" s="2">
        <v>120</v>
      </c>
      <c r="C2688" s="2">
        <v>52929168</v>
      </c>
      <c r="D2688" s="2" t="s">
        <v>383</v>
      </c>
      <c r="E2688" s="2" t="s">
        <v>40</v>
      </c>
      <c r="F2688" t="s">
        <v>83</v>
      </c>
      <c r="N2688" s="2" t="s">
        <v>18</v>
      </c>
      <c r="O2688" s="2" t="s">
        <v>19</v>
      </c>
      <c r="P2688" s="2">
        <v>11000000</v>
      </c>
      <c r="Q2688" s="2">
        <v>7.5</v>
      </c>
      <c r="R2688" s="2" t="s">
        <v>5193</v>
      </c>
      <c r="S2688" s="2"/>
      <c r="AC2688" s="2"/>
      <c r="AD2688" t="str">
        <f>IFERROR(__xludf.DUMMYFUNCTION("""COMPUTED_VALUE"""),"Infamous ")</f>
        <v>Infamous </v>
      </c>
      <c r="AE2688">
        <f t="shared" si="71"/>
        <v>1150285</v>
      </c>
    </row>
    <row r="2689" customHeight="1" spans="1:31">
      <c r="A2689" s="2" t="s">
        <v>2909</v>
      </c>
      <c r="B2689" s="2">
        <v>107</v>
      </c>
      <c r="C2689" s="2">
        <v>50461335</v>
      </c>
      <c r="D2689" s="2" t="s">
        <v>5194</v>
      </c>
      <c r="E2689" s="2" t="s">
        <v>30</v>
      </c>
      <c r="F2689" t="s">
        <v>83</v>
      </c>
      <c r="N2689" s="2" t="s">
        <v>18</v>
      </c>
      <c r="O2689" s="2" t="s">
        <v>19</v>
      </c>
      <c r="P2689" s="2">
        <v>11000000</v>
      </c>
      <c r="Q2689" s="2">
        <v>6.8</v>
      </c>
      <c r="R2689" s="2" t="s">
        <v>5195</v>
      </c>
      <c r="S2689" s="2"/>
      <c r="AC2689" s="2"/>
      <c r="AD2689" t="str">
        <f>IFERROR(__xludf.DUMMYFUNCTION("""COMPUTED_VALUE"""),"The Claim ")</f>
        <v>The Claim </v>
      </c>
      <c r="AE2689">
        <f t="shared" si="71"/>
        <v>403817</v>
      </c>
    </row>
    <row r="2690" customHeight="1" spans="1:31">
      <c r="A2690" s="2" t="s">
        <v>2911</v>
      </c>
      <c r="B2690" s="2">
        <v>107</v>
      </c>
      <c r="C2690" s="2">
        <v>49797148</v>
      </c>
      <c r="D2690" s="2" t="s">
        <v>1581</v>
      </c>
      <c r="E2690" s="2" t="s">
        <v>40</v>
      </c>
      <c r="F2690" t="s">
        <v>13</v>
      </c>
      <c r="N2690" s="2" t="s">
        <v>18</v>
      </c>
      <c r="O2690" s="2" t="s">
        <v>19</v>
      </c>
      <c r="P2690" s="2">
        <v>11000000</v>
      </c>
      <c r="Q2690" s="2">
        <v>7.2</v>
      </c>
      <c r="R2690" s="2" t="s">
        <v>5196</v>
      </c>
      <c r="S2690" s="2"/>
      <c r="AC2690" s="2"/>
      <c r="AD2690" t="str">
        <f>IFERROR(__xludf.DUMMYFUNCTION("""COMPUTED_VALUE"""),"The Vatican Tapes ")</f>
        <v>The Vatican Tapes </v>
      </c>
      <c r="AE2690">
        <f t="shared" si="71"/>
        <v>1712020</v>
      </c>
    </row>
    <row r="2691" customHeight="1" spans="1:31">
      <c r="A2691" s="2" t="s">
        <v>490</v>
      </c>
      <c r="B2691" s="2">
        <v>81</v>
      </c>
      <c r="C2691" s="2">
        <v>46563158</v>
      </c>
      <c r="D2691" s="2" t="s">
        <v>557</v>
      </c>
      <c r="E2691" s="2" t="s">
        <v>56</v>
      </c>
      <c r="F2691" t="s">
        <v>23</v>
      </c>
      <c r="N2691" s="2" t="s">
        <v>18</v>
      </c>
      <c r="O2691" s="2" t="s">
        <v>19</v>
      </c>
      <c r="P2691" s="2">
        <v>13000000</v>
      </c>
      <c r="Q2691" s="2">
        <v>7.1</v>
      </c>
      <c r="R2691" s="2" t="s">
        <v>5197</v>
      </c>
      <c r="S2691" s="2"/>
      <c r="AC2691" s="2"/>
      <c r="AD2691" t="str">
        <f>IFERROR(__xludf.DUMMYFUNCTION("""COMPUTED_VALUE"""),"Attack the Block ")</f>
        <v>Attack the Block </v>
      </c>
      <c r="AE2691">
        <f t="shared" si="71"/>
        <v>1024087</v>
      </c>
    </row>
    <row r="2692" customHeight="1" spans="1:31">
      <c r="A2692" s="2" t="s">
        <v>796</v>
      </c>
      <c r="B2692" s="2">
        <v>101</v>
      </c>
      <c r="C2692" s="2">
        <v>41227069</v>
      </c>
      <c r="D2692" s="2" t="s">
        <v>103</v>
      </c>
      <c r="E2692" s="2" t="s">
        <v>30</v>
      </c>
      <c r="F2692" t="s">
        <v>55</v>
      </c>
      <c r="N2692" s="2" t="s">
        <v>18</v>
      </c>
      <c r="O2692" s="2" t="s">
        <v>19</v>
      </c>
      <c r="P2692" s="2">
        <v>11000000</v>
      </c>
      <c r="Q2692" s="2">
        <v>7.4</v>
      </c>
      <c r="R2692" s="2" t="s">
        <v>5198</v>
      </c>
      <c r="S2692" s="2"/>
      <c r="AC2692" s="2"/>
      <c r="AD2692" t="str">
        <f>IFERROR(__xludf.DUMMYFUNCTION("""COMPUTED_VALUE"""),"In the Land of Blood and Honey ")</f>
        <v>In the Land of Blood and Honey </v>
      </c>
      <c r="AE2692">
        <f t="shared" si="71"/>
        <v>301178</v>
      </c>
    </row>
    <row r="2693" customHeight="1" spans="1:31">
      <c r="A2693" s="2" t="s">
        <v>1769</v>
      </c>
      <c r="B2693" s="2">
        <v>122</v>
      </c>
      <c r="C2693" s="2">
        <v>39025000</v>
      </c>
      <c r="D2693" s="2" t="s">
        <v>718</v>
      </c>
      <c r="E2693" s="2" t="s">
        <v>56</v>
      </c>
      <c r="F2693" t="s">
        <v>83</v>
      </c>
      <c r="N2693" s="2" t="s">
        <v>18</v>
      </c>
      <c r="O2693" s="2" t="s">
        <v>31</v>
      </c>
      <c r="P2693" s="2">
        <v>11000000</v>
      </c>
      <c r="Q2693" s="2">
        <v>7.6</v>
      </c>
      <c r="R2693" s="2" t="s">
        <v>5199</v>
      </c>
      <c r="S2693" s="2"/>
      <c r="AC2693" s="2"/>
      <c r="AD2693" t="str">
        <f>IFERROR(__xludf.DUMMYFUNCTION("""COMPUTED_VALUE"""),"The Call ")</f>
        <v>The Call </v>
      </c>
      <c r="AE2693">
        <f t="shared" si="71"/>
        <v>51872284</v>
      </c>
    </row>
    <row r="2694" customHeight="1" spans="1:31">
      <c r="A2694" s="2" t="s">
        <v>1455</v>
      </c>
      <c r="B2694" s="2">
        <v>97</v>
      </c>
      <c r="C2694" s="2">
        <v>38201895</v>
      </c>
      <c r="D2694" s="2" t="s">
        <v>103</v>
      </c>
      <c r="E2694" s="2" t="s">
        <v>30</v>
      </c>
      <c r="F2694" t="s">
        <v>40</v>
      </c>
      <c r="N2694" s="2" t="s">
        <v>18</v>
      </c>
      <c r="O2694" s="2" t="s">
        <v>19</v>
      </c>
      <c r="P2694" s="2">
        <v>10500000</v>
      </c>
      <c r="Q2694" s="2">
        <v>6.9</v>
      </c>
      <c r="R2694" s="2" t="s">
        <v>5200</v>
      </c>
      <c r="S2694" s="2"/>
      <c r="AC2694" s="2"/>
      <c r="AD2694" t="str">
        <f>IFERROR(__xludf.DUMMYFUNCTION("""COMPUTED_VALUE"""),"Operation Chromite ")</f>
        <v>Operation Chromite </v>
      </c>
      <c r="AE2694">
        <f t="shared" si="71"/>
        <v>31547</v>
      </c>
    </row>
    <row r="2695" customHeight="1" spans="1:31">
      <c r="A2695" s="2" t="s">
        <v>2449</v>
      </c>
      <c r="B2695" s="2">
        <v>92</v>
      </c>
      <c r="C2695" s="2">
        <v>27669413</v>
      </c>
      <c r="D2695" s="2" t="s">
        <v>2613</v>
      </c>
      <c r="E2695" s="2" t="s">
        <v>72</v>
      </c>
      <c r="F2695" t="s">
        <v>28</v>
      </c>
      <c r="N2695" s="2" t="s">
        <v>18</v>
      </c>
      <c r="O2695" s="2" t="s">
        <v>121</v>
      </c>
      <c r="P2695" s="2">
        <v>11000000</v>
      </c>
      <c r="Q2695" s="2">
        <v>6</v>
      </c>
      <c r="R2695" s="2" t="s">
        <v>5201</v>
      </c>
      <c r="S2695" s="2"/>
      <c r="AC2695" s="2"/>
      <c r="AD2695" t="str">
        <f>IFERROR(__xludf.DUMMYFUNCTION("""COMPUTED_VALUE"""),"The Crocodile Hunter: Collision Course ")</f>
        <v>The Crocodile Hunter: Collision Course </v>
      </c>
      <c r="AE2695">
        <f t="shared" si="71"/>
        <v>28399102</v>
      </c>
    </row>
    <row r="2696" customHeight="1" spans="1:31">
      <c r="A2696" s="2" t="s">
        <v>2586</v>
      </c>
      <c r="B2696" s="2">
        <v>110</v>
      </c>
      <c r="C2696" s="2">
        <v>37766350</v>
      </c>
      <c r="D2696" s="2" t="s">
        <v>30</v>
      </c>
      <c r="E2696" s="2" t="s">
        <v>30</v>
      </c>
      <c r="F2696" t="s">
        <v>56</v>
      </c>
      <c r="N2696" s="2" t="s">
        <v>18</v>
      </c>
      <c r="O2696" s="2" t="s">
        <v>19</v>
      </c>
      <c r="P2696" s="2">
        <v>11000000</v>
      </c>
      <c r="Q2696" s="2">
        <v>7.3</v>
      </c>
      <c r="R2696" s="2" t="s">
        <v>5202</v>
      </c>
      <c r="S2696" s="2"/>
      <c r="AC2696" s="2"/>
      <c r="AD2696" t="str">
        <f>IFERROR(__xludf.DUMMYFUNCTION("""COMPUTED_VALUE"""),"I Love You Phillip Morris ")</f>
        <v>I Love You Phillip Morris </v>
      </c>
      <c r="AE2696">
        <f t="shared" si="71"/>
        <v>2035464</v>
      </c>
    </row>
    <row r="2697" customHeight="1" spans="1:31">
      <c r="A2697" s="2" t="s">
        <v>2913</v>
      </c>
      <c r="B2697" s="2">
        <v>86</v>
      </c>
      <c r="C2697" s="2">
        <v>23978402</v>
      </c>
      <c r="D2697" s="2" t="s">
        <v>383</v>
      </c>
      <c r="E2697" s="2" t="s">
        <v>40</v>
      </c>
      <c r="F2697" t="s">
        <v>83</v>
      </c>
      <c r="N2697" s="2" t="s">
        <v>18</v>
      </c>
      <c r="O2697" s="2" t="s">
        <v>19</v>
      </c>
      <c r="P2697" s="2">
        <v>11000000</v>
      </c>
      <c r="Q2697" s="2">
        <v>4.6</v>
      </c>
      <c r="R2697" s="2" t="s">
        <v>5203</v>
      </c>
      <c r="S2697" s="2"/>
      <c r="AC2697" s="2"/>
      <c r="AD2697" t="str">
        <f>IFERROR(__xludf.DUMMYFUNCTION("""COMPUTED_VALUE"""),"Antwone Fisher ")</f>
        <v>Antwone Fisher </v>
      </c>
      <c r="AE2697">
        <f t="shared" si="71"/>
        <v>21078028</v>
      </c>
    </row>
    <row r="2698" customHeight="1" spans="1:31">
      <c r="A2698" s="2" t="s">
        <v>733</v>
      </c>
      <c r="B2698" s="2">
        <v>91</v>
      </c>
      <c r="C2698" s="2">
        <v>21370057</v>
      </c>
      <c r="D2698" s="2" t="s">
        <v>805</v>
      </c>
      <c r="E2698" s="2" t="s">
        <v>56</v>
      </c>
      <c r="F2698" t="s">
        <v>83</v>
      </c>
      <c r="N2698" s="2" t="s">
        <v>18</v>
      </c>
      <c r="O2698" s="2" t="s">
        <v>19</v>
      </c>
      <c r="P2698" s="2">
        <v>12000000</v>
      </c>
      <c r="Q2698" s="2">
        <v>6</v>
      </c>
      <c r="R2698" s="2" t="s">
        <v>5204</v>
      </c>
      <c r="S2698" s="2"/>
      <c r="AC2698" s="2"/>
      <c r="AD2698" t="str">
        <f>IFERROR(__xludf.DUMMYFUNCTION("""COMPUTED_VALUE"""),"The Emperor's Club ")</f>
        <v>The Emperor's Club </v>
      </c>
      <c r="AE2698">
        <f t="shared" si="71"/>
        <v>14060841</v>
      </c>
    </row>
    <row r="2699" customHeight="1" spans="1:31">
      <c r="A2699" s="2" t="s">
        <v>1666</v>
      </c>
      <c r="B2699" s="2">
        <v>100</v>
      </c>
      <c r="C2699" s="2">
        <v>4884663</v>
      </c>
      <c r="D2699" s="2" t="s">
        <v>4273</v>
      </c>
      <c r="E2699" s="2" t="s">
        <v>72</v>
      </c>
      <c r="F2699" t="s">
        <v>30</v>
      </c>
      <c r="N2699" s="2" t="s">
        <v>18</v>
      </c>
      <c r="O2699" s="2" t="s">
        <v>19</v>
      </c>
      <c r="P2699" s="2">
        <v>12000000</v>
      </c>
      <c r="Q2699" s="2">
        <v>5.5</v>
      </c>
      <c r="R2699" s="2" t="s">
        <v>5205</v>
      </c>
      <c r="S2699" s="2"/>
      <c r="AC2699" s="2"/>
      <c r="AD2699" t="str">
        <f>IFERROR(__xludf.DUMMYFUNCTION("""COMPUTED_VALUE"""),"True Romance ")</f>
        <v>True Romance </v>
      </c>
      <c r="AE2699">
        <f t="shared" si="71"/>
        <v>12281379</v>
      </c>
    </row>
    <row r="2700" customHeight="1" spans="1:31">
      <c r="A2700" s="2" t="s">
        <v>2915</v>
      </c>
      <c r="B2700" s="2">
        <v>111</v>
      </c>
      <c r="C2700" s="2">
        <v>38317535</v>
      </c>
      <c r="D2700" s="2" t="s">
        <v>103</v>
      </c>
      <c r="E2700" s="2" t="s">
        <v>30</v>
      </c>
      <c r="F2700" t="s">
        <v>83</v>
      </c>
      <c r="N2700" s="2" t="s">
        <v>18</v>
      </c>
      <c r="O2700" s="2" t="s">
        <v>31</v>
      </c>
      <c r="P2700" s="2">
        <v>11000000</v>
      </c>
      <c r="Q2700" s="2">
        <v>7.5</v>
      </c>
      <c r="R2700" s="2" t="s">
        <v>5206</v>
      </c>
      <c r="S2700" s="2"/>
      <c r="AC2700" s="2"/>
      <c r="AD2700" t="str">
        <f>IFERROR(__xludf.DUMMYFUNCTION("""COMPUTED_VALUE"""),"Glengarry Glen Ross ")</f>
        <v>Glengarry Glen Ross </v>
      </c>
      <c r="AE2700">
        <f t="shared" si="71"/>
        <v>10725128</v>
      </c>
    </row>
    <row r="2701" customHeight="1" spans="1:31">
      <c r="A2701" s="2" t="s">
        <v>2917</v>
      </c>
      <c r="B2701" s="2">
        <v>89</v>
      </c>
      <c r="C2701" s="2">
        <v>13903262</v>
      </c>
      <c r="D2701" s="2" t="s">
        <v>1581</v>
      </c>
      <c r="E2701" s="2" t="s">
        <v>40</v>
      </c>
      <c r="F2701" t="s">
        <v>30</v>
      </c>
      <c r="N2701" s="2" t="s">
        <v>18</v>
      </c>
      <c r="O2701" s="2" t="s">
        <v>19</v>
      </c>
      <c r="P2701" s="2">
        <v>11000000</v>
      </c>
      <c r="Q2701" s="2">
        <v>6.3</v>
      </c>
      <c r="R2701" s="2" t="s">
        <v>5207</v>
      </c>
      <c r="S2701" s="2"/>
      <c r="AC2701" s="2"/>
      <c r="AD2701" t="str">
        <f>IFERROR(__xludf.DUMMYFUNCTION("""COMPUTED_VALUE"""),"The Killer Inside Me ")</f>
        <v>The Killer Inside Me </v>
      </c>
      <c r="AE2701">
        <f t="shared" si="71"/>
        <v>214857</v>
      </c>
    </row>
    <row r="2702" customHeight="1" spans="1:31">
      <c r="A2702" s="2" t="s">
        <v>1463</v>
      </c>
      <c r="B2702" s="2">
        <v>84</v>
      </c>
      <c r="C2702" s="2">
        <v>13592872</v>
      </c>
      <c r="D2702" s="2" t="s">
        <v>40</v>
      </c>
      <c r="E2702" s="2" t="s">
        <v>40</v>
      </c>
      <c r="F2702" t="s">
        <v>30</v>
      </c>
      <c r="N2702" s="2" t="s">
        <v>18</v>
      </c>
      <c r="O2702" s="2" t="s">
        <v>19</v>
      </c>
      <c r="P2702" s="2">
        <v>11000000</v>
      </c>
      <c r="Q2702" s="2">
        <v>5.1</v>
      </c>
      <c r="R2702" s="2" t="s">
        <v>5208</v>
      </c>
      <c r="S2702" s="2"/>
      <c r="AC2702" s="2"/>
      <c r="AD2702" t="str">
        <f>IFERROR(__xludf.DUMMYFUNCTION("""COMPUTED_VALUE"""),"Sorority Row ")</f>
        <v>Sorority Row </v>
      </c>
      <c r="AE2702">
        <f t="shared" si="71"/>
        <v>11956106</v>
      </c>
    </row>
    <row r="2703" customHeight="1" spans="1:31">
      <c r="A2703" s="2" t="s">
        <v>2920</v>
      </c>
      <c r="B2703" s="2">
        <v>98</v>
      </c>
      <c r="C2703" s="2">
        <v>18381787</v>
      </c>
      <c r="D2703" s="2" t="s">
        <v>975</v>
      </c>
      <c r="E2703" s="2" t="s">
        <v>40</v>
      </c>
      <c r="F2703" t="s">
        <v>13</v>
      </c>
      <c r="N2703" s="2" t="s">
        <v>18</v>
      </c>
      <c r="O2703" s="2" t="s">
        <v>31</v>
      </c>
      <c r="P2703" s="2">
        <v>11000000</v>
      </c>
      <c r="Q2703" s="2">
        <v>6.8</v>
      </c>
      <c r="R2703" s="2" t="s">
        <v>5209</v>
      </c>
      <c r="S2703" s="2"/>
      <c r="AC2703" s="2"/>
      <c r="AD2703" t="str">
        <f>IFERROR(__xludf.DUMMYFUNCTION("""COMPUTED_VALUE"""),"Lars and the Real Girl ")</f>
        <v>Lars and the Real Girl </v>
      </c>
      <c r="AE2703">
        <f t="shared" si="71"/>
        <v>5949587</v>
      </c>
    </row>
    <row r="2704" customHeight="1" spans="1:31">
      <c r="A2704" s="2" t="s">
        <v>2922</v>
      </c>
      <c r="B2704" s="2">
        <v>95</v>
      </c>
      <c r="C2704" s="2">
        <v>13558739</v>
      </c>
      <c r="D2704" s="2" t="s">
        <v>40</v>
      </c>
      <c r="E2704" s="2" t="s">
        <v>40</v>
      </c>
      <c r="F2704" t="s">
        <v>30</v>
      </c>
      <c r="N2704" s="2" t="s">
        <v>18</v>
      </c>
      <c r="O2704" s="2" t="s">
        <v>19</v>
      </c>
      <c r="P2704" s="2">
        <v>11000000</v>
      </c>
      <c r="Q2704" s="2">
        <v>5.3</v>
      </c>
      <c r="R2704" s="2" t="s">
        <v>5210</v>
      </c>
      <c r="S2704" s="2"/>
      <c r="AC2704" s="2"/>
      <c r="AD2704" t="str">
        <f>IFERROR(__xludf.DUMMYFUNCTION("""COMPUTED_VALUE"""),"The Boy in the Striped Pajamas ")</f>
        <v>The Boy in the Striped Pajamas </v>
      </c>
      <c r="AE2704">
        <f t="shared" si="71"/>
        <v>9030487</v>
      </c>
    </row>
    <row r="2705" customHeight="1" spans="1:31">
      <c r="A2705" s="2" t="s">
        <v>2924</v>
      </c>
      <c r="B2705" s="2">
        <v>100</v>
      </c>
      <c r="C2705" s="2">
        <v>13103828</v>
      </c>
      <c r="D2705" s="2" t="s">
        <v>805</v>
      </c>
      <c r="E2705" s="2" t="s">
        <v>56</v>
      </c>
      <c r="F2705" t="s">
        <v>16</v>
      </c>
      <c r="N2705" s="2" t="s">
        <v>18</v>
      </c>
      <c r="O2705" s="2" t="s">
        <v>19</v>
      </c>
      <c r="P2705" s="2">
        <v>11000000</v>
      </c>
      <c r="Q2705" s="2">
        <v>7.3</v>
      </c>
      <c r="R2705" s="2" t="s">
        <v>5211</v>
      </c>
      <c r="S2705" s="2"/>
      <c r="AC2705" s="2"/>
      <c r="AD2705" t="str">
        <f>IFERROR(__xludf.DUMMYFUNCTION("""COMPUTED_VALUE"""),"Dancer in the Dark ")</f>
        <v>Dancer in the Dark </v>
      </c>
      <c r="AE2705">
        <f t="shared" si="71"/>
        <v>4157351</v>
      </c>
    </row>
    <row r="2706" customHeight="1" spans="1:31">
      <c r="A2706" s="2" t="s">
        <v>2926</v>
      </c>
      <c r="B2706" s="2">
        <v>109</v>
      </c>
      <c r="C2706" s="2">
        <v>33305037</v>
      </c>
      <c r="D2706" s="2" t="s">
        <v>2457</v>
      </c>
      <c r="E2706" s="2" t="s">
        <v>59</v>
      </c>
      <c r="F2706" t="s">
        <v>30</v>
      </c>
      <c r="N2706" s="2" t="s">
        <v>18</v>
      </c>
      <c r="O2706" s="2" t="s">
        <v>31</v>
      </c>
      <c r="P2706" s="2">
        <v>11000000</v>
      </c>
      <c r="Q2706" s="2">
        <v>7.3</v>
      </c>
      <c r="R2706" s="2" t="s">
        <v>5212</v>
      </c>
      <c r="S2706" s="2"/>
      <c r="AC2706" s="2"/>
      <c r="AD2706" t="str">
        <f>IFERROR(__xludf.DUMMYFUNCTION("""COMPUTED_VALUE"""),"Oscar and Lucinda ")</f>
        <v>Oscar and Lucinda </v>
      </c>
      <c r="AE2706">
        <f t="shared" si="71"/>
        <v>1508557</v>
      </c>
    </row>
    <row r="2707" customHeight="1" spans="1:31">
      <c r="A2707" s="2" t="s">
        <v>416</v>
      </c>
      <c r="B2707" s="2">
        <v>118</v>
      </c>
      <c r="C2707" s="2">
        <v>10214647</v>
      </c>
      <c r="D2707" s="2" t="s">
        <v>562</v>
      </c>
      <c r="E2707" s="2" t="s">
        <v>59</v>
      </c>
      <c r="F2707" t="s">
        <v>30</v>
      </c>
      <c r="N2707" s="2" t="s">
        <v>18</v>
      </c>
      <c r="O2707" s="2" t="s">
        <v>19</v>
      </c>
      <c r="P2707" s="2">
        <v>11000000</v>
      </c>
      <c r="Q2707" s="2">
        <v>7.1</v>
      </c>
      <c r="R2707" s="2" t="s">
        <v>5213</v>
      </c>
      <c r="S2707" s="2"/>
      <c r="AC2707" s="2"/>
      <c r="AD2707" t="str">
        <f>IFERROR(__xludf.DUMMYFUNCTION("""COMPUTED_VALUE"""),"The Funeral ")</f>
        <v>The Funeral </v>
      </c>
      <c r="AE2707">
        <f t="shared" si="71"/>
        <v>1227225</v>
      </c>
    </row>
    <row r="2708" customHeight="1" spans="1:31">
      <c r="A2708" s="2" t="s">
        <v>50</v>
      </c>
      <c r="B2708" s="2">
        <v>88</v>
      </c>
      <c r="C2708" s="2">
        <v>11501093</v>
      </c>
      <c r="D2708" s="2" t="s">
        <v>340</v>
      </c>
      <c r="E2708" s="2" t="s">
        <v>40</v>
      </c>
      <c r="F2708" t="s">
        <v>72</v>
      </c>
      <c r="N2708" s="2" t="s">
        <v>18</v>
      </c>
      <c r="O2708" s="2" t="s">
        <v>19</v>
      </c>
      <c r="P2708" s="2">
        <v>13000000</v>
      </c>
      <c r="Q2708" s="2">
        <v>7.6</v>
      </c>
      <c r="R2708" s="2" t="s">
        <v>5214</v>
      </c>
      <c r="S2708" s="2"/>
      <c r="AC2708" s="2"/>
      <c r="AD2708" t="str">
        <f>IFERROR(__xludf.DUMMYFUNCTION("""COMPUTED_VALUE"""),"Solitary Man ")</f>
        <v>Solitary Man </v>
      </c>
      <c r="AE2708">
        <f t="shared" si="71"/>
        <v>4360458</v>
      </c>
    </row>
    <row r="2709" customHeight="1" spans="1:31">
      <c r="A2709" s="2" t="s">
        <v>2928</v>
      </c>
      <c r="B2709" s="2">
        <v>86</v>
      </c>
      <c r="C2709" s="2">
        <v>4814244</v>
      </c>
      <c r="D2709" s="2" t="s">
        <v>607</v>
      </c>
      <c r="E2709" s="2" t="s">
        <v>40</v>
      </c>
      <c r="F2709" t="s">
        <v>30</v>
      </c>
      <c r="N2709" s="2" t="s">
        <v>18</v>
      </c>
      <c r="O2709" s="2" t="s">
        <v>121</v>
      </c>
      <c r="P2709" s="2">
        <v>11000000</v>
      </c>
      <c r="Q2709" s="2">
        <v>5.3</v>
      </c>
      <c r="R2709" s="2" t="s">
        <v>5215</v>
      </c>
      <c r="S2709" s="2"/>
      <c r="AC2709" s="2"/>
      <c r="AD2709" t="str">
        <f>IFERROR(__xludf.DUMMYFUNCTION("""COMPUTED_VALUE"""),"Machete ")</f>
        <v>Machete </v>
      </c>
      <c r="AE2709">
        <f t="shared" si="71"/>
        <v>26589848</v>
      </c>
    </row>
    <row r="2710" customHeight="1" spans="1:31">
      <c r="A2710" s="2" t="s">
        <v>1698</v>
      </c>
      <c r="B2710" s="2">
        <v>118</v>
      </c>
      <c r="C2710" s="2">
        <v>9170214</v>
      </c>
      <c r="D2710" s="2" t="s">
        <v>103</v>
      </c>
      <c r="E2710" s="2" t="s">
        <v>30</v>
      </c>
      <c r="F2710" t="s">
        <v>14</v>
      </c>
      <c r="N2710" s="2" t="s">
        <v>18</v>
      </c>
      <c r="O2710" s="2" t="s">
        <v>19</v>
      </c>
      <c r="P2710" s="2">
        <v>11000000</v>
      </c>
      <c r="Q2710" s="2">
        <v>7.8</v>
      </c>
      <c r="R2710" s="2" t="s">
        <v>5216</v>
      </c>
      <c r="S2710" s="2"/>
      <c r="AC2710" s="2"/>
      <c r="AD2710" t="str">
        <f>IFERROR(__xludf.DUMMYFUNCTION("""COMPUTED_VALUE"""),"Casino Jack ")</f>
        <v>Casino Jack </v>
      </c>
      <c r="AE2710">
        <f t="shared" si="71"/>
        <v>1039761</v>
      </c>
    </row>
    <row r="2711" customHeight="1" spans="1:31">
      <c r="A2711" s="2" t="s">
        <v>2930</v>
      </c>
      <c r="B2711" s="2">
        <v>125</v>
      </c>
      <c r="C2711" s="2">
        <v>4068087</v>
      </c>
      <c r="D2711" s="2" t="s">
        <v>2457</v>
      </c>
      <c r="E2711" s="2" t="s">
        <v>59</v>
      </c>
      <c r="F2711" t="s">
        <v>30</v>
      </c>
      <c r="N2711" s="2" t="s">
        <v>18</v>
      </c>
      <c r="O2711" s="2" t="s">
        <v>121</v>
      </c>
      <c r="P2711" s="2">
        <v>17000000</v>
      </c>
      <c r="Q2711" s="2">
        <v>7.7</v>
      </c>
      <c r="R2711" s="2" t="s">
        <v>5217</v>
      </c>
      <c r="S2711" s="2"/>
      <c r="AC2711" s="2"/>
      <c r="AD2711" t="str">
        <f>IFERROR(__xludf.DUMMYFUNCTION("""COMPUTED_VALUE"""),"The Land Before Time ")</f>
        <v>The Land Before Time </v>
      </c>
      <c r="AE2711">
        <f t="shared" si="71"/>
        <v>48092777</v>
      </c>
    </row>
    <row r="2712" customHeight="1" spans="1:31">
      <c r="A2712" s="2" t="s">
        <v>2317</v>
      </c>
      <c r="B2712" s="2">
        <v>125</v>
      </c>
      <c r="C2712" s="2">
        <v>3753806</v>
      </c>
      <c r="D2712" s="2" t="s">
        <v>718</v>
      </c>
      <c r="E2712" s="2" t="s">
        <v>56</v>
      </c>
      <c r="F2712" t="s">
        <v>30</v>
      </c>
      <c r="N2712" s="2" t="s">
        <v>18</v>
      </c>
      <c r="O2712" s="2" t="s">
        <v>31</v>
      </c>
      <c r="P2712" s="2">
        <v>11000000</v>
      </c>
      <c r="Q2712" s="2">
        <v>7.7</v>
      </c>
      <c r="R2712" s="2" t="s">
        <v>5218</v>
      </c>
      <c r="S2712" s="2"/>
      <c r="AC2712" s="2"/>
      <c r="AD2712" t="str">
        <f>IFERROR(__xludf.DUMMYFUNCTION("""COMPUTED_VALUE"""),"Tae Guk Gi: The Brotherhood of War ")</f>
        <v>Tae Guk Gi: The Brotherhood of War </v>
      </c>
      <c r="AE2712">
        <f t="shared" si="71"/>
        <v>1110038</v>
      </c>
    </row>
    <row r="2713" customHeight="1" spans="1:31">
      <c r="A2713" s="2" t="s">
        <v>2763</v>
      </c>
      <c r="B2713" s="2">
        <v>94</v>
      </c>
      <c r="C2713" s="2">
        <v>3034181</v>
      </c>
      <c r="D2713" s="2" t="s">
        <v>4708</v>
      </c>
      <c r="E2713" s="2" t="s">
        <v>40</v>
      </c>
      <c r="F2713" t="s">
        <v>72</v>
      </c>
      <c r="N2713" s="2" t="s">
        <v>18</v>
      </c>
      <c r="O2713" s="2" t="s">
        <v>31</v>
      </c>
      <c r="P2713" s="2">
        <v>11000000</v>
      </c>
      <c r="Q2713" s="2">
        <v>5.4</v>
      </c>
      <c r="R2713" s="2" t="s">
        <v>5219</v>
      </c>
      <c r="S2713" s="2"/>
      <c r="AC2713" s="2"/>
      <c r="AD2713" t="str">
        <f>IFERROR(__xludf.DUMMYFUNCTION("""COMPUTED_VALUE"""),"The Perfect Game ")</f>
        <v>The Perfect Game </v>
      </c>
      <c r="AE2713">
        <f t="shared" si="71"/>
        <v>1089327</v>
      </c>
    </row>
    <row r="2714" customHeight="1" spans="1:31">
      <c r="A2714" s="2" t="s">
        <v>2150</v>
      </c>
      <c r="B2714" s="2">
        <v>113</v>
      </c>
      <c r="C2714" s="2">
        <v>2832826</v>
      </c>
      <c r="D2714" s="2" t="s">
        <v>521</v>
      </c>
      <c r="E2714" s="2" t="s">
        <v>40</v>
      </c>
      <c r="F2714" t="s">
        <v>83</v>
      </c>
      <c r="N2714" s="2" t="s">
        <v>18</v>
      </c>
      <c r="O2714" s="2" t="s">
        <v>19</v>
      </c>
      <c r="P2714" s="2">
        <v>11000000</v>
      </c>
      <c r="Q2714" s="2">
        <v>6.2</v>
      </c>
      <c r="R2714" s="2" t="s">
        <v>5220</v>
      </c>
      <c r="S2714" s="2"/>
      <c r="AC2714" s="2"/>
      <c r="AD2714" t="str">
        <f>IFERROR(__xludf.DUMMYFUNCTION("""COMPUTED_VALUE"""),"The Exorcist ")</f>
        <v>The Exorcist </v>
      </c>
      <c r="AE2714">
        <f t="shared" si="71"/>
        <v>204564868</v>
      </c>
    </row>
    <row r="2715" customHeight="1" spans="1:31">
      <c r="A2715" s="2" t="s">
        <v>1628</v>
      </c>
      <c r="B2715" s="2">
        <v>104</v>
      </c>
      <c r="C2715" s="2">
        <v>13214255</v>
      </c>
      <c r="D2715" s="2" t="s">
        <v>2565</v>
      </c>
      <c r="E2715" s="2" t="s">
        <v>30</v>
      </c>
      <c r="F2715" t="s">
        <v>56</v>
      </c>
      <c r="N2715" s="2" t="s">
        <v>18</v>
      </c>
      <c r="O2715" s="2" t="s">
        <v>19</v>
      </c>
      <c r="P2715" s="2">
        <v>11000000</v>
      </c>
      <c r="Q2715" s="2">
        <v>7.4</v>
      </c>
      <c r="R2715" s="2" t="s">
        <v>5221</v>
      </c>
      <c r="S2715" s="2"/>
      <c r="AC2715" s="2"/>
      <c r="AD2715" t="str">
        <f>IFERROR(__xludf.DUMMYFUNCTION("""COMPUTED_VALUE"""),"Jaws ")</f>
        <v>Jaws </v>
      </c>
      <c r="AE2715">
        <f t="shared" si="71"/>
        <v>259999870</v>
      </c>
    </row>
    <row r="2716" customHeight="1" spans="1:31">
      <c r="A2716" s="2" t="s">
        <v>2932</v>
      </c>
      <c r="B2716" s="2">
        <v>95</v>
      </c>
      <c r="C2716" s="2">
        <v>16017403</v>
      </c>
      <c r="D2716" s="2" t="s">
        <v>3745</v>
      </c>
      <c r="E2716" s="2" t="s">
        <v>30</v>
      </c>
      <c r="F2716" t="s">
        <v>30</v>
      </c>
      <c r="N2716" s="2" t="s">
        <v>18</v>
      </c>
      <c r="O2716" s="2" t="s">
        <v>19</v>
      </c>
      <c r="P2716" s="2">
        <v>5000000</v>
      </c>
      <c r="Q2716" s="2">
        <v>6.2</v>
      </c>
      <c r="R2716" s="2" t="s">
        <v>5222</v>
      </c>
      <c r="S2716" s="2"/>
      <c r="AC2716" s="2"/>
      <c r="AD2716" t="str">
        <f>IFERROR(__xludf.DUMMYFUNCTION("""COMPUTED_VALUE"""),"American Pie ")</f>
        <v>American Pie </v>
      </c>
      <c r="AE2716">
        <f t="shared" si="71"/>
        <v>101736120</v>
      </c>
    </row>
    <row r="2717" customHeight="1" spans="1:31">
      <c r="A2717" s="2" t="s">
        <v>2934</v>
      </c>
      <c r="B2717" s="2">
        <v>102</v>
      </c>
      <c r="C2717" s="2">
        <v>2807854</v>
      </c>
      <c r="D2717" s="2" t="s">
        <v>887</v>
      </c>
      <c r="E2717" s="2" t="s">
        <v>13</v>
      </c>
      <c r="F2717" t="s">
        <v>56</v>
      </c>
      <c r="N2717" s="2" t="s">
        <v>18</v>
      </c>
      <c r="O2717" s="2" t="s">
        <v>19</v>
      </c>
      <c r="P2717" s="2">
        <v>11000000</v>
      </c>
      <c r="Q2717" s="2">
        <v>5.1</v>
      </c>
      <c r="R2717" s="2" t="s">
        <v>5223</v>
      </c>
      <c r="S2717" s="2"/>
      <c r="AC2717" s="2"/>
      <c r="AD2717" t="str">
        <f>IFERROR(__xludf.DUMMYFUNCTION("""COMPUTED_VALUE"""),"Ernest &amp; Celestine ")</f>
        <v>Ernest &amp; Celestine </v>
      </c>
      <c r="AE2717">
        <f t="shared" si="71"/>
        <v>71362</v>
      </c>
    </row>
    <row r="2718" customHeight="1" spans="1:31">
      <c r="A2718" s="2" t="s">
        <v>2936</v>
      </c>
      <c r="B2718" s="2">
        <v>104</v>
      </c>
      <c r="C2718" s="2">
        <v>352786</v>
      </c>
      <c r="D2718" s="2" t="s">
        <v>1747</v>
      </c>
      <c r="E2718" s="2" t="s">
        <v>59</v>
      </c>
      <c r="F2718" t="s">
        <v>30</v>
      </c>
      <c r="N2718" s="2" t="s">
        <v>18</v>
      </c>
      <c r="O2718" s="2" t="s">
        <v>19</v>
      </c>
      <c r="P2718" s="2">
        <v>11000000</v>
      </c>
      <c r="Q2718" s="2">
        <v>6.8</v>
      </c>
      <c r="R2718" s="2" t="s">
        <v>5224</v>
      </c>
      <c r="S2718" s="2"/>
      <c r="AC2718" s="2"/>
      <c r="AD2718" t="str">
        <f>IFERROR(__xludf.DUMMYFUNCTION("""COMPUTED_VALUE"""),"The Golden Child ")</f>
        <v>The Golden Child </v>
      </c>
      <c r="AE2718">
        <f t="shared" si="71"/>
        <v>79817843</v>
      </c>
    </row>
    <row r="2719" customHeight="1" spans="1:31">
      <c r="A2719" s="2" t="s">
        <v>2938</v>
      </c>
      <c r="B2719" s="2">
        <v>95</v>
      </c>
      <c r="C2719" s="2">
        <v>56729973</v>
      </c>
      <c r="D2719" s="2" t="s">
        <v>2613</v>
      </c>
      <c r="E2719" s="2" t="s">
        <v>72</v>
      </c>
      <c r="F2719" t="s">
        <v>28</v>
      </c>
      <c r="N2719" s="2" t="s">
        <v>18</v>
      </c>
      <c r="O2719" s="2" t="s">
        <v>19</v>
      </c>
      <c r="P2719" s="2">
        <v>10800000</v>
      </c>
      <c r="Q2719" s="2">
        <v>5.8</v>
      </c>
      <c r="R2719" s="2" t="s">
        <v>5225</v>
      </c>
      <c r="S2719" s="2"/>
      <c r="AC2719" s="2"/>
      <c r="AD2719" t="str">
        <f>IFERROR(__xludf.DUMMYFUNCTION("""COMPUTED_VALUE"""),"Think Like a Man ")</f>
        <v>Think Like a Man </v>
      </c>
      <c r="AE2719">
        <f t="shared" si="71"/>
        <v>91547083</v>
      </c>
    </row>
    <row r="2720" customHeight="1" spans="1:31">
      <c r="A2720" s="2" t="s">
        <v>2940</v>
      </c>
      <c r="B2720" s="2">
        <v>118</v>
      </c>
      <c r="C2720" s="2">
        <v>399879</v>
      </c>
      <c r="D2720" s="2" t="s">
        <v>814</v>
      </c>
      <c r="E2720" s="2" t="s">
        <v>56</v>
      </c>
      <c r="F2720" t="s">
        <v>17</v>
      </c>
      <c r="N2720" s="2" t="s">
        <v>18</v>
      </c>
      <c r="O2720" s="2" t="s">
        <v>159</v>
      </c>
      <c r="P2720" s="2">
        <v>15000000</v>
      </c>
      <c r="Q2720" s="2">
        <v>6.4</v>
      </c>
      <c r="R2720" s="2" t="s">
        <v>5226</v>
      </c>
      <c r="S2720" s="2"/>
      <c r="AC2720" s="2"/>
      <c r="AD2720" t="str">
        <f>IFERROR(__xludf.DUMMYFUNCTION("""COMPUTED_VALUE"""),"Barbershop ")</f>
        <v>Barbershop </v>
      </c>
      <c r="AE2720">
        <f t="shared" si="71"/>
        <v>75074848</v>
      </c>
    </row>
    <row r="2721" customHeight="1" spans="1:31">
      <c r="A2721" s="2" t="s">
        <v>2942</v>
      </c>
      <c r="B2721" s="2">
        <v>193</v>
      </c>
      <c r="C2721" s="2">
        <v>3275443</v>
      </c>
      <c r="D2721" s="2" t="s">
        <v>30</v>
      </c>
      <c r="E2721" s="2" t="s">
        <v>30</v>
      </c>
      <c r="F2721" t="s">
        <v>30</v>
      </c>
      <c r="N2721" s="2" t="s">
        <v>5227</v>
      </c>
      <c r="O2721" s="2" t="s">
        <v>2888</v>
      </c>
      <c r="P2721" s="2">
        <v>700000000</v>
      </c>
      <c r="Q2721" s="2">
        <v>6</v>
      </c>
      <c r="R2721" s="2" t="s">
        <v>5228</v>
      </c>
      <c r="S2721" s="2"/>
      <c r="AC2721" s="2"/>
      <c r="AD2721" t="str">
        <f>IFERROR(__xludf.DUMMYFUNCTION("""COMPUTED_VALUE"""),"Star Trek II: The Wrath of Khan ")</f>
        <v>Star Trek II: The Wrath of Khan </v>
      </c>
      <c r="AE2721">
        <f t="shared" si="71"/>
        <v>78899884</v>
      </c>
    </row>
    <row r="2722" customHeight="1" spans="1:31">
      <c r="A2722" s="2" t="s">
        <v>1440</v>
      </c>
      <c r="B2722" s="2">
        <v>97</v>
      </c>
      <c r="C2722" s="2">
        <v>18535191</v>
      </c>
      <c r="D2722" s="2" t="s">
        <v>607</v>
      </c>
      <c r="E2722" s="2" t="s">
        <v>40</v>
      </c>
      <c r="F2722" t="s">
        <v>13</v>
      </c>
      <c r="N2722" s="2" t="s">
        <v>18</v>
      </c>
      <c r="O2722" s="2" t="s">
        <v>31</v>
      </c>
      <c r="P2722" s="2">
        <v>14000000</v>
      </c>
      <c r="Q2722" s="2">
        <v>6.9</v>
      </c>
      <c r="R2722" s="2" t="s">
        <v>5229</v>
      </c>
      <c r="S2722" s="2"/>
      <c r="AC2722" s="2"/>
      <c r="AD2722" t="str">
        <f>IFERROR(__xludf.DUMMYFUNCTION("""COMPUTED_VALUE"""),"Ace Ventura: Pet Detective ")</f>
        <v>Ace Ventura: Pet Detective </v>
      </c>
      <c r="AE2722">
        <f t="shared" si="71"/>
        <v>72216922</v>
      </c>
    </row>
    <row r="2723" customHeight="1" spans="1:31">
      <c r="A2723" s="2" t="s">
        <v>2945</v>
      </c>
      <c r="B2723" s="2">
        <v>98</v>
      </c>
      <c r="C2723" s="2">
        <v>23838</v>
      </c>
      <c r="D2723" s="2" t="s">
        <v>1764</v>
      </c>
      <c r="E2723" s="2" t="s">
        <v>72</v>
      </c>
      <c r="F2723" t="s">
        <v>72</v>
      </c>
      <c r="N2723" s="2" t="s">
        <v>18</v>
      </c>
      <c r="O2723" s="2" t="s">
        <v>31</v>
      </c>
      <c r="P2723" s="2">
        <v>7000000</v>
      </c>
      <c r="Q2723" s="2">
        <v>5.5</v>
      </c>
      <c r="R2723" s="2" t="s">
        <v>5230</v>
      </c>
      <c r="S2723" s="2"/>
      <c r="AC2723" s="2"/>
      <c r="AD2723" t="str">
        <f>IFERROR(__xludf.DUMMYFUNCTION("""COMPUTED_VALUE"""),"WarGames ")</f>
        <v>WarGames </v>
      </c>
      <c r="AE2723">
        <f t="shared" si="71"/>
        <v>79567886</v>
      </c>
    </row>
    <row r="2724" customHeight="1" spans="1:31">
      <c r="A2724" s="2" t="s">
        <v>2948</v>
      </c>
      <c r="B2724" s="2">
        <v>103</v>
      </c>
      <c r="C2724" s="2">
        <v>22160085</v>
      </c>
      <c r="D2724" s="2" t="s">
        <v>72</v>
      </c>
      <c r="E2724" s="2" t="s">
        <v>72</v>
      </c>
      <c r="F2724" t="s">
        <v>30</v>
      </c>
      <c r="N2724" s="2" t="s">
        <v>18</v>
      </c>
      <c r="O2724" s="2" t="s">
        <v>19</v>
      </c>
      <c r="P2724" s="2">
        <v>10600000</v>
      </c>
      <c r="Q2724" s="2">
        <v>5.4</v>
      </c>
      <c r="R2724" s="2" t="s">
        <v>5231</v>
      </c>
      <c r="S2724" s="2"/>
      <c r="AC2724" s="2"/>
      <c r="AD2724" t="str">
        <f>IFERROR(__xludf.DUMMYFUNCTION("""COMPUTED_VALUE"""),"Witness ")</f>
        <v>Witness </v>
      </c>
      <c r="AE2724">
        <f t="shared" si="71"/>
        <v>65499888</v>
      </c>
    </row>
    <row r="2725" customHeight="1" spans="1:31">
      <c r="A2725" s="2" t="s">
        <v>1004</v>
      </c>
      <c r="B2725" s="2">
        <v>161</v>
      </c>
      <c r="C2725" s="2">
        <v>56715371</v>
      </c>
      <c r="D2725" s="2" t="s">
        <v>507</v>
      </c>
      <c r="E2725" s="2" t="s">
        <v>13</v>
      </c>
      <c r="F2725" t="s">
        <v>56</v>
      </c>
      <c r="N2725" s="2" t="s">
        <v>18</v>
      </c>
      <c r="O2725" s="2" t="s">
        <v>31</v>
      </c>
      <c r="P2725" s="2">
        <v>12000000</v>
      </c>
      <c r="Q2725" s="2">
        <v>8.3</v>
      </c>
      <c r="R2725" s="2" t="s">
        <v>5232</v>
      </c>
      <c r="S2725" s="2"/>
      <c r="AC2725" s="2"/>
      <c r="AD2725" t="str">
        <f>IFERROR(__xludf.DUMMYFUNCTION("""COMPUTED_VALUE"""),"Act of Valor ")</f>
        <v>Act of Valor </v>
      </c>
      <c r="AE2725">
        <f t="shared" si="71"/>
        <v>70010963</v>
      </c>
    </row>
    <row r="2726" customHeight="1" spans="1:31">
      <c r="A2726" s="2" t="s">
        <v>166</v>
      </c>
      <c r="B2726" s="2">
        <v>120</v>
      </c>
      <c r="C2726" s="2">
        <v>434949459</v>
      </c>
      <c r="D2726" s="2" t="s">
        <v>5233</v>
      </c>
      <c r="E2726" s="2" t="s">
        <v>23</v>
      </c>
      <c r="F2726" t="s">
        <v>17</v>
      </c>
      <c r="N2726" s="2" t="s">
        <v>18</v>
      </c>
      <c r="O2726" s="2" t="s">
        <v>19</v>
      </c>
      <c r="P2726" s="2">
        <v>10500000</v>
      </c>
      <c r="Q2726" s="2">
        <v>7.9</v>
      </c>
      <c r="R2726" s="2" t="s">
        <v>5234</v>
      </c>
      <c r="S2726" s="2"/>
      <c r="AC2726" s="2"/>
      <c r="AD2726" t="str">
        <f>IFERROR(__xludf.DUMMYFUNCTION("""COMPUTED_VALUE"""),"Step Up ")</f>
        <v>Step Up </v>
      </c>
      <c r="AE2726">
        <f t="shared" si="71"/>
        <v>65268906</v>
      </c>
    </row>
    <row r="2727" customHeight="1" spans="1:31">
      <c r="A2727" s="2" t="s">
        <v>2950</v>
      </c>
      <c r="B2727" s="2">
        <v>97</v>
      </c>
      <c r="C2727" s="2">
        <v>11043445</v>
      </c>
      <c r="D2727" s="2" t="s">
        <v>521</v>
      </c>
      <c r="E2727" s="2" t="s">
        <v>40</v>
      </c>
      <c r="F2727" t="s">
        <v>30</v>
      </c>
      <c r="N2727" s="2" t="s">
        <v>18</v>
      </c>
      <c r="O2727" s="2" t="s">
        <v>19</v>
      </c>
      <c r="P2727" s="2">
        <v>10000000</v>
      </c>
      <c r="Q2727" s="2">
        <v>6.5</v>
      </c>
      <c r="R2727" s="2" t="s">
        <v>5235</v>
      </c>
      <c r="S2727" s="2"/>
      <c r="AC2727" s="2"/>
      <c r="AD2727" t="str">
        <f>IFERROR(__xludf.DUMMYFUNCTION("""COMPUTED_VALUE"""),"Beavis and Butt-Head Do America ")</f>
        <v>Beavis and Butt-Head Do America </v>
      </c>
      <c r="AE2727">
        <f t="shared" si="71"/>
        <v>63071052</v>
      </c>
    </row>
    <row r="2728" customHeight="1" spans="1:31">
      <c r="A2728" s="2" t="s">
        <v>2952</v>
      </c>
      <c r="B2728" s="2">
        <v>99</v>
      </c>
      <c r="C2728" s="2">
        <v>125169</v>
      </c>
      <c r="D2728" s="2" t="s">
        <v>975</v>
      </c>
      <c r="E2728" s="2" t="s">
        <v>40</v>
      </c>
      <c r="F2728" t="s">
        <v>17</v>
      </c>
      <c r="N2728" s="2" t="s">
        <v>18</v>
      </c>
      <c r="O2728" s="2" t="s">
        <v>19</v>
      </c>
      <c r="P2728" s="2">
        <v>10500000</v>
      </c>
      <c r="Q2728" s="2">
        <v>6.4</v>
      </c>
      <c r="R2728" s="2" t="s">
        <v>5236</v>
      </c>
      <c r="S2728" s="2"/>
      <c r="AC2728" s="2"/>
      <c r="AD2728" t="str">
        <f>IFERROR(__xludf.DUMMYFUNCTION("""COMPUTED_VALUE"""),"Jackie Brown ")</f>
        <v>Jackie Brown </v>
      </c>
      <c r="AE2728">
        <f t="shared" si="71"/>
        <v>39647441</v>
      </c>
    </row>
    <row r="2729" customHeight="1" spans="1:31">
      <c r="A2729" s="2" t="s">
        <v>2955</v>
      </c>
      <c r="B2729" s="2">
        <v>145</v>
      </c>
      <c r="C2729" s="2">
        <v>5669081</v>
      </c>
      <c r="D2729" s="2" t="s">
        <v>731</v>
      </c>
      <c r="E2729" s="2" t="s">
        <v>30</v>
      </c>
      <c r="F2729" t="s">
        <v>56</v>
      </c>
      <c r="N2729" s="2" t="s">
        <v>1081</v>
      </c>
      <c r="O2729" s="2" t="s">
        <v>4531</v>
      </c>
      <c r="P2729" s="2">
        <v>10818775</v>
      </c>
      <c r="Q2729" s="2">
        <v>6.6</v>
      </c>
      <c r="R2729" s="2" t="s">
        <v>5237</v>
      </c>
      <c r="S2729" s="2"/>
      <c r="AC2729" s="2"/>
      <c r="AD2729" t="str">
        <f>IFERROR(__xludf.DUMMYFUNCTION("""COMPUTED_VALUE"""),"Harold &amp; Kumar Escape from Guantanamo Bay ")</f>
        <v>Harold &amp; Kumar Escape from Guantanamo Bay </v>
      </c>
      <c r="AE2729">
        <f t="shared" si="71"/>
        <v>38087264</v>
      </c>
    </row>
    <row r="2730" customHeight="1" spans="1:31">
      <c r="A2730" s="2" t="s">
        <v>1453</v>
      </c>
      <c r="B2730" s="2">
        <v>126</v>
      </c>
      <c r="C2730" s="2">
        <v>138339411</v>
      </c>
      <c r="D2730" s="2" t="s">
        <v>30</v>
      </c>
      <c r="E2730" s="2" t="s">
        <v>30</v>
      </c>
      <c r="F2730" t="s">
        <v>30</v>
      </c>
      <c r="N2730" s="2" t="s">
        <v>18</v>
      </c>
      <c r="O2730" s="2" t="s">
        <v>19</v>
      </c>
      <c r="P2730" s="2">
        <v>10000000</v>
      </c>
      <c r="Q2730" s="2">
        <v>8.3</v>
      </c>
      <c r="R2730" s="2" t="s">
        <v>5238</v>
      </c>
      <c r="S2730" s="2"/>
      <c r="AC2730" s="2"/>
      <c r="AD2730" t="str">
        <f>IFERROR(__xludf.DUMMYFUNCTION("""COMPUTED_VALUE"""),"Chronicle ")</f>
        <v>Chronicle </v>
      </c>
      <c r="AE2730">
        <f t="shared" si="71"/>
        <v>64572407</v>
      </c>
    </row>
    <row r="2731" customHeight="1" spans="1:31">
      <c r="A2731" s="2" t="s">
        <v>2958</v>
      </c>
      <c r="B2731" s="2">
        <v>121</v>
      </c>
      <c r="C2731" s="2">
        <v>80150343</v>
      </c>
      <c r="D2731" s="2" t="s">
        <v>2613</v>
      </c>
      <c r="E2731" s="2" t="s">
        <v>72</v>
      </c>
      <c r="F2731" t="s">
        <v>17</v>
      </c>
      <c r="N2731" s="2" t="s">
        <v>18</v>
      </c>
      <c r="O2731" s="2" t="s">
        <v>19</v>
      </c>
      <c r="P2731" s="2">
        <v>10000000</v>
      </c>
      <c r="Q2731" s="2">
        <v>6.2</v>
      </c>
      <c r="R2731" s="2" t="s">
        <v>5239</v>
      </c>
      <c r="S2731" s="2"/>
      <c r="AC2731" s="2"/>
      <c r="AD2731" t="str">
        <f>IFERROR(__xludf.DUMMYFUNCTION("""COMPUTED_VALUE"""),"Yentl ")</f>
        <v>Yentl </v>
      </c>
      <c r="AE2731">
        <f t="shared" si="71"/>
        <v>30399868</v>
      </c>
    </row>
    <row r="2732" customHeight="1" spans="1:31">
      <c r="A2732" s="2" t="s">
        <v>816</v>
      </c>
      <c r="B2732" s="2">
        <v>117</v>
      </c>
      <c r="C2732" s="2">
        <v>85300000</v>
      </c>
      <c r="D2732" s="2" t="s">
        <v>5240</v>
      </c>
      <c r="E2732" s="2" t="s">
        <v>12</v>
      </c>
      <c r="F2732" t="s">
        <v>72</v>
      </c>
      <c r="N2732" s="2" t="s">
        <v>18</v>
      </c>
      <c r="O2732" s="2" t="s">
        <v>19</v>
      </c>
      <c r="P2732" s="2">
        <v>10000000</v>
      </c>
      <c r="Q2732" s="2">
        <v>6.9</v>
      </c>
      <c r="R2732" s="2" t="s">
        <v>5241</v>
      </c>
      <c r="S2732" s="2"/>
      <c r="AC2732" s="2"/>
      <c r="AD2732" t="str">
        <f>IFERROR(__xludf.DUMMYFUNCTION("""COMPUTED_VALUE"""),"Time Bandits ")</f>
        <v>Time Bandits </v>
      </c>
      <c r="AE2732">
        <f t="shared" si="71"/>
        <v>42365497</v>
      </c>
    </row>
    <row r="2733" customHeight="1" spans="1:31">
      <c r="A2733" s="2" t="s">
        <v>437</v>
      </c>
      <c r="B2733" s="2">
        <v>98</v>
      </c>
      <c r="C2733" s="2">
        <v>68353550</v>
      </c>
      <c r="D2733" s="2" t="s">
        <v>1581</v>
      </c>
      <c r="E2733" s="2" t="s">
        <v>40</v>
      </c>
      <c r="F2733" t="s">
        <v>30</v>
      </c>
      <c r="N2733" s="2" t="s">
        <v>18</v>
      </c>
      <c r="O2733" s="2" t="s">
        <v>19</v>
      </c>
      <c r="P2733" s="2">
        <v>10000000</v>
      </c>
      <c r="Q2733" s="2">
        <v>5.9</v>
      </c>
      <c r="R2733" s="2" t="s">
        <v>5242</v>
      </c>
      <c r="S2733" s="2"/>
      <c r="AC2733" s="2"/>
      <c r="AD2733" t="str">
        <f>IFERROR(__xludf.DUMMYFUNCTION("""COMPUTED_VALUE"""),"Crossroads ")</f>
        <v>Crossroads </v>
      </c>
      <c r="AE2733">
        <f t="shared" si="71"/>
        <v>37188574</v>
      </c>
    </row>
    <row r="2734" customHeight="1" spans="1:31">
      <c r="A2734" s="2" t="s">
        <v>2960</v>
      </c>
      <c r="B2734" s="2">
        <v>109</v>
      </c>
      <c r="C2734" s="2">
        <v>78845130</v>
      </c>
      <c r="D2734" s="2" t="s">
        <v>843</v>
      </c>
      <c r="E2734" s="2" t="s">
        <v>12</v>
      </c>
      <c r="F2734" t="s">
        <v>14</v>
      </c>
      <c r="N2734" s="2" t="s">
        <v>18</v>
      </c>
      <c r="O2734" s="2" t="s">
        <v>707</v>
      </c>
      <c r="P2734" s="2">
        <v>10000000</v>
      </c>
      <c r="Q2734" s="2">
        <v>6.1</v>
      </c>
      <c r="R2734" s="2" t="s">
        <v>5243</v>
      </c>
      <c r="S2734" s="2"/>
      <c r="AC2734" s="2"/>
      <c r="AD2734" t="str">
        <f>IFERROR(__xludf.DUMMYFUNCTION("""COMPUTED_VALUE"""),"Project X ")</f>
        <v>Project X </v>
      </c>
      <c r="AE2734">
        <f t="shared" si="71"/>
        <v>54724179</v>
      </c>
    </row>
    <row r="2735" customHeight="1" spans="1:31">
      <c r="A2735" s="2" t="s">
        <v>2509</v>
      </c>
      <c r="B2735" s="2">
        <v>95</v>
      </c>
      <c r="C2735" s="2">
        <v>63319509</v>
      </c>
      <c r="D2735" s="2" t="s">
        <v>607</v>
      </c>
      <c r="E2735" s="2" t="s">
        <v>40</v>
      </c>
      <c r="F2735" t="s">
        <v>40</v>
      </c>
      <c r="N2735" s="2" t="s">
        <v>18</v>
      </c>
      <c r="O2735" s="2" t="s">
        <v>19</v>
      </c>
      <c r="P2735" s="2">
        <v>10000000</v>
      </c>
      <c r="Q2735" s="2">
        <v>5.8</v>
      </c>
      <c r="R2735" s="2" t="s">
        <v>5244</v>
      </c>
      <c r="S2735" s="2"/>
      <c r="AC2735" s="2"/>
      <c r="AD2735" t="str">
        <f>IFERROR(__xludf.DUMMYFUNCTION("""COMPUTED_VALUE"""),"One Hour Photo ")</f>
        <v>One Hour Photo </v>
      </c>
      <c r="AE2735">
        <f t="shared" si="71"/>
        <v>31597035</v>
      </c>
    </row>
    <row r="2736" customHeight="1" spans="1:31">
      <c r="A2736" s="2" t="s">
        <v>2958</v>
      </c>
      <c r="B2736" s="2">
        <v>96</v>
      </c>
      <c r="C2736" s="2">
        <v>63270259</v>
      </c>
      <c r="D2736" s="2" t="s">
        <v>2613</v>
      </c>
      <c r="E2736" s="2" t="s">
        <v>72</v>
      </c>
      <c r="F2736" t="s">
        <v>30</v>
      </c>
      <c r="N2736" s="2" t="s">
        <v>18</v>
      </c>
      <c r="O2736" s="2" t="s">
        <v>19</v>
      </c>
      <c r="P2736" s="2">
        <v>10000000</v>
      </c>
      <c r="Q2736" s="2">
        <v>5.9</v>
      </c>
      <c r="R2736" s="2" t="s">
        <v>5245</v>
      </c>
      <c r="S2736" s="2"/>
      <c r="AC2736" s="2"/>
      <c r="AD2736" t="str">
        <f>IFERROR(__xludf.DUMMYFUNCTION("""COMPUTED_VALUE"""),"Quarantine ")</f>
        <v>Quarantine </v>
      </c>
      <c r="AE2736">
        <f t="shared" si="71"/>
        <v>31691722</v>
      </c>
    </row>
    <row r="2737" customHeight="1" spans="1:31">
      <c r="A2737" s="2" t="s">
        <v>1587</v>
      </c>
      <c r="B2737" s="2">
        <v>101</v>
      </c>
      <c r="C2737" s="2">
        <v>55865715</v>
      </c>
      <c r="D2737" s="2" t="s">
        <v>2539</v>
      </c>
      <c r="E2737" s="2" t="s">
        <v>30</v>
      </c>
      <c r="F2737" t="s">
        <v>56</v>
      </c>
      <c r="N2737" s="2" t="s">
        <v>18</v>
      </c>
      <c r="O2737" s="2" t="s">
        <v>31</v>
      </c>
      <c r="P2737" s="2">
        <v>10000000</v>
      </c>
      <c r="Q2737" s="2">
        <v>5.5</v>
      </c>
      <c r="R2737" s="2" t="s">
        <v>5246</v>
      </c>
      <c r="S2737" s="2"/>
      <c r="AC2737" s="2"/>
      <c r="AD2737" t="str">
        <f>IFERROR(__xludf.DUMMYFUNCTION("""COMPUTED_VALUE"""),"The Eye ")</f>
        <v>The Eye </v>
      </c>
      <c r="AE2737">
        <f t="shared" si="71"/>
        <v>31397406</v>
      </c>
    </row>
    <row r="2738" customHeight="1" spans="1:31">
      <c r="A2738" s="2" t="s">
        <v>2006</v>
      </c>
      <c r="B2738" s="2">
        <v>107</v>
      </c>
      <c r="C2738" s="2">
        <v>63231524</v>
      </c>
      <c r="D2738" s="2" t="s">
        <v>521</v>
      </c>
      <c r="E2738" s="2" t="s">
        <v>40</v>
      </c>
      <c r="F2738" t="s">
        <v>40</v>
      </c>
      <c r="N2738" s="2" t="s">
        <v>18</v>
      </c>
      <c r="O2738" s="2" t="s">
        <v>19</v>
      </c>
      <c r="P2738" s="2">
        <v>6000000</v>
      </c>
      <c r="Q2738" s="2">
        <v>5</v>
      </c>
      <c r="R2738" s="2" t="s">
        <v>5247</v>
      </c>
      <c r="S2738" s="2"/>
      <c r="AC2738" s="2"/>
      <c r="AD2738" t="str">
        <f>IFERROR(__xludf.DUMMYFUNCTION("""COMPUTED_VALUE"""),"Johnson Family Vacation ")</f>
        <v>Johnson Family Vacation </v>
      </c>
      <c r="AE2738">
        <f t="shared" si="71"/>
        <v>31179419</v>
      </c>
    </row>
    <row r="2739" customHeight="1" spans="1:31">
      <c r="A2739" s="2" t="s">
        <v>196</v>
      </c>
      <c r="B2739" s="2">
        <v>119</v>
      </c>
      <c r="C2739" s="2">
        <v>52293982</v>
      </c>
      <c r="D2739" s="2" t="s">
        <v>1527</v>
      </c>
      <c r="E2739" s="2" t="s">
        <v>30</v>
      </c>
      <c r="F2739" t="s">
        <v>56</v>
      </c>
      <c r="N2739" s="2" t="s">
        <v>18</v>
      </c>
      <c r="O2739" s="2" t="s">
        <v>19</v>
      </c>
      <c r="P2739" s="2">
        <v>13800000</v>
      </c>
      <c r="Q2739" s="2">
        <v>7</v>
      </c>
      <c r="R2739" s="2" t="s">
        <v>5248</v>
      </c>
      <c r="S2739" s="2"/>
      <c r="AC2739" s="2"/>
      <c r="AD2739" t="str">
        <f>IFERROR(__xludf.DUMMYFUNCTION("""COMPUTED_VALUE"""),"How High ")</f>
        <v>How High </v>
      </c>
      <c r="AE2739">
        <f t="shared" si="71"/>
        <v>31155342</v>
      </c>
    </row>
    <row r="2740" customHeight="1" spans="1:31">
      <c r="A2740" s="2" t="s">
        <v>1153</v>
      </c>
      <c r="B2740" s="2">
        <v>100</v>
      </c>
      <c r="C2740" s="2">
        <v>50752337</v>
      </c>
      <c r="D2740" s="2" t="s">
        <v>5088</v>
      </c>
      <c r="E2740" s="2" t="s">
        <v>40</v>
      </c>
      <c r="F2740" t="s">
        <v>30</v>
      </c>
      <c r="N2740" s="2" t="s">
        <v>18</v>
      </c>
      <c r="O2740" s="2" t="s">
        <v>19</v>
      </c>
      <c r="P2740" s="2">
        <v>10000000</v>
      </c>
      <c r="Q2740" s="2">
        <v>6.4</v>
      </c>
      <c r="R2740" s="2" t="s">
        <v>5249</v>
      </c>
      <c r="S2740" s="2"/>
      <c r="AC2740" s="2"/>
      <c r="AD2740" t="str">
        <f>IFERROR(__xludf.DUMMYFUNCTION("""COMPUTED_VALUE"""),"The Muppet Christmas Carol ")</f>
        <v>The Muppet Christmas Carol </v>
      </c>
      <c r="AE2740">
        <f t="shared" si="71"/>
        <v>27281418</v>
      </c>
    </row>
    <row r="2741" customHeight="1" spans="1:31">
      <c r="A2741" s="2" t="s">
        <v>2231</v>
      </c>
      <c r="B2741" s="2">
        <v>98</v>
      </c>
      <c r="C2741" s="2">
        <v>110175871</v>
      </c>
      <c r="D2741" s="2" t="s">
        <v>1189</v>
      </c>
      <c r="E2741" s="2" t="s">
        <v>72</v>
      </c>
      <c r="F2741" t="s">
        <v>40</v>
      </c>
      <c r="N2741" s="2" t="s">
        <v>18</v>
      </c>
      <c r="O2741" s="2" t="s">
        <v>19</v>
      </c>
      <c r="P2741" s="2">
        <v>10000000</v>
      </c>
      <c r="Q2741" s="2">
        <v>5.9</v>
      </c>
      <c r="R2741" s="2" t="s">
        <v>5250</v>
      </c>
      <c r="S2741" s="2"/>
      <c r="AC2741" s="2"/>
      <c r="AD2741" t="str">
        <f>IFERROR(__xludf.DUMMYFUNCTION("""COMPUTED_VALUE"""),"Frida ")</f>
        <v>Frida </v>
      </c>
      <c r="AE2741">
        <f t="shared" si="71"/>
        <v>25775939</v>
      </c>
    </row>
    <row r="2742" customHeight="1" spans="1:31">
      <c r="A2742" s="2" t="s">
        <v>724</v>
      </c>
      <c r="B2742" s="2">
        <v>92</v>
      </c>
      <c r="C2742" s="2">
        <v>38624000</v>
      </c>
      <c r="D2742" s="2" t="s">
        <v>1581</v>
      </c>
      <c r="E2742" s="2" t="s">
        <v>40</v>
      </c>
      <c r="F2742" t="s">
        <v>30</v>
      </c>
      <c r="N2742" s="2" t="s">
        <v>18</v>
      </c>
      <c r="O2742" s="2" t="s">
        <v>19</v>
      </c>
      <c r="P2742" s="2">
        <v>12000000</v>
      </c>
      <c r="Q2742" s="2">
        <v>7</v>
      </c>
      <c r="R2742" s="2" t="s">
        <v>5251</v>
      </c>
      <c r="S2742" s="2"/>
      <c r="AC2742" s="2"/>
      <c r="AD2742" t="str">
        <f>IFERROR(__xludf.DUMMYFUNCTION("""COMPUTED_VALUE"""),"Katy Perry: Part of Me ")</f>
        <v>Katy Perry: Part of Me </v>
      </c>
      <c r="AE2742">
        <f t="shared" si="71"/>
        <v>25240895</v>
      </c>
    </row>
    <row r="2743" customHeight="1" spans="1:31">
      <c r="A2743" s="2" t="s">
        <v>2026</v>
      </c>
      <c r="B2743" s="2">
        <v>90</v>
      </c>
      <c r="C2743" s="2">
        <v>37470017</v>
      </c>
      <c r="D2743" s="2" t="s">
        <v>2613</v>
      </c>
      <c r="E2743" s="2" t="s">
        <v>72</v>
      </c>
      <c r="F2743" t="s">
        <v>30</v>
      </c>
      <c r="N2743" s="2" t="s">
        <v>18</v>
      </c>
      <c r="O2743" s="2" t="s">
        <v>293</v>
      </c>
      <c r="P2743" s="2">
        <v>10000000</v>
      </c>
      <c r="Q2743" s="2">
        <v>6.1</v>
      </c>
      <c r="R2743" s="2" t="s">
        <v>5252</v>
      </c>
      <c r="S2743" s="2"/>
      <c r="AC2743" s="2"/>
      <c r="AD2743" t="str">
        <f>IFERROR(__xludf.DUMMYFUNCTION("""COMPUTED_VALUE"""),"The Fault in Our Stars ")</f>
        <v>The Fault in Our Stars </v>
      </c>
      <c r="AE2743">
        <f t="shared" ref="AE2743:AE2806" si="72">C2627-B2627</f>
        <v>124868704</v>
      </c>
    </row>
    <row r="2744" customHeight="1" spans="1:31">
      <c r="A2744" s="2" t="s">
        <v>1153</v>
      </c>
      <c r="B2744" s="2">
        <v>90</v>
      </c>
      <c r="C2744" s="2">
        <v>40485039</v>
      </c>
      <c r="D2744" s="2" t="s">
        <v>5253</v>
      </c>
      <c r="E2744" s="2" t="s">
        <v>13</v>
      </c>
      <c r="F2744" t="s">
        <v>35</v>
      </c>
      <c r="N2744" s="2" t="s">
        <v>18</v>
      </c>
      <c r="O2744" s="2" t="s">
        <v>19</v>
      </c>
      <c r="P2744" s="2">
        <v>10000000</v>
      </c>
      <c r="Q2744" s="2">
        <v>6.9</v>
      </c>
      <c r="R2744" s="2" t="s">
        <v>5254</v>
      </c>
      <c r="S2744" s="2"/>
      <c r="AC2744" s="2"/>
      <c r="AD2744" t="str">
        <f>IFERROR(__xludf.DUMMYFUNCTION("""COMPUTED_VALUE"""),"Rounders ")</f>
        <v>Rounders </v>
      </c>
      <c r="AE2744">
        <f t="shared" si="72"/>
        <v>22905553</v>
      </c>
    </row>
    <row r="2745" customHeight="1" spans="1:31">
      <c r="A2745" s="2" t="s">
        <v>2962</v>
      </c>
      <c r="B2745" s="2">
        <v>153</v>
      </c>
      <c r="C2745" s="2">
        <v>16800000</v>
      </c>
      <c r="D2745" s="2" t="s">
        <v>5255</v>
      </c>
      <c r="E2745" s="2" t="s">
        <v>30</v>
      </c>
      <c r="F2745" t="s">
        <v>83</v>
      </c>
      <c r="N2745" s="2" t="s">
        <v>18</v>
      </c>
      <c r="O2745" s="2" t="s">
        <v>31</v>
      </c>
      <c r="P2745" s="2">
        <v>10000000</v>
      </c>
      <c r="Q2745" s="2">
        <v>7.5</v>
      </c>
      <c r="R2745" s="2" t="s">
        <v>5256</v>
      </c>
      <c r="S2745" s="2"/>
      <c r="AC2745" s="2"/>
      <c r="AD2745" t="str">
        <f>IFERROR(__xludf.DUMMYFUNCTION("""COMPUTED_VALUE"""),"Top Five ")</f>
        <v>Top Five </v>
      </c>
      <c r="AE2745">
        <f t="shared" si="72"/>
        <v>25277459</v>
      </c>
    </row>
    <row r="2746" customHeight="1" spans="1:31">
      <c r="A2746" s="2" t="s">
        <v>1166</v>
      </c>
      <c r="B2746" s="2">
        <v>124</v>
      </c>
      <c r="C2746" s="2">
        <v>46377022</v>
      </c>
      <c r="D2746" s="2" t="s">
        <v>975</v>
      </c>
      <c r="E2746" s="2" t="s">
        <v>40</v>
      </c>
      <c r="F2746" t="s">
        <v>17</v>
      </c>
      <c r="N2746" s="2" t="s">
        <v>18</v>
      </c>
      <c r="O2746" s="2" t="s">
        <v>31</v>
      </c>
      <c r="P2746" s="2">
        <v>10000000</v>
      </c>
      <c r="Q2746" s="2">
        <v>7.3</v>
      </c>
      <c r="R2746" s="2" t="s">
        <v>5257</v>
      </c>
      <c r="S2746" s="2"/>
      <c r="AC2746" s="2"/>
      <c r="AD2746" t="str">
        <f>IFERROR(__xludf.DUMMYFUNCTION("""COMPUTED_VALUE"""),"Stir of Echoes ")</f>
        <v>Stir of Echoes </v>
      </c>
      <c r="AE2746">
        <f t="shared" si="72"/>
        <v>21132988</v>
      </c>
    </row>
    <row r="2747" customHeight="1" spans="1:31">
      <c r="A2747" s="2" t="s">
        <v>2964</v>
      </c>
      <c r="B2747" s="2">
        <v>82</v>
      </c>
      <c r="C2747" s="2">
        <v>36696761</v>
      </c>
      <c r="D2747" s="2" t="s">
        <v>3504</v>
      </c>
      <c r="E2747" s="2" t="s">
        <v>35</v>
      </c>
      <c r="F2747" t="s">
        <v>30</v>
      </c>
      <c r="N2747" s="2" t="s">
        <v>18</v>
      </c>
      <c r="O2747" s="2" t="s">
        <v>19</v>
      </c>
      <c r="P2747" s="2">
        <v>23000000</v>
      </c>
      <c r="Q2747" s="2">
        <v>6.5</v>
      </c>
      <c r="R2747" s="2" t="s">
        <v>5258</v>
      </c>
      <c r="S2747" s="2"/>
      <c r="AC2747" s="2"/>
      <c r="AD2747" t="str">
        <f>IFERROR(__xludf.DUMMYFUNCTION("""COMPUTED_VALUE"""),"Philomena ")</f>
        <v>Philomena </v>
      </c>
      <c r="AE2747">
        <f t="shared" si="72"/>
        <v>37707621</v>
      </c>
    </row>
    <row r="2748" customHeight="1" spans="1:31">
      <c r="A2748" s="2" t="s">
        <v>325</v>
      </c>
      <c r="B2748" s="2">
        <v>107</v>
      </c>
      <c r="C2748" s="2">
        <v>36200000</v>
      </c>
      <c r="D2748" s="2" t="s">
        <v>108</v>
      </c>
      <c r="E2748" s="2" t="s">
        <v>12</v>
      </c>
      <c r="F2748" t="s">
        <v>56</v>
      </c>
      <c r="N2748" s="2" t="s">
        <v>18</v>
      </c>
      <c r="O2748" s="2" t="s">
        <v>159</v>
      </c>
      <c r="P2748" s="2">
        <v>12305523</v>
      </c>
      <c r="Q2748" s="2">
        <v>6.2</v>
      </c>
      <c r="R2748" s="2" t="s">
        <v>5259</v>
      </c>
      <c r="S2748" s="2"/>
      <c r="AC2748" s="2"/>
      <c r="AD2748" t="str">
        <f>IFERROR(__xludf.DUMMYFUNCTION("""COMPUTED_VALUE"""),"The Upside of Anger ")</f>
        <v>The Upside of Anger </v>
      </c>
      <c r="AE2748">
        <f t="shared" si="72"/>
        <v>18761875</v>
      </c>
    </row>
    <row r="2749" customHeight="1" spans="1:31">
      <c r="A2749" s="2" t="s">
        <v>2258</v>
      </c>
      <c r="B2749" s="2">
        <v>97</v>
      </c>
      <c r="C2749" s="2">
        <v>35794166</v>
      </c>
      <c r="D2749" s="2" t="s">
        <v>1189</v>
      </c>
      <c r="E2749" s="2" t="s">
        <v>72</v>
      </c>
      <c r="F2749" t="s">
        <v>30</v>
      </c>
      <c r="N2749" s="2" t="s">
        <v>18</v>
      </c>
      <c r="O2749" s="2" t="s">
        <v>19</v>
      </c>
      <c r="P2749" s="2">
        <v>10000000</v>
      </c>
      <c r="Q2749" s="2">
        <v>6</v>
      </c>
      <c r="R2749" s="2" t="s">
        <v>5260</v>
      </c>
      <c r="S2749" s="2"/>
      <c r="AC2749" s="2"/>
      <c r="AD2749" t="str">
        <f>IFERROR(__xludf.DUMMYFUNCTION("""COMPUTED_VALUE"""),"Aquamarine ")</f>
        <v>Aquamarine </v>
      </c>
      <c r="AE2749">
        <f t="shared" si="72"/>
        <v>18595612</v>
      </c>
    </row>
    <row r="2750" customHeight="1" spans="1:31">
      <c r="A2750" s="2" t="s">
        <v>2830</v>
      </c>
      <c r="B2750" s="2">
        <v>80</v>
      </c>
      <c r="C2750" s="2">
        <v>33583175</v>
      </c>
      <c r="D2750" s="2" t="s">
        <v>1189</v>
      </c>
      <c r="E2750" s="2" t="s">
        <v>72</v>
      </c>
      <c r="F2750" t="s">
        <v>30</v>
      </c>
      <c r="N2750" s="2" t="s">
        <v>18</v>
      </c>
      <c r="O2750" s="2" t="s">
        <v>19</v>
      </c>
      <c r="P2750" s="2">
        <v>10000000</v>
      </c>
      <c r="Q2750" s="2">
        <v>6.3</v>
      </c>
      <c r="R2750" s="2" t="s">
        <v>5261</v>
      </c>
      <c r="S2750" s="2"/>
      <c r="AC2750" s="2"/>
      <c r="AD2750" t="str">
        <f>IFERROR(__xludf.DUMMYFUNCTION("""COMPUTED_VALUE"""),"Paper Towns ")</f>
        <v>Paper Towns </v>
      </c>
      <c r="AE2750">
        <f t="shared" si="72"/>
        <v>31989955</v>
      </c>
    </row>
    <row r="2751" customHeight="1" spans="1:31">
      <c r="A2751" s="2" t="s">
        <v>2966</v>
      </c>
      <c r="B2751" s="2">
        <v>85</v>
      </c>
      <c r="C2751" s="2">
        <v>32983713</v>
      </c>
      <c r="D2751" s="2" t="s">
        <v>975</v>
      </c>
      <c r="E2751" s="2" t="s">
        <v>40</v>
      </c>
      <c r="F2751" t="s">
        <v>40</v>
      </c>
      <c r="N2751" s="2" t="s">
        <v>18</v>
      </c>
      <c r="O2751" s="2" t="s">
        <v>19</v>
      </c>
      <c r="P2751" s="2">
        <v>20000000</v>
      </c>
      <c r="Q2751" s="2">
        <v>5.8</v>
      </c>
      <c r="R2751" s="2" t="s">
        <v>5262</v>
      </c>
      <c r="S2751" s="2"/>
      <c r="AC2751" s="2"/>
      <c r="AD2751" t="str">
        <f>IFERROR(__xludf.DUMMYFUNCTION("""COMPUTED_VALUE"""),"Nebraska ")</f>
        <v>Nebraska </v>
      </c>
      <c r="AE2751">
        <f t="shared" si="72"/>
        <v>17613345</v>
      </c>
    </row>
    <row r="2752" customHeight="1" spans="1:31">
      <c r="A2752" s="2" t="s">
        <v>2968</v>
      </c>
      <c r="B2752" s="2">
        <v>97</v>
      </c>
      <c r="C2752" s="2">
        <v>52200504</v>
      </c>
      <c r="D2752" s="2" t="s">
        <v>4101</v>
      </c>
      <c r="E2752" s="2" t="s">
        <v>14</v>
      </c>
      <c r="F2752" t="s">
        <v>72</v>
      </c>
      <c r="N2752" s="2" t="s">
        <v>18</v>
      </c>
      <c r="O2752" s="2" t="s">
        <v>121</v>
      </c>
      <c r="P2752" s="2">
        <v>10000000</v>
      </c>
      <c r="Q2752" s="2">
        <v>6.1</v>
      </c>
      <c r="R2752" s="2" t="s">
        <v>5263</v>
      </c>
      <c r="S2752" s="2"/>
      <c r="AC2752" s="2"/>
      <c r="AD2752" t="str">
        <f>IFERROR(__xludf.DUMMYFUNCTION("""COMPUTED_VALUE"""),"Tales from the Crypt: Demon Knight ")</f>
        <v>Tales from the Crypt: Demon Knight </v>
      </c>
      <c r="AE2752">
        <f t="shared" si="72"/>
        <v>21088476</v>
      </c>
    </row>
    <row r="2753" customHeight="1" spans="1:31">
      <c r="A2753" s="2" t="s">
        <v>2970</v>
      </c>
      <c r="B2753" s="2">
        <v>109</v>
      </c>
      <c r="C2753" s="2">
        <v>33000000</v>
      </c>
      <c r="D2753" s="2" t="s">
        <v>5264</v>
      </c>
      <c r="E2753" s="2" t="s">
        <v>12</v>
      </c>
      <c r="F2753" t="s">
        <v>30</v>
      </c>
      <c r="N2753" s="2" t="s">
        <v>18</v>
      </c>
      <c r="O2753" s="2" t="s">
        <v>19</v>
      </c>
      <c r="P2753" s="2">
        <v>10000000</v>
      </c>
      <c r="Q2753" s="2">
        <v>6.9</v>
      </c>
      <c r="R2753" s="2" t="s">
        <v>5265</v>
      </c>
      <c r="S2753" s="2"/>
      <c r="AC2753" s="2"/>
      <c r="AD2753" t="str">
        <f>IFERROR(__xludf.DUMMYFUNCTION("""COMPUTED_VALUE"""),"Max Keeble's Big Move ")</f>
        <v>Max Keeble's Big Move </v>
      </c>
      <c r="AE2753">
        <f t="shared" si="72"/>
        <v>17292290</v>
      </c>
    </row>
    <row r="2754" customHeight="1" spans="1:31">
      <c r="A2754" s="2" t="s">
        <v>1860</v>
      </c>
      <c r="B2754" s="2">
        <v>140</v>
      </c>
      <c r="C2754" s="2">
        <v>32101000</v>
      </c>
      <c r="D2754" s="2" t="s">
        <v>4273</v>
      </c>
      <c r="E2754" s="2" t="s">
        <v>72</v>
      </c>
      <c r="F2754" t="s">
        <v>56</v>
      </c>
      <c r="N2754" s="2" t="s">
        <v>18</v>
      </c>
      <c r="O2754" s="2" t="s">
        <v>31</v>
      </c>
      <c r="P2754" s="2">
        <v>10000000</v>
      </c>
      <c r="Q2754" s="2">
        <v>5.4</v>
      </c>
      <c r="R2754" s="2" t="s">
        <v>5266</v>
      </c>
      <c r="S2754" s="2"/>
      <c r="AC2754" s="2"/>
      <c r="AD2754" t="str">
        <f>IFERROR(__xludf.DUMMYFUNCTION("""COMPUTED_VALUE"""),"Young Adult ")</f>
        <v>Young Adult </v>
      </c>
      <c r="AE2754">
        <f t="shared" si="72"/>
        <v>16300208</v>
      </c>
    </row>
    <row r="2755" customHeight="1" spans="1:31">
      <c r="A2755" s="2" t="s">
        <v>2972</v>
      </c>
      <c r="B2755" s="2">
        <v>90</v>
      </c>
      <c r="C2755" s="2">
        <v>31487293</v>
      </c>
      <c r="D2755" s="2" t="s">
        <v>2389</v>
      </c>
      <c r="E2755" s="2" t="s">
        <v>40</v>
      </c>
      <c r="F2755" t="s">
        <v>35</v>
      </c>
      <c r="N2755" s="2" t="s">
        <v>18</v>
      </c>
      <c r="O2755" s="2" t="s">
        <v>19</v>
      </c>
      <c r="P2755" s="2">
        <v>9000000</v>
      </c>
      <c r="Q2755" s="2">
        <v>6.7</v>
      </c>
      <c r="R2755" s="2" t="s">
        <v>5267</v>
      </c>
      <c r="S2755" s="2"/>
      <c r="AC2755" s="2"/>
      <c r="AD2755" t="str">
        <f>IFERROR(__xludf.DUMMYFUNCTION("""COMPUTED_VALUE"""),"Crank ")</f>
        <v>Crank </v>
      </c>
      <c r="AE2755">
        <f t="shared" si="72"/>
        <v>27829781</v>
      </c>
    </row>
    <row r="2756" customHeight="1" spans="1:31">
      <c r="A2756" s="2" t="s">
        <v>1632</v>
      </c>
      <c r="B2756" s="2">
        <v>130</v>
      </c>
      <c r="C2756" s="2">
        <v>30651422</v>
      </c>
      <c r="D2756" s="2" t="s">
        <v>5268</v>
      </c>
      <c r="E2756" s="2" t="s">
        <v>13</v>
      </c>
      <c r="F2756" t="s">
        <v>30</v>
      </c>
      <c r="N2756" s="2" t="s">
        <v>18</v>
      </c>
      <c r="O2756" s="2" t="s">
        <v>19</v>
      </c>
      <c r="P2756" s="2">
        <v>10000000</v>
      </c>
      <c r="Q2756" s="2">
        <v>7.4</v>
      </c>
      <c r="R2756" s="2" t="s">
        <v>5269</v>
      </c>
      <c r="S2756" s="2"/>
      <c r="AC2756" s="2"/>
      <c r="AD2756" t="str">
        <f>IFERROR(__xludf.DUMMYFUNCTION("""COMPUTED_VALUE"""),"Living Out Loud ")</f>
        <v>Living Out Loud </v>
      </c>
      <c r="AE2756">
        <f t="shared" si="72"/>
        <v>12902690</v>
      </c>
    </row>
    <row r="2757" customHeight="1" spans="1:31">
      <c r="A2757" s="2" t="s">
        <v>2974</v>
      </c>
      <c r="B2757" s="2">
        <v>98</v>
      </c>
      <c r="C2757" s="2">
        <v>30306281</v>
      </c>
      <c r="D2757" s="2" t="s">
        <v>975</v>
      </c>
      <c r="E2757" s="2" t="s">
        <v>40</v>
      </c>
      <c r="F2757" t="s">
        <v>15</v>
      </c>
      <c r="N2757" s="2" t="s">
        <v>18</v>
      </c>
      <c r="O2757" s="2" t="s">
        <v>19</v>
      </c>
      <c r="P2757" s="2">
        <v>10000000</v>
      </c>
      <c r="Q2757" s="2">
        <v>5.6</v>
      </c>
      <c r="R2757" s="2" t="s">
        <v>5270</v>
      </c>
      <c r="S2757" s="2"/>
      <c r="AC2757" s="2"/>
      <c r="AD2757" t="str">
        <f>IFERROR(__xludf.DUMMYFUNCTION("""COMPUTED_VALUE"""),"Das Boot ")</f>
        <v>Das Boot </v>
      </c>
      <c r="AE2757">
        <f t="shared" si="72"/>
        <v>11432841</v>
      </c>
    </row>
    <row r="2758" customHeight="1" spans="1:31">
      <c r="A2758" s="2" t="s">
        <v>845</v>
      </c>
      <c r="B2758" s="2">
        <v>101</v>
      </c>
      <c r="C2758" s="2">
        <v>29500000</v>
      </c>
      <c r="D2758" s="2" t="s">
        <v>5271</v>
      </c>
      <c r="E2758" s="2" t="s">
        <v>14</v>
      </c>
      <c r="F2758" t="s">
        <v>30</v>
      </c>
      <c r="N2758" s="2" t="s">
        <v>18</v>
      </c>
      <c r="O2758" s="2" t="s">
        <v>19</v>
      </c>
      <c r="P2758" s="2">
        <v>10000000</v>
      </c>
      <c r="Q2758" s="2">
        <v>6.5</v>
      </c>
      <c r="R2758" s="2" t="s">
        <v>5272</v>
      </c>
      <c r="S2758" s="2"/>
      <c r="AC2758" s="2"/>
      <c r="AD2758" t="str">
        <f>IFERROR(__xludf.DUMMYFUNCTION("""COMPUTED_VALUE"""),"Sorority Boys ")</f>
        <v>Sorority Boys </v>
      </c>
      <c r="AE2758">
        <f t="shared" si="72"/>
        <v>10198673</v>
      </c>
    </row>
    <row r="2759" customHeight="1" spans="1:31">
      <c r="A2759" s="2" t="s">
        <v>2977</v>
      </c>
      <c r="B2759" s="2">
        <v>114</v>
      </c>
      <c r="C2759" s="2">
        <v>30050028</v>
      </c>
      <c r="D2759" s="2" t="s">
        <v>34</v>
      </c>
      <c r="E2759" s="2" t="s">
        <v>12</v>
      </c>
      <c r="F2759" t="s">
        <v>30</v>
      </c>
      <c r="N2759" s="2" t="s">
        <v>18</v>
      </c>
      <c r="O2759" s="2" t="s">
        <v>19</v>
      </c>
      <c r="P2759" s="2">
        <v>17000000</v>
      </c>
      <c r="Q2759" s="2">
        <v>6.5</v>
      </c>
      <c r="R2759" s="2" t="s">
        <v>5273</v>
      </c>
      <c r="S2759" s="2"/>
      <c r="AC2759" s="2"/>
      <c r="AD2759" t="str">
        <f>IFERROR(__xludf.DUMMYFUNCTION("""COMPUTED_VALUE"""),"About Time ")</f>
        <v>About Time </v>
      </c>
      <c r="AE2759">
        <f t="shared" si="72"/>
        <v>15294430</v>
      </c>
    </row>
    <row r="2760" customHeight="1" spans="1:31">
      <c r="A2760" s="2" t="s">
        <v>1027</v>
      </c>
      <c r="B2760" s="2">
        <v>100</v>
      </c>
      <c r="C2760" s="2">
        <v>29392418</v>
      </c>
      <c r="D2760" s="2" t="s">
        <v>635</v>
      </c>
      <c r="E2760" s="2" t="s">
        <v>12</v>
      </c>
      <c r="F2760" t="s">
        <v>40</v>
      </c>
      <c r="N2760" s="2" t="s">
        <v>18</v>
      </c>
      <c r="O2760" s="2" t="s">
        <v>19</v>
      </c>
      <c r="P2760" s="2">
        <v>10000000</v>
      </c>
      <c r="Q2760" s="2">
        <v>5.8</v>
      </c>
      <c r="R2760" s="2" t="s">
        <v>5274</v>
      </c>
      <c r="S2760" s="2"/>
      <c r="AC2760" s="2"/>
      <c r="AD2760" t="str">
        <f>IFERROR(__xludf.DUMMYFUNCTION("""COMPUTED_VALUE"""),"House of Flying Daggers ")</f>
        <v>House of Flying Daggers </v>
      </c>
      <c r="AE2760">
        <f t="shared" si="72"/>
        <v>11041109</v>
      </c>
    </row>
    <row r="2761" customHeight="1" spans="1:31">
      <c r="A2761" s="2" t="s">
        <v>2011</v>
      </c>
      <c r="B2761" s="2">
        <v>85</v>
      </c>
      <c r="C2761" s="2">
        <v>28563926</v>
      </c>
      <c r="D2761" s="2" t="s">
        <v>1655</v>
      </c>
      <c r="E2761" s="2" t="s">
        <v>30</v>
      </c>
      <c r="F2761" t="s">
        <v>30</v>
      </c>
      <c r="N2761" s="2" t="s">
        <v>18</v>
      </c>
      <c r="O2761" s="2" t="s">
        <v>19</v>
      </c>
      <c r="P2761" s="2">
        <v>8500000</v>
      </c>
      <c r="Q2761" s="2">
        <v>5</v>
      </c>
      <c r="R2761" s="2" t="s">
        <v>5275</v>
      </c>
      <c r="S2761" s="2"/>
      <c r="AC2761" s="2"/>
      <c r="AD2761" t="str">
        <f>IFERROR(__xludf.DUMMYFUNCTION("""COMPUTED_VALUE"""),"Arbitrage ")</f>
        <v>Arbitrage </v>
      </c>
      <c r="AE2761">
        <f t="shared" si="72"/>
        <v>7918176</v>
      </c>
    </row>
    <row r="2762" customHeight="1" spans="1:31">
      <c r="A2762" s="2" t="s">
        <v>2979</v>
      </c>
      <c r="B2762" s="2">
        <v>103</v>
      </c>
      <c r="C2762" s="2">
        <v>28435406</v>
      </c>
      <c r="D2762" s="2" t="s">
        <v>607</v>
      </c>
      <c r="E2762" s="2" t="s">
        <v>40</v>
      </c>
      <c r="F2762" t="s">
        <v>30</v>
      </c>
      <c r="N2762" s="2" t="s">
        <v>18</v>
      </c>
      <c r="O2762" s="2" t="s">
        <v>19</v>
      </c>
      <c r="P2762" s="2">
        <v>12000000</v>
      </c>
      <c r="Q2762" s="2">
        <v>5.5</v>
      </c>
      <c r="R2762" s="2" t="s">
        <v>5276</v>
      </c>
      <c r="S2762" s="2"/>
      <c r="AC2762" s="2"/>
      <c r="AD2762" t="str">
        <f>IFERROR(__xludf.DUMMYFUNCTION("""COMPUTED_VALUE"""),"Project Almanac ")</f>
        <v>Project Almanac </v>
      </c>
      <c r="AE2762">
        <f t="shared" si="72"/>
        <v>22330922</v>
      </c>
    </row>
    <row r="2763" customHeight="1" spans="1:31">
      <c r="A2763" s="2" t="s">
        <v>2164</v>
      </c>
      <c r="B2763" s="2">
        <v>100</v>
      </c>
      <c r="C2763" s="2">
        <v>25339117</v>
      </c>
      <c r="D2763" s="2" t="s">
        <v>607</v>
      </c>
      <c r="E2763" s="2" t="s">
        <v>40</v>
      </c>
      <c r="F2763" t="s">
        <v>30</v>
      </c>
      <c r="N2763" s="2" t="s">
        <v>18</v>
      </c>
      <c r="O2763" s="2" t="s">
        <v>19</v>
      </c>
      <c r="P2763" s="2">
        <v>10000000</v>
      </c>
      <c r="Q2763" s="2">
        <v>6.5</v>
      </c>
      <c r="R2763" s="2" t="s">
        <v>5277</v>
      </c>
      <c r="S2763" s="2"/>
      <c r="AC2763" s="2"/>
      <c r="AD2763" t="str">
        <f>IFERROR(__xludf.DUMMYFUNCTION("""COMPUTED_VALUE"""),"Cadillac Records ")</f>
        <v>Cadillac Records </v>
      </c>
      <c r="AE2763">
        <f t="shared" si="72"/>
        <v>8134108</v>
      </c>
    </row>
    <row r="2764" customHeight="1" spans="1:31">
      <c r="A2764" s="2" t="s">
        <v>1218</v>
      </c>
      <c r="B2764" s="2">
        <v>114</v>
      </c>
      <c r="C2764" s="2">
        <v>25600000</v>
      </c>
      <c r="D2764" s="2" t="s">
        <v>718</v>
      </c>
      <c r="E2764" s="2" t="s">
        <v>56</v>
      </c>
      <c r="F2764" t="s">
        <v>30</v>
      </c>
      <c r="N2764" s="2" t="s">
        <v>18</v>
      </c>
      <c r="O2764" s="2" t="s">
        <v>19</v>
      </c>
      <c r="P2764" s="2">
        <v>10000000</v>
      </c>
      <c r="Q2764" s="2">
        <v>7.2</v>
      </c>
      <c r="R2764" s="2" t="s">
        <v>5278</v>
      </c>
      <c r="S2764" s="2"/>
      <c r="AC2764" s="2"/>
      <c r="AD2764" t="str">
        <f>IFERROR(__xludf.DUMMYFUNCTION("""COMPUTED_VALUE"""),"Screwed ")</f>
        <v>Screwed </v>
      </c>
      <c r="AE2764">
        <f t="shared" si="72"/>
        <v>6982599</v>
      </c>
    </row>
    <row r="2765" customHeight="1" spans="1:31">
      <c r="A2765" s="2" t="s">
        <v>2981</v>
      </c>
      <c r="B2765" s="2">
        <v>97</v>
      </c>
      <c r="C2765" s="2">
        <v>27736779</v>
      </c>
      <c r="D2765" s="2" t="s">
        <v>1189</v>
      </c>
      <c r="E2765" s="2" t="s">
        <v>72</v>
      </c>
      <c r="F2765" t="s">
        <v>56</v>
      </c>
      <c r="N2765" s="2" t="s">
        <v>18</v>
      </c>
      <c r="O2765" s="2" t="s">
        <v>19</v>
      </c>
      <c r="P2765" s="2">
        <v>10000000</v>
      </c>
      <c r="Q2765" s="2">
        <v>5.2</v>
      </c>
      <c r="R2765" s="2" t="s">
        <v>5279</v>
      </c>
      <c r="S2765" s="2"/>
      <c r="AC2765" s="2"/>
      <c r="AD2765" t="str">
        <f>IFERROR(__xludf.DUMMYFUNCTION("""COMPUTED_VALUE"""),"Fortress ")</f>
        <v>Fortress </v>
      </c>
      <c r="AE2765">
        <f t="shared" si="72"/>
        <v>6739046</v>
      </c>
    </row>
    <row r="2766" customHeight="1" spans="1:31">
      <c r="A2766" s="2" t="s">
        <v>2983</v>
      </c>
      <c r="B2766" s="2">
        <v>116</v>
      </c>
      <c r="C2766" s="2">
        <v>24397469</v>
      </c>
      <c r="D2766" s="2" t="s">
        <v>2565</v>
      </c>
      <c r="E2766" s="2" t="s">
        <v>30</v>
      </c>
      <c r="F2766" t="s">
        <v>17</v>
      </c>
      <c r="N2766" s="2" t="s">
        <v>18</v>
      </c>
      <c r="O2766" s="2" t="s">
        <v>19</v>
      </c>
      <c r="P2766" s="2">
        <v>17000000</v>
      </c>
      <c r="Q2766" s="2">
        <v>5.7</v>
      </c>
      <c r="R2766" s="2" t="s">
        <v>5280</v>
      </c>
      <c r="S2766" s="2"/>
      <c r="AC2766" s="2"/>
      <c r="AD2766" t="str">
        <f>IFERROR(__xludf.DUMMYFUNCTION("""COMPUTED_VALUE"""),"For Your Consideration ")</f>
        <v>For Your Consideration </v>
      </c>
      <c r="AE2766">
        <f t="shared" si="72"/>
        <v>5541939</v>
      </c>
    </row>
    <row r="2767" customHeight="1" spans="1:31">
      <c r="A2767" s="2" t="s">
        <v>2701</v>
      </c>
      <c r="B2767" s="2">
        <v>96</v>
      </c>
      <c r="C2767" s="2">
        <v>20384136</v>
      </c>
      <c r="D2767" s="2" t="s">
        <v>1189</v>
      </c>
      <c r="E2767" s="2" t="s">
        <v>72</v>
      </c>
      <c r="F2767" t="s">
        <v>56</v>
      </c>
      <c r="N2767" s="2" t="s">
        <v>18</v>
      </c>
      <c r="O2767" s="2" t="s">
        <v>19</v>
      </c>
      <c r="P2767" s="2">
        <v>10000000</v>
      </c>
      <c r="Q2767" s="2">
        <v>4.7</v>
      </c>
      <c r="R2767" s="2" t="s">
        <v>5281</v>
      </c>
      <c r="S2767" s="2"/>
      <c r="AC2767" s="2"/>
      <c r="AD2767" t="str">
        <f>IFERROR(__xludf.DUMMYFUNCTION("""COMPUTED_VALUE"""),"Celebrity ")</f>
        <v>Celebrity </v>
      </c>
      <c r="AE2767">
        <f t="shared" si="72"/>
        <v>5032383</v>
      </c>
    </row>
    <row r="2768" customHeight="1" spans="1:31">
      <c r="A2768" s="2" t="s">
        <v>2986</v>
      </c>
      <c r="B2768" s="2">
        <v>98</v>
      </c>
      <c r="C2768" s="2">
        <v>25464480</v>
      </c>
      <c r="D2768" s="2" t="s">
        <v>2069</v>
      </c>
      <c r="E2768" s="2" t="s">
        <v>28</v>
      </c>
      <c r="F2768" t="s">
        <v>56</v>
      </c>
      <c r="N2768" s="2" t="s">
        <v>18</v>
      </c>
      <c r="O2768" s="2" t="s">
        <v>19</v>
      </c>
      <c r="P2768" s="2">
        <v>10000000</v>
      </c>
      <c r="Q2768" s="2">
        <v>5.9</v>
      </c>
      <c r="R2768" s="2" t="s">
        <v>5282</v>
      </c>
      <c r="S2768" s="2"/>
      <c r="AC2768" s="2"/>
      <c r="AD2768" t="str">
        <f>IFERROR(__xludf.DUMMYFUNCTION("""COMPUTED_VALUE"""),"Running with Scissors ")</f>
        <v>Running with Scissors </v>
      </c>
      <c r="AE2768">
        <f t="shared" si="72"/>
        <v>6754776</v>
      </c>
    </row>
    <row r="2769" customHeight="1" spans="1:31">
      <c r="A2769" s="2" t="s">
        <v>2365</v>
      </c>
      <c r="B2769" s="2">
        <v>105</v>
      </c>
      <c r="C2769" s="2">
        <v>20338609</v>
      </c>
      <c r="D2769" s="2" t="s">
        <v>3722</v>
      </c>
      <c r="E2769" s="2" t="s">
        <v>40</v>
      </c>
      <c r="F2769" t="s">
        <v>17</v>
      </c>
      <c r="N2769" s="2" t="s">
        <v>18</v>
      </c>
      <c r="O2769" s="2" t="s">
        <v>19</v>
      </c>
      <c r="P2769" s="2">
        <v>10000000</v>
      </c>
      <c r="Q2769" s="2">
        <v>6.8</v>
      </c>
      <c r="R2769" s="2" t="s">
        <v>5283</v>
      </c>
      <c r="S2769" s="2"/>
      <c r="AC2769" s="2"/>
      <c r="AD2769" t="str">
        <f>IFERROR(__xludf.DUMMYFUNCTION("""COMPUTED_VALUE"""),"From Justin to Kelly ")</f>
        <v>From Justin to Kelly </v>
      </c>
      <c r="AE2769">
        <f t="shared" si="72"/>
        <v>4922076</v>
      </c>
    </row>
    <row r="2770" customHeight="1" spans="1:31">
      <c r="A2770" s="2" t="s">
        <v>2988</v>
      </c>
      <c r="B2770" s="2">
        <v>123</v>
      </c>
      <c r="C2770" s="2">
        <v>18272447</v>
      </c>
      <c r="D2770" s="2" t="s">
        <v>1655</v>
      </c>
      <c r="E2770" s="2" t="s">
        <v>30</v>
      </c>
      <c r="F2770" t="s">
        <v>23</v>
      </c>
      <c r="N2770" s="2" t="s">
        <v>18</v>
      </c>
      <c r="O2770" s="2" t="s">
        <v>19</v>
      </c>
      <c r="P2770" s="2">
        <v>10000000</v>
      </c>
      <c r="Q2770" s="2">
        <v>5.9</v>
      </c>
      <c r="R2770" s="2" t="s">
        <v>5284</v>
      </c>
      <c r="S2770" s="2"/>
      <c r="AC2770" s="2"/>
      <c r="AD2770" t="str">
        <f>IFERROR(__xludf.DUMMYFUNCTION("""COMPUTED_VALUE"""),"Girl 6 ")</f>
        <v>Girl 6 </v>
      </c>
      <c r="AE2770">
        <f t="shared" si="72"/>
        <v>4902892</v>
      </c>
    </row>
    <row r="2771" customHeight="1" spans="1:31">
      <c r="A2771" s="2" t="s">
        <v>1337</v>
      </c>
      <c r="B2771" s="2">
        <v>93</v>
      </c>
      <c r="C2771" s="2">
        <v>17096053</v>
      </c>
      <c r="D2771" s="2" t="s">
        <v>975</v>
      </c>
      <c r="E2771" s="2" t="s">
        <v>40</v>
      </c>
      <c r="F2771" t="s">
        <v>59</v>
      </c>
      <c r="N2771" s="2" t="s">
        <v>18</v>
      </c>
      <c r="O2771" s="2" t="s">
        <v>19</v>
      </c>
      <c r="P2771" s="2">
        <v>9000000</v>
      </c>
      <c r="Q2771" s="2">
        <v>7.7</v>
      </c>
      <c r="R2771" s="2" t="s">
        <v>5285</v>
      </c>
      <c r="S2771" s="2"/>
      <c r="AC2771" s="2"/>
      <c r="AD2771" t="str">
        <f>IFERROR(__xludf.DUMMYFUNCTION("""COMPUTED_VALUE"""),"In the Cut ")</f>
        <v>In the Cut </v>
      </c>
      <c r="AE2771">
        <f t="shared" si="72"/>
        <v>4717342</v>
      </c>
    </row>
    <row r="2772" customHeight="1" spans="1:31">
      <c r="A2772" s="2" t="s">
        <v>1524</v>
      </c>
      <c r="B2772" s="2">
        <v>97</v>
      </c>
      <c r="C2772" s="2">
        <v>21371425</v>
      </c>
      <c r="D2772" s="2" t="s">
        <v>1094</v>
      </c>
      <c r="E2772" s="2" t="s">
        <v>12</v>
      </c>
      <c r="F2772" t="s">
        <v>24</v>
      </c>
      <c r="N2772" s="2" t="s">
        <v>18</v>
      </c>
      <c r="O2772" s="2" t="s">
        <v>19</v>
      </c>
      <c r="P2772" s="2">
        <v>10000000</v>
      </c>
      <c r="Q2772" s="2">
        <v>4.4</v>
      </c>
      <c r="R2772" s="2" t="s">
        <v>5286</v>
      </c>
      <c r="S2772" s="2"/>
      <c r="AC2772" s="2"/>
      <c r="AD2772" t="str">
        <f>IFERROR(__xludf.DUMMYFUNCTION("""COMPUTED_VALUE"""),"Two Lovers ")</f>
        <v>Two Lovers </v>
      </c>
      <c r="AE2772">
        <f t="shared" si="72"/>
        <v>3148372</v>
      </c>
    </row>
    <row r="2773" customHeight="1" spans="1:31">
      <c r="A2773" s="2" t="s">
        <v>1166</v>
      </c>
      <c r="B2773" s="2">
        <v>122</v>
      </c>
      <c r="C2773" s="2">
        <v>33071558</v>
      </c>
      <c r="D2773" s="2" t="s">
        <v>975</v>
      </c>
      <c r="E2773" s="2" t="s">
        <v>40</v>
      </c>
      <c r="F2773" t="s">
        <v>56</v>
      </c>
      <c r="N2773" s="2" t="s">
        <v>18</v>
      </c>
      <c r="O2773" s="2" t="s">
        <v>31</v>
      </c>
      <c r="P2773" s="2">
        <v>10000000</v>
      </c>
      <c r="Q2773" s="2">
        <v>6.6</v>
      </c>
      <c r="R2773" s="2" t="s">
        <v>5287</v>
      </c>
      <c r="S2773" s="2"/>
      <c r="AC2773" s="2"/>
      <c r="AD2773" t="str">
        <f>IFERROR(__xludf.DUMMYFUNCTION("""COMPUTED_VALUE"""),"Last Orders ")</f>
        <v>Last Orders </v>
      </c>
      <c r="AE2773">
        <f t="shared" si="72"/>
        <v>2326298</v>
      </c>
    </row>
    <row r="2774" customHeight="1" spans="1:31">
      <c r="A2774" s="2" t="s">
        <v>2990</v>
      </c>
      <c r="B2774" s="2">
        <v>101</v>
      </c>
      <c r="C2774" s="2">
        <v>17655201</v>
      </c>
      <c r="D2774" s="2" t="s">
        <v>2984</v>
      </c>
      <c r="E2774" s="2" t="s">
        <v>30</v>
      </c>
      <c r="F2774" t="s">
        <v>13</v>
      </c>
      <c r="N2774" s="2" t="s">
        <v>18</v>
      </c>
      <c r="O2774" s="2" t="s">
        <v>19</v>
      </c>
      <c r="P2774" s="2">
        <v>10000000</v>
      </c>
      <c r="Q2774" s="2">
        <v>6.7</v>
      </c>
      <c r="R2774" s="2" t="s">
        <v>5288</v>
      </c>
      <c r="S2774" s="2"/>
      <c r="AC2774" s="2"/>
      <c r="AD2774" t="str">
        <f>IFERROR(__xludf.DUMMYFUNCTION("""COMPUTED_VALUE"""),"Ravenous ")</f>
        <v>Ravenous </v>
      </c>
      <c r="AE2774">
        <f t="shared" si="72"/>
        <v>2201302</v>
      </c>
    </row>
    <row r="2775" customHeight="1" spans="1:31">
      <c r="A2775" s="2" t="s">
        <v>2352</v>
      </c>
      <c r="B2775" s="2">
        <v>100</v>
      </c>
      <c r="C2775" s="2">
        <v>16247775</v>
      </c>
      <c r="D2775" s="2" t="s">
        <v>1061</v>
      </c>
      <c r="E2775" s="2" t="s">
        <v>40</v>
      </c>
      <c r="F2775" t="s">
        <v>30</v>
      </c>
      <c r="N2775" s="2" t="s">
        <v>18</v>
      </c>
      <c r="O2775" s="2" t="s">
        <v>19</v>
      </c>
      <c r="P2775" s="2">
        <v>25000000</v>
      </c>
      <c r="Q2775" s="2">
        <v>5.5</v>
      </c>
      <c r="R2775" s="2" t="s">
        <v>5289</v>
      </c>
      <c r="S2775" s="2"/>
      <c r="AC2775" s="2"/>
      <c r="AD2775" t="str">
        <f>IFERROR(__xludf.DUMMYFUNCTION("""COMPUTED_VALUE"""),"Charlie Bartlett ")</f>
        <v>Charlie Bartlett </v>
      </c>
      <c r="AE2775">
        <f t="shared" si="72"/>
        <v>2060852</v>
      </c>
    </row>
    <row r="2776" customHeight="1" spans="1:31">
      <c r="A2776" s="2" t="s">
        <v>1259</v>
      </c>
      <c r="B2776" s="2">
        <v>129</v>
      </c>
      <c r="C2776" s="2">
        <v>16153600</v>
      </c>
      <c r="D2776" s="2" t="s">
        <v>3280</v>
      </c>
      <c r="E2776" s="2" t="s">
        <v>30</v>
      </c>
      <c r="F2776" t="s">
        <v>13</v>
      </c>
      <c r="N2776" s="2" t="s">
        <v>18</v>
      </c>
      <c r="O2776" s="2" t="s">
        <v>19</v>
      </c>
      <c r="P2776" s="2">
        <v>10000000</v>
      </c>
      <c r="Q2776" s="2">
        <v>6.5</v>
      </c>
      <c r="R2776" s="2" t="s">
        <v>5290</v>
      </c>
      <c r="S2776" s="2"/>
      <c r="AC2776" s="2"/>
      <c r="AD2776" t="str">
        <f>IFERROR(__xludf.DUMMYFUNCTION("""COMPUTED_VALUE"""),"The Great Beauty ")</f>
        <v>The Great Beauty </v>
      </c>
      <c r="AE2776">
        <f t="shared" si="72"/>
        <v>3950197</v>
      </c>
    </row>
    <row r="2777" customHeight="1" spans="1:31">
      <c r="A2777" s="2" t="s">
        <v>1249</v>
      </c>
      <c r="B2777" s="2">
        <v>81</v>
      </c>
      <c r="C2777" s="2">
        <v>16033556</v>
      </c>
      <c r="D2777" s="2" t="s">
        <v>811</v>
      </c>
      <c r="E2777" s="2" t="s">
        <v>12</v>
      </c>
      <c r="F2777" t="s">
        <v>30</v>
      </c>
      <c r="N2777" s="2" t="s">
        <v>18</v>
      </c>
      <c r="O2777" s="2" t="s">
        <v>19</v>
      </c>
      <c r="P2777" s="2">
        <v>10000000</v>
      </c>
      <c r="Q2777" s="2">
        <v>6.2</v>
      </c>
      <c r="R2777" s="2" t="s">
        <v>5291</v>
      </c>
      <c r="S2777" s="2"/>
      <c r="AC2777" s="2"/>
      <c r="AD2777" t="str">
        <f>IFERROR(__xludf.DUMMYFUNCTION("""COMPUTED_VALUE"""),"The Dangerous Lives of Altar Boys ")</f>
        <v>The Dangerous Lives of Altar Boys </v>
      </c>
      <c r="AE2777">
        <f t="shared" si="72"/>
        <v>2835714</v>
      </c>
    </row>
    <row r="2778" customHeight="1" spans="1:31">
      <c r="A2778" s="2" t="s">
        <v>665</v>
      </c>
      <c r="B2778" s="2">
        <v>96</v>
      </c>
      <c r="C2778" s="2">
        <v>16667084</v>
      </c>
      <c r="D2778" s="2" t="s">
        <v>4797</v>
      </c>
      <c r="E2778" s="2" t="s">
        <v>40</v>
      </c>
      <c r="F2778" t="s">
        <v>83</v>
      </c>
      <c r="N2778" s="2" t="s">
        <v>18</v>
      </c>
      <c r="O2778" s="2" t="s">
        <v>19</v>
      </c>
      <c r="P2778" s="2">
        <v>11000000</v>
      </c>
      <c r="Q2778" s="2">
        <v>7.1</v>
      </c>
      <c r="R2778" s="2" t="s">
        <v>5292</v>
      </c>
      <c r="S2778" s="2"/>
      <c r="AC2778" s="2"/>
      <c r="AD2778" t="str">
        <f>IFERROR(__xludf.DUMMYFUNCTION("""COMPUTED_VALUE"""),"Stoker ")</f>
        <v>Stoker </v>
      </c>
      <c r="AE2778">
        <f t="shared" si="72"/>
        <v>1779180</v>
      </c>
    </row>
    <row r="2779" customHeight="1" spans="1:31">
      <c r="A2779" s="2" t="s">
        <v>2992</v>
      </c>
      <c r="B2779" s="2">
        <v>84</v>
      </c>
      <c r="C2779" s="2">
        <v>15417771</v>
      </c>
      <c r="D2779" s="2" t="s">
        <v>2781</v>
      </c>
      <c r="E2779" s="2" t="s">
        <v>72</v>
      </c>
      <c r="F2779" t="s">
        <v>30</v>
      </c>
      <c r="N2779" s="2" t="s">
        <v>18</v>
      </c>
      <c r="O2779" s="2" t="s">
        <v>19</v>
      </c>
      <c r="P2779" s="2">
        <v>12600000</v>
      </c>
      <c r="Q2779" s="2">
        <v>6.1</v>
      </c>
      <c r="R2779" s="2" t="s">
        <v>5293</v>
      </c>
      <c r="S2779" s="2"/>
      <c r="AC2779" s="2"/>
      <c r="AD2779" t="str">
        <f>IFERROR(__xludf.DUMMYFUNCTION("""COMPUTED_VALUE"""),"2046 ")</f>
        <v>2046 </v>
      </c>
      <c r="AE2779">
        <f t="shared" si="72"/>
        <v>1702178</v>
      </c>
    </row>
    <row r="2780" customHeight="1" spans="1:31">
      <c r="A2780" s="2" t="s">
        <v>2630</v>
      </c>
      <c r="B2780" s="2">
        <v>110</v>
      </c>
      <c r="C2780" s="2">
        <v>15156200</v>
      </c>
      <c r="D2780" s="2" t="s">
        <v>915</v>
      </c>
      <c r="E2780" s="2" t="s">
        <v>12</v>
      </c>
      <c r="F2780" t="s">
        <v>83</v>
      </c>
      <c r="N2780" s="2" t="s">
        <v>18</v>
      </c>
      <c r="O2780" s="2" t="s">
        <v>19</v>
      </c>
      <c r="P2780" s="2">
        <v>30000000</v>
      </c>
      <c r="Q2780" s="2">
        <v>6</v>
      </c>
      <c r="R2780" s="2" t="s">
        <v>5294</v>
      </c>
      <c r="S2780" s="2"/>
      <c r="AC2780" s="2"/>
      <c r="AD2780" t="str">
        <f>IFERROR(__xludf.DUMMYFUNCTION("""COMPUTED_VALUE"""),"Married Life ")</f>
        <v>Married Life </v>
      </c>
      <c r="AE2780">
        <f t="shared" si="72"/>
        <v>261352</v>
      </c>
    </row>
    <row r="2781" customHeight="1" spans="1:31">
      <c r="A2781" s="2" t="s">
        <v>2418</v>
      </c>
      <c r="B2781" s="2">
        <v>130</v>
      </c>
      <c r="C2781" s="2">
        <v>21589307</v>
      </c>
      <c r="D2781" s="2" t="s">
        <v>30</v>
      </c>
      <c r="E2781" s="2" t="s">
        <v>30</v>
      </c>
      <c r="F2781" t="s">
        <v>30</v>
      </c>
      <c r="N2781" s="2" t="s">
        <v>18</v>
      </c>
      <c r="O2781" s="2" t="s">
        <v>19</v>
      </c>
      <c r="P2781" s="2">
        <v>10000000</v>
      </c>
      <c r="Q2781" s="2">
        <v>7.4</v>
      </c>
      <c r="R2781" s="2" t="s">
        <v>5295</v>
      </c>
      <c r="S2781" s="2"/>
      <c r="AC2781" s="2"/>
      <c r="AD2781" t="str">
        <f>IFERROR(__xludf.DUMMYFUNCTION("""COMPUTED_VALUE"""),"Duma ")</f>
        <v>Duma </v>
      </c>
      <c r="AE2781">
        <f t="shared" si="72"/>
        <v>1506907</v>
      </c>
    </row>
    <row r="2782" customHeight="1" spans="1:31">
      <c r="A2782" s="2" t="s">
        <v>2994</v>
      </c>
      <c r="B2782" s="2">
        <v>84</v>
      </c>
      <c r="C2782" s="2">
        <v>20339754</v>
      </c>
      <c r="D2782" s="2" t="s">
        <v>383</v>
      </c>
      <c r="E2782" s="2" t="s">
        <v>40</v>
      </c>
      <c r="F2782" t="s">
        <v>28</v>
      </c>
      <c r="N2782" s="2" t="s">
        <v>18</v>
      </c>
      <c r="O2782" s="2" t="s">
        <v>19</v>
      </c>
      <c r="P2782" s="2">
        <v>10000000</v>
      </c>
      <c r="Q2782" s="2">
        <v>5.9</v>
      </c>
      <c r="R2782" s="2" t="s">
        <v>5296</v>
      </c>
      <c r="S2782" s="2"/>
      <c r="AC2782" s="2"/>
      <c r="AD2782" t="str">
        <f>IFERROR(__xludf.DUMMYFUNCTION("""COMPUTED_VALUE"""),"Ondine ")</f>
        <v>Ondine </v>
      </c>
      <c r="AE2782">
        <f t="shared" si="72"/>
        <v>859902</v>
      </c>
    </row>
    <row r="2783" customHeight="1" spans="1:31">
      <c r="A2783" s="2" t="s">
        <v>2996</v>
      </c>
      <c r="B2783" s="2">
        <v>106</v>
      </c>
      <c r="C2783" s="2">
        <v>28873374</v>
      </c>
      <c r="D2783" s="2" t="s">
        <v>1652</v>
      </c>
      <c r="E2783" s="2" t="s">
        <v>65</v>
      </c>
      <c r="F2783" t="s">
        <v>13</v>
      </c>
      <c r="N2783" s="2" t="s">
        <v>18</v>
      </c>
      <c r="O2783" s="2" t="s">
        <v>19</v>
      </c>
      <c r="P2783" s="2">
        <v>10000000</v>
      </c>
      <c r="Q2783" s="2">
        <v>4.1</v>
      </c>
      <c r="R2783" s="2" t="s">
        <v>5297</v>
      </c>
      <c r="S2783" s="2"/>
      <c r="AC2783" s="2"/>
      <c r="AD2783" t="str">
        <f>IFERROR(__xludf.DUMMYFUNCTION("""COMPUTED_VALUE"""),"Brother ")</f>
        <v>Brother </v>
      </c>
      <c r="AE2783">
        <f t="shared" si="72"/>
        <v>548823</v>
      </c>
    </row>
    <row r="2784" customHeight="1" spans="1:31">
      <c r="A2784" s="2" t="s">
        <v>2998</v>
      </c>
      <c r="B2784" s="2">
        <v>76</v>
      </c>
      <c r="C2784" s="2">
        <v>13684949</v>
      </c>
      <c r="D2784" s="2" t="s">
        <v>189</v>
      </c>
      <c r="E2784" s="2" t="s">
        <v>13</v>
      </c>
      <c r="F2784" t="s">
        <v>23</v>
      </c>
      <c r="N2784" s="2" t="s">
        <v>18</v>
      </c>
      <c r="O2784" s="2" t="s">
        <v>19</v>
      </c>
      <c r="P2784" s="2">
        <v>3000000</v>
      </c>
      <c r="Q2784" s="2">
        <v>5.9</v>
      </c>
      <c r="R2784" s="2" t="s">
        <v>5298</v>
      </c>
      <c r="S2784" s="2"/>
      <c r="AC2784" s="2"/>
      <c r="AD2784" t="str">
        <f>IFERROR(__xludf.DUMMYFUNCTION("""COMPUTED_VALUE"""),"Welcome to Collinwood ")</f>
        <v>Welcome to Collinwood </v>
      </c>
      <c r="AE2784">
        <f t="shared" si="72"/>
        <v>447636</v>
      </c>
    </row>
    <row r="2785" customHeight="1" spans="1:31">
      <c r="A2785" s="2" t="s">
        <v>2926</v>
      </c>
      <c r="B2785" s="2">
        <v>99</v>
      </c>
      <c r="C2785" s="2">
        <v>14597405</v>
      </c>
      <c r="D2785" s="2" t="s">
        <v>562</v>
      </c>
      <c r="E2785" s="2" t="s">
        <v>59</v>
      </c>
      <c r="F2785" t="s">
        <v>30</v>
      </c>
      <c r="N2785" s="2" t="s">
        <v>18</v>
      </c>
      <c r="O2785" s="2" t="s">
        <v>31</v>
      </c>
      <c r="P2785" s="2">
        <v>6400000</v>
      </c>
      <c r="Q2785" s="2">
        <v>7</v>
      </c>
      <c r="R2785" s="2" t="s">
        <v>5299</v>
      </c>
      <c r="S2785" s="2"/>
      <c r="AC2785" s="2"/>
      <c r="AD2785" t="str">
        <f>IFERROR(__xludf.DUMMYFUNCTION("""COMPUTED_VALUE"""),"Critical Care ")</f>
        <v>Critical Care </v>
      </c>
      <c r="AE2785">
        <f t="shared" si="72"/>
        <v>333890</v>
      </c>
    </row>
    <row r="2786" customHeight="1" spans="1:31">
      <c r="A2786" s="2" t="s">
        <v>1589</v>
      </c>
      <c r="B2786" s="2">
        <v>96</v>
      </c>
      <c r="C2786" s="2">
        <v>12570442</v>
      </c>
      <c r="D2786" s="2" t="s">
        <v>2186</v>
      </c>
      <c r="E2786" s="2" t="s">
        <v>40</v>
      </c>
      <c r="F2786" t="s">
        <v>30</v>
      </c>
      <c r="N2786" s="2" t="s">
        <v>18</v>
      </c>
      <c r="O2786" s="2" t="s">
        <v>19</v>
      </c>
      <c r="P2786" s="2">
        <v>10000000</v>
      </c>
      <c r="Q2786" s="2">
        <v>6.8</v>
      </c>
      <c r="R2786" s="2" t="s">
        <v>5300</v>
      </c>
      <c r="S2786" s="2"/>
      <c r="AC2786" s="2"/>
      <c r="AD2786" t="str">
        <f>IFERROR(__xludf.DUMMYFUNCTION("""COMPUTED_VALUE"""),"The Life Before Her Eyes ")</f>
        <v>The Life Before Her Eyes </v>
      </c>
      <c r="AE2786">
        <f t="shared" si="72"/>
        <v>141746</v>
      </c>
    </row>
    <row r="2787" customHeight="1" spans="1:31">
      <c r="A2787" s="2" t="s">
        <v>3000</v>
      </c>
      <c r="B2787" s="2">
        <v>104</v>
      </c>
      <c r="C2787" s="2">
        <v>12514138</v>
      </c>
      <c r="D2787" s="2" t="s">
        <v>103</v>
      </c>
      <c r="E2787" s="2" t="s">
        <v>30</v>
      </c>
      <c r="F2787" t="s">
        <v>56</v>
      </c>
      <c r="N2787" s="2" t="s">
        <v>18</v>
      </c>
      <c r="O2787" s="2" t="s">
        <v>19</v>
      </c>
      <c r="P2787" s="2">
        <v>10000000</v>
      </c>
      <c r="Q2787" s="2">
        <v>7.4</v>
      </c>
      <c r="R2787" s="2" t="s">
        <v>5301</v>
      </c>
      <c r="S2787" s="2"/>
      <c r="AC2787" s="2"/>
      <c r="AD2787" t="str">
        <f>IFERROR(__xludf.DUMMYFUNCTION("""COMPUTED_VALUE"""),"Trade ")</f>
        <v>Trade </v>
      </c>
      <c r="AE2787">
        <f t="shared" si="72"/>
        <v>303349</v>
      </c>
    </row>
    <row r="2788" customHeight="1" spans="1:31">
      <c r="A2788" s="2" t="s">
        <v>3002</v>
      </c>
      <c r="B2788" s="2">
        <v>108</v>
      </c>
      <c r="C2788" s="2">
        <v>43771291</v>
      </c>
      <c r="D2788" s="2" t="s">
        <v>328</v>
      </c>
      <c r="E2788" s="2" t="s">
        <v>28</v>
      </c>
      <c r="F2788" t="s">
        <v>56</v>
      </c>
      <c r="N2788" s="2" t="s">
        <v>18</v>
      </c>
      <c r="O2788" s="2" t="s">
        <v>19</v>
      </c>
      <c r="P2788" s="2">
        <v>5000000</v>
      </c>
      <c r="Q2788" s="2">
        <v>7.1</v>
      </c>
      <c r="R2788" s="2" t="s">
        <v>5302</v>
      </c>
      <c r="S2788" s="2"/>
      <c r="AC2788" s="2"/>
      <c r="AD2788" t="str">
        <f>IFERROR(__xludf.DUMMYFUNCTION("""COMPUTED_VALUE"""),"Fateless ")</f>
        <v>Fateless </v>
      </c>
      <c r="AE2788">
        <f t="shared" si="72"/>
        <v>214082</v>
      </c>
    </row>
    <row r="2789" customHeight="1" spans="1:31">
      <c r="A2789" s="2" t="s">
        <v>3005</v>
      </c>
      <c r="B2789" s="2">
        <v>108</v>
      </c>
      <c r="C2789" s="2">
        <v>11703287</v>
      </c>
      <c r="D2789" s="2" t="s">
        <v>2943</v>
      </c>
      <c r="E2789" s="2" t="s">
        <v>13</v>
      </c>
      <c r="F2789" t="s">
        <v>13</v>
      </c>
      <c r="N2789" s="2" t="s">
        <v>18</v>
      </c>
      <c r="O2789" s="2" t="s">
        <v>19</v>
      </c>
      <c r="P2789" s="2">
        <v>10000000</v>
      </c>
      <c r="Q2789" s="2">
        <v>7</v>
      </c>
      <c r="R2789" s="2" t="s">
        <v>5303</v>
      </c>
      <c r="S2789" s="2"/>
      <c r="AC2789" s="2"/>
      <c r="AD2789" t="str">
        <f>IFERROR(__xludf.DUMMYFUNCTION("""COMPUTED_VALUE"""),"Breakfast of Champions ")</f>
        <v>Breakfast of Champions </v>
      </c>
      <c r="AE2789">
        <f t="shared" si="72"/>
        <v>195754</v>
      </c>
    </row>
    <row r="2790" customHeight="1" spans="1:31">
      <c r="A2790" s="2" t="s">
        <v>1687</v>
      </c>
      <c r="B2790" s="2">
        <v>87</v>
      </c>
      <c r="C2790" s="2">
        <v>11560259</v>
      </c>
      <c r="D2790" s="2" t="s">
        <v>607</v>
      </c>
      <c r="E2790" s="2" t="s">
        <v>40</v>
      </c>
      <c r="F2790" t="s">
        <v>13</v>
      </c>
      <c r="N2790" s="2" t="s">
        <v>18</v>
      </c>
      <c r="O2790" s="2" t="s">
        <v>19</v>
      </c>
      <c r="P2790" s="2">
        <v>22000000</v>
      </c>
      <c r="Q2790" s="2">
        <v>5.8</v>
      </c>
      <c r="R2790" s="2" t="s">
        <v>5304</v>
      </c>
      <c r="S2790" s="2"/>
      <c r="AC2790" s="2"/>
      <c r="AD2790" t="str">
        <f>IFERROR(__xludf.DUMMYFUNCTION("""COMPUTED_VALUE"""),"City of Life and Death ")</f>
        <v>City of Life and Death </v>
      </c>
      <c r="AE2790">
        <f t="shared" si="72"/>
        <v>175260</v>
      </c>
    </row>
    <row r="2791" customHeight="1" spans="1:31">
      <c r="A2791" s="2" t="s">
        <v>2823</v>
      </c>
      <c r="B2791" s="2">
        <v>89</v>
      </c>
      <c r="C2791" s="2">
        <v>10824921</v>
      </c>
      <c r="D2791" s="2" t="s">
        <v>40</v>
      </c>
      <c r="E2791" s="2" t="s">
        <v>40</v>
      </c>
      <c r="F2791" t="s">
        <v>40</v>
      </c>
      <c r="N2791" s="2" t="s">
        <v>18</v>
      </c>
      <c r="O2791" s="2" t="s">
        <v>19</v>
      </c>
      <c r="P2791" s="2">
        <v>10000000</v>
      </c>
      <c r="Q2791" s="2">
        <v>7.8</v>
      </c>
      <c r="R2791" s="2" t="s">
        <v>5305</v>
      </c>
      <c r="S2791" s="2"/>
      <c r="AC2791" s="2"/>
      <c r="AD2791" t="str">
        <f>IFERROR(__xludf.DUMMYFUNCTION("""COMPUTED_VALUE"""),"5 Days of War ")</f>
        <v>5 Days of War </v>
      </c>
      <c r="AE2791">
        <f t="shared" si="72"/>
        <v>119790</v>
      </c>
    </row>
    <row r="2792" customHeight="1" spans="1:31">
      <c r="A2792" s="2" t="s">
        <v>3007</v>
      </c>
      <c r="B2792" s="2">
        <v>97</v>
      </c>
      <c r="C2792" s="2">
        <v>10561238</v>
      </c>
      <c r="D2792" s="2" t="s">
        <v>5306</v>
      </c>
      <c r="E2792" s="2" t="s">
        <v>40</v>
      </c>
      <c r="F2792" t="s">
        <v>72</v>
      </c>
      <c r="N2792" s="2" t="s">
        <v>18</v>
      </c>
      <c r="O2792" s="2" t="s">
        <v>293</v>
      </c>
      <c r="P2792" s="2">
        <v>10000000</v>
      </c>
      <c r="Q2792" s="2">
        <v>6.5</v>
      </c>
      <c r="R2792" s="2" t="s">
        <v>5307</v>
      </c>
      <c r="S2792" s="2"/>
      <c r="AC2792" s="2"/>
      <c r="AD2792" t="str">
        <f>IFERROR(__xludf.DUMMYFUNCTION("""COMPUTED_VALUE"""),"10 Days in a Madhouse ")</f>
        <v>10 Days in a Madhouse </v>
      </c>
      <c r="AE2792">
        <f t="shared" si="72"/>
        <v>17036</v>
      </c>
    </row>
    <row r="2793" customHeight="1" spans="1:31">
      <c r="A2793" s="2" t="s">
        <v>117</v>
      </c>
      <c r="B2793" s="2">
        <v>106</v>
      </c>
      <c r="C2793" s="2">
        <v>14479776</v>
      </c>
      <c r="D2793" s="2" t="s">
        <v>5308</v>
      </c>
      <c r="E2793" s="2" t="s">
        <v>59</v>
      </c>
      <c r="F2793" t="s">
        <v>28</v>
      </c>
      <c r="N2793" s="2" t="s">
        <v>18</v>
      </c>
      <c r="O2793" s="2" t="s">
        <v>19</v>
      </c>
      <c r="P2793" s="2">
        <v>10000000</v>
      </c>
      <c r="Q2793" s="2">
        <v>7</v>
      </c>
      <c r="R2793" s="2" t="s">
        <v>5309</v>
      </c>
      <c r="S2793" s="2"/>
      <c r="AC2793" s="2"/>
      <c r="AD2793" t="str">
        <f>IFERROR(__xludf.DUMMYFUNCTION("""COMPUTED_VALUE"""),"Heaven Is for Real ")</f>
        <v>Heaven Is for Real </v>
      </c>
      <c r="AE2793">
        <f t="shared" si="72"/>
        <v>14505</v>
      </c>
    </row>
    <row r="2794" customHeight="1" spans="1:31">
      <c r="A2794" s="2" t="s">
        <v>107</v>
      </c>
      <c r="B2794" s="2">
        <v>100</v>
      </c>
      <c r="C2794" s="2">
        <v>9801782</v>
      </c>
      <c r="D2794" s="2" t="s">
        <v>2471</v>
      </c>
      <c r="E2794" s="2" t="s">
        <v>40</v>
      </c>
      <c r="F2794" t="s">
        <v>72</v>
      </c>
      <c r="N2794" s="2" t="s">
        <v>18</v>
      </c>
      <c r="O2794" s="2" t="s">
        <v>19</v>
      </c>
      <c r="P2794" s="2">
        <v>10000000</v>
      </c>
      <c r="Q2794" s="2">
        <v>6.3</v>
      </c>
      <c r="R2794" s="2" t="s">
        <v>5310</v>
      </c>
      <c r="S2794" s="2"/>
      <c r="AC2794" s="2"/>
      <c r="AD2794" t="str">
        <f>IFERROR(__xludf.DUMMYFUNCTION("""COMPUTED_VALUE"""),"Snatch ")</f>
        <v>Snatch </v>
      </c>
      <c r="AE2794">
        <f t="shared" si="72"/>
        <v>91443154</v>
      </c>
    </row>
    <row r="2795" customHeight="1" spans="1:31">
      <c r="A2795" s="2" t="s">
        <v>2489</v>
      </c>
      <c r="B2795" s="2">
        <v>89</v>
      </c>
      <c r="C2795" s="2">
        <v>8070311</v>
      </c>
      <c r="D2795" s="2" t="s">
        <v>607</v>
      </c>
      <c r="E2795" s="2" t="s">
        <v>40</v>
      </c>
      <c r="F2795" t="s">
        <v>56</v>
      </c>
      <c r="N2795" s="2" t="s">
        <v>18</v>
      </c>
      <c r="O2795" s="2" t="s">
        <v>19</v>
      </c>
      <c r="P2795" s="2">
        <v>10000000</v>
      </c>
      <c r="Q2795" s="2">
        <v>5.3</v>
      </c>
      <c r="R2795" s="2" t="s">
        <v>5311</v>
      </c>
      <c r="S2795" s="2"/>
      <c r="AC2795" s="2"/>
      <c r="AD2795" t="str">
        <f>IFERROR(__xludf.DUMMYFUNCTION("""COMPUTED_VALUE"""),"Pet Sematary ")</f>
        <v>Pet Sematary </v>
      </c>
      <c r="AE2795">
        <f t="shared" si="72"/>
        <v>30093003</v>
      </c>
    </row>
    <row r="2796" customHeight="1" spans="1:31">
      <c r="A2796" s="2" t="s">
        <v>3009</v>
      </c>
      <c r="B2796" s="2">
        <v>95</v>
      </c>
      <c r="C2796" s="2">
        <v>8460995</v>
      </c>
      <c r="D2796" s="2" t="s">
        <v>524</v>
      </c>
      <c r="E2796" s="2" t="s">
        <v>12</v>
      </c>
      <c r="F2796" t="s">
        <v>30</v>
      </c>
      <c r="N2796" s="2" t="s">
        <v>18</v>
      </c>
      <c r="O2796" s="2" t="s">
        <v>19</v>
      </c>
      <c r="P2796" s="2">
        <v>10000000</v>
      </c>
      <c r="Q2796" s="2">
        <v>5.5</v>
      </c>
      <c r="R2796" s="2" t="s">
        <v>5312</v>
      </c>
      <c r="S2796" s="2"/>
      <c r="AC2796" s="2"/>
      <c r="AD2796" t="str">
        <f>IFERROR(__xludf.DUMMYFUNCTION("""COMPUTED_VALUE"""),"Madadayo ")</f>
        <v>Madadayo </v>
      </c>
      <c r="AE2796">
        <f t="shared" si="72"/>
        <v>57469076</v>
      </c>
    </row>
    <row r="2797" customHeight="1" spans="1:31">
      <c r="A2797" s="2" t="s">
        <v>1377</v>
      </c>
      <c r="B2797" s="2">
        <v>97</v>
      </c>
      <c r="C2797" s="2">
        <v>8111360</v>
      </c>
      <c r="D2797" s="2" t="s">
        <v>805</v>
      </c>
      <c r="E2797" s="2" t="s">
        <v>56</v>
      </c>
      <c r="F2797" t="s">
        <v>30</v>
      </c>
      <c r="N2797" s="2" t="s">
        <v>18</v>
      </c>
      <c r="O2797" s="2" t="s">
        <v>31</v>
      </c>
      <c r="P2797" s="2">
        <v>10000000</v>
      </c>
      <c r="Q2797" s="2">
        <v>7.4</v>
      </c>
      <c r="R2797" s="2" t="s">
        <v>5313</v>
      </c>
      <c r="S2797" s="2"/>
      <c r="AC2797" s="2"/>
      <c r="AD2797" t="str">
        <f>IFERROR(__xludf.DUMMYFUNCTION("""COMPUTED_VALUE"""),"Gremlins ")</f>
        <v>Gremlins </v>
      </c>
      <c r="AE2797">
        <f t="shared" si="72"/>
        <v>48722</v>
      </c>
    </row>
    <row r="2798" customHeight="1" spans="1:31">
      <c r="A2798" s="2" t="s">
        <v>1918</v>
      </c>
      <c r="B2798" s="2">
        <v>94</v>
      </c>
      <c r="C2798" s="2">
        <v>8828771</v>
      </c>
      <c r="D2798" s="2" t="s">
        <v>40</v>
      </c>
      <c r="E2798" s="2" t="s">
        <v>40</v>
      </c>
      <c r="F2798" t="s">
        <v>28</v>
      </c>
      <c r="N2798" s="2" t="s">
        <v>18</v>
      </c>
      <c r="O2798" s="2" t="s">
        <v>19</v>
      </c>
      <c r="P2798" s="2">
        <v>6000000</v>
      </c>
      <c r="Q2798" s="2">
        <v>4.3</v>
      </c>
      <c r="R2798" s="2" t="s">
        <v>5314</v>
      </c>
      <c r="S2798" s="2"/>
      <c r="AC2798" s="2"/>
      <c r="AD2798" t="str">
        <f>IFERROR(__xludf.DUMMYFUNCTION("""COMPUTED_VALUE"""),"Star Wars: Episode IV - A New Hope ")</f>
        <v>Star Wars: Episode IV - A New Hope </v>
      </c>
      <c r="AE2798">
        <f t="shared" si="72"/>
        <v>148169894</v>
      </c>
    </row>
    <row r="2799" customHeight="1" spans="1:31">
      <c r="A2799" s="2" t="s">
        <v>3011</v>
      </c>
      <c r="B2799" s="2">
        <v>95</v>
      </c>
      <c r="C2799" s="2">
        <v>7563670</v>
      </c>
      <c r="D2799" s="2" t="s">
        <v>1456</v>
      </c>
      <c r="E2799" s="2" t="s">
        <v>40</v>
      </c>
      <c r="F2799" t="s">
        <v>14</v>
      </c>
      <c r="N2799" s="2" t="s">
        <v>18</v>
      </c>
      <c r="O2799" s="2" t="s">
        <v>19</v>
      </c>
      <c r="P2799" s="2">
        <v>10000000</v>
      </c>
      <c r="Q2799" s="2">
        <v>5.2</v>
      </c>
      <c r="R2799" s="2" t="s">
        <v>5315</v>
      </c>
      <c r="S2799" s="2"/>
      <c r="AC2799" s="2"/>
      <c r="AD2799" t="str">
        <f>IFERROR(__xludf.DUMMYFUNCTION("""COMPUTED_VALUE"""),"Dirty Grandpa ")</f>
        <v>Dirty Grandpa </v>
      </c>
      <c r="AE2799">
        <f t="shared" si="72"/>
        <v>460935540</v>
      </c>
    </row>
    <row r="2800" customHeight="1" spans="1:31">
      <c r="A2800" s="2" t="s">
        <v>3013</v>
      </c>
      <c r="B2800" s="2">
        <v>101</v>
      </c>
      <c r="C2800" s="2">
        <v>6619173</v>
      </c>
      <c r="D2800" s="2" t="s">
        <v>5316</v>
      </c>
      <c r="E2800" s="2" t="s">
        <v>13</v>
      </c>
      <c r="F2800" t="s">
        <v>83</v>
      </c>
      <c r="N2800" s="2" t="s">
        <v>18</v>
      </c>
      <c r="O2800" s="2" t="s">
        <v>19</v>
      </c>
      <c r="P2800" s="2">
        <v>10000000</v>
      </c>
      <c r="Q2800" s="2">
        <v>6.7</v>
      </c>
      <c r="R2800" s="2" t="s">
        <v>5317</v>
      </c>
      <c r="S2800" s="2"/>
      <c r="AC2800" s="2"/>
      <c r="AD2800" t="str">
        <f>IFERROR(__xludf.DUMMYFUNCTION("""COMPUTED_VALUE"""),"Doctor Zhivago ")</f>
        <v>Doctor Zhivago </v>
      </c>
      <c r="AE2800">
        <f t="shared" si="72"/>
        <v>35537455</v>
      </c>
    </row>
    <row r="2801" customHeight="1" spans="1:31">
      <c r="A2801" s="2" t="s">
        <v>3015</v>
      </c>
      <c r="B2801" s="2">
        <v>101</v>
      </c>
      <c r="C2801" s="2">
        <v>6712241</v>
      </c>
      <c r="D2801" s="2" t="s">
        <v>718</v>
      </c>
      <c r="E2801" s="2" t="s">
        <v>56</v>
      </c>
      <c r="F2801" t="s">
        <v>17</v>
      </c>
      <c r="N2801" s="2" t="s">
        <v>18</v>
      </c>
      <c r="O2801" s="2" t="s">
        <v>19</v>
      </c>
      <c r="P2801" s="2">
        <v>7500000</v>
      </c>
      <c r="Q2801" s="2">
        <v>8.6</v>
      </c>
      <c r="R2801" s="2" t="s">
        <v>5318</v>
      </c>
      <c r="S2801" s="2"/>
      <c r="AC2801" s="2"/>
      <c r="AD2801" t="str">
        <f>IFERROR(__xludf.DUMMYFUNCTION("""COMPUTED_VALUE"""),"High School Musical 3: Senior Year ")</f>
        <v>High School Musical 3: Senior Year </v>
      </c>
      <c r="AE2801">
        <f t="shared" si="72"/>
        <v>111721800</v>
      </c>
    </row>
    <row r="2802" customHeight="1" spans="1:31">
      <c r="A2802" s="2" t="s">
        <v>3017</v>
      </c>
      <c r="B2802" s="2">
        <v>82</v>
      </c>
      <c r="C2802" s="2">
        <v>6842058</v>
      </c>
      <c r="D2802" s="2" t="s">
        <v>2009</v>
      </c>
      <c r="E2802" s="2" t="s">
        <v>12</v>
      </c>
      <c r="F2802" t="s">
        <v>30</v>
      </c>
      <c r="N2802" s="2" t="s">
        <v>18</v>
      </c>
      <c r="O2802" s="2" t="s">
        <v>19</v>
      </c>
      <c r="P2802" s="2">
        <v>10000000</v>
      </c>
      <c r="Q2802" s="2">
        <v>6.1</v>
      </c>
      <c r="R2802" s="2" t="s">
        <v>5319</v>
      </c>
      <c r="S2802" s="2"/>
      <c r="AC2802" s="2"/>
      <c r="AD2802" t="str">
        <f>IFERROR(__xludf.DUMMYFUNCTION("""COMPUTED_VALUE"""),"The Fighter ")</f>
        <v>The Fighter </v>
      </c>
      <c r="AE2802">
        <f t="shared" si="72"/>
        <v>90556289</v>
      </c>
    </row>
    <row r="2803" customHeight="1" spans="1:31">
      <c r="A2803" s="2" t="s">
        <v>3020</v>
      </c>
      <c r="B2803" s="2">
        <v>74</v>
      </c>
      <c r="C2803" s="2">
        <v>6491350</v>
      </c>
      <c r="D2803" s="2" t="s">
        <v>3363</v>
      </c>
      <c r="E2803" s="2" t="s">
        <v>35</v>
      </c>
      <c r="F2803" t="s">
        <v>30</v>
      </c>
      <c r="N2803" s="2" t="s">
        <v>18</v>
      </c>
      <c r="O2803" s="2" t="s">
        <v>19</v>
      </c>
      <c r="P2803" s="2">
        <v>10000000</v>
      </c>
      <c r="Q2803" s="2">
        <v>5.8</v>
      </c>
      <c r="R2803" s="2" t="s">
        <v>5320</v>
      </c>
      <c r="S2803" s="2"/>
      <c r="AC2803" s="2"/>
      <c r="AD2803" t="str">
        <f>IFERROR(__xludf.DUMMYFUNCTION("""COMPUTED_VALUE"""),"My Cousin Vinny ")</f>
        <v>My Cousin Vinny </v>
      </c>
      <c r="AE2803">
        <f t="shared" si="72"/>
        <v>93571687</v>
      </c>
    </row>
    <row r="2804" customHeight="1" spans="1:31">
      <c r="A2804" s="2" t="s">
        <v>3022</v>
      </c>
      <c r="B2804" s="2">
        <v>130</v>
      </c>
      <c r="C2804" s="2">
        <v>9473382</v>
      </c>
      <c r="D2804" s="2" t="s">
        <v>5321</v>
      </c>
      <c r="E2804" s="2" t="s">
        <v>30</v>
      </c>
      <c r="F2804" t="s">
        <v>59</v>
      </c>
      <c r="N2804" s="2" t="s">
        <v>1125</v>
      </c>
      <c r="O2804" s="2" t="s">
        <v>121</v>
      </c>
      <c r="P2804" s="2">
        <v>10000000</v>
      </c>
      <c r="Q2804" s="2">
        <v>7.7</v>
      </c>
      <c r="R2804" s="2" t="s">
        <v>5322</v>
      </c>
      <c r="S2804" s="2"/>
      <c r="AC2804" s="2"/>
      <c r="AD2804" t="str">
        <f>IFERROR(__xludf.DUMMYFUNCTION("""COMPUTED_VALUE"""),"If I Stay ")</f>
        <v>If I Stay </v>
      </c>
      <c r="AE2804">
        <f t="shared" si="72"/>
        <v>52929048</v>
      </c>
    </row>
    <row r="2805" customHeight="1" spans="1:31">
      <c r="A2805" s="2" t="s">
        <v>1414</v>
      </c>
      <c r="B2805" s="2">
        <v>112</v>
      </c>
      <c r="C2805" s="2">
        <v>6197866</v>
      </c>
      <c r="D2805" s="2" t="s">
        <v>562</v>
      </c>
      <c r="E2805" s="2" t="s">
        <v>59</v>
      </c>
      <c r="F2805" t="s">
        <v>39</v>
      </c>
      <c r="N2805" s="2" t="s">
        <v>18</v>
      </c>
      <c r="O2805" s="2" t="s">
        <v>707</v>
      </c>
      <c r="P2805" s="2">
        <v>10000000</v>
      </c>
      <c r="Q2805" s="2">
        <v>8</v>
      </c>
      <c r="R2805" s="2" t="s">
        <v>5323</v>
      </c>
      <c r="S2805" s="2"/>
      <c r="AC2805" s="2"/>
      <c r="AD2805" t="str">
        <f>IFERROR(__xludf.DUMMYFUNCTION("""COMPUTED_VALUE"""),"Major League ")</f>
        <v>Major League </v>
      </c>
      <c r="AE2805">
        <f t="shared" si="72"/>
        <v>50461228</v>
      </c>
    </row>
    <row r="2806" customHeight="1" spans="1:31">
      <c r="A2806" s="2" t="s">
        <v>3024</v>
      </c>
      <c r="B2806" s="2">
        <v>96</v>
      </c>
      <c r="C2806" s="2">
        <v>6044618</v>
      </c>
      <c r="D2806" s="2" t="s">
        <v>5324</v>
      </c>
      <c r="E2806" s="2" t="s">
        <v>12</v>
      </c>
      <c r="F2806" t="s">
        <v>56</v>
      </c>
      <c r="N2806" s="2" t="s">
        <v>18</v>
      </c>
      <c r="O2806" s="2" t="s">
        <v>19</v>
      </c>
      <c r="P2806" s="2">
        <v>10000000</v>
      </c>
      <c r="Q2806" s="2">
        <v>5.6</v>
      </c>
      <c r="R2806" s="2" t="s">
        <v>5325</v>
      </c>
      <c r="S2806" s="2"/>
      <c r="AC2806" s="2"/>
      <c r="AD2806" t="str">
        <f>IFERROR(__xludf.DUMMYFUNCTION("""COMPUTED_VALUE"""),"Phone Booth ")</f>
        <v>Phone Booth </v>
      </c>
      <c r="AE2806">
        <f t="shared" si="72"/>
        <v>49797041</v>
      </c>
    </row>
    <row r="2807" customHeight="1" spans="1:31">
      <c r="A2807" s="2" t="s">
        <v>3026</v>
      </c>
      <c r="B2807" s="2">
        <v>89</v>
      </c>
      <c r="C2807" s="2">
        <v>7764027</v>
      </c>
      <c r="D2807" s="2" t="s">
        <v>975</v>
      </c>
      <c r="E2807" s="2" t="s">
        <v>40</v>
      </c>
      <c r="F2807" t="s">
        <v>59</v>
      </c>
      <c r="N2807" s="2" t="s">
        <v>18</v>
      </c>
      <c r="O2807" s="2" t="s">
        <v>19</v>
      </c>
      <c r="P2807" s="2">
        <v>10000000</v>
      </c>
      <c r="Q2807" s="2">
        <v>6.7</v>
      </c>
      <c r="R2807" s="2" t="s">
        <v>5326</v>
      </c>
      <c r="S2807" s="2"/>
      <c r="AC2807" s="2"/>
      <c r="AD2807" t="str">
        <f>IFERROR(__xludf.DUMMYFUNCTION("""COMPUTED_VALUE"""),"A Walk to Remember ")</f>
        <v>A Walk to Remember </v>
      </c>
      <c r="AE2807">
        <f t="shared" ref="AE2807:AE2870" si="73">C2691-B2691</f>
        <v>46563077</v>
      </c>
    </row>
    <row r="2808" customHeight="1" spans="1:31">
      <c r="A2808" s="2" t="s">
        <v>2272</v>
      </c>
      <c r="B2808" s="2">
        <v>121</v>
      </c>
      <c r="C2808" s="2">
        <v>21569041</v>
      </c>
      <c r="D2808" s="2" t="s">
        <v>30</v>
      </c>
      <c r="E2808" s="2" t="s">
        <v>30</v>
      </c>
      <c r="F2808" t="s">
        <v>16</v>
      </c>
      <c r="N2808" s="2" t="s">
        <v>18</v>
      </c>
      <c r="O2808" s="2" t="s">
        <v>19</v>
      </c>
      <c r="P2808" s="2">
        <v>9000000</v>
      </c>
      <c r="Q2808" s="2">
        <v>6.6</v>
      </c>
      <c r="R2808" s="2" t="s">
        <v>5327</v>
      </c>
      <c r="S2808" s="2"/>
      <c r="AC2808" s="2"/>
      <c r="AD2808" t="str">
        <f>IFERROR(__xludf.DUMMYFUNCTION("""COMPUTED_VALUE"""),"Dead Man Walking ")</f>
        <v>Dead Man Walking </v>
      </c>
      <c r="AE2808">
        <f t="shared" si="73"/>
        <v>41226968</v>
      </c>
    </row>
    <row r="2809" customHeight="1" spans="1:31">
      <c r="A2809" s="2" t="s">
        <v>3030</v>
      </c>
      <c r="B2809" s="2">
        <v>85</v>
      </c>
      <c r="C2809" s="2">
        <v>4356743</v>
      </c>
      <c r="D2809" s="2" t="s">
        <v>1061</v>
      </c>
      <c r="E2809" s="2" t="s">
        <v>40</v>
      </c>
      <c r="F2809" t="s">
        <v>39</v>
      </c>
      <c r="N2809" s="2" t="s">
        <v>18</v>
      </c>
      <c r="O2809" s="2" t="s">
        <v>19</v>
      </c>
      <c r="P2809" s="2">
        <v>16000000</v>
      </c>
      <c r="Q2809" s="2">
        <v>4.1</v>
      </c>
      <c r="R2809" s="2" t="s">
        <v>5328</v>
      </c>
      <c r="S2809" s="2"/>
      <c r="AC2809" s="2"/>
      <c r="AD2809" t="str">
        <f>IFERROR(__xludf.DUMMYFUNCTION("""COMPUTED_VALUE"""),"Cruel Intentions ")</f>
        <v>Cruel Intentions </v>
      </c>
      <c r="AE2809">
        <f t="shared" si="73"/>
        <v>39024878</v>
      </c>
    </row>
    <row r="2810" customHeight="1" spans="1:31">
      <c r="A2810" s="2" t="s">
        <v>2105</v>
      </c>
      <c r="B2810" s="2">
        <v>120</v>
      </c>
      <c r="C2810" s="2">
        <v>5484375</v>
      </c>
      <c r="D2810" s="2" t="s">
        <v>5329</v>
      </c>
      <c r="E2810" s="2" t="s">
        <v>13</v>
      </c>
      <c r="F2810" t="s">
        <v>30</v>
      </c>
      <c r="N2810" s="2" t="s">
        <v>18</v>
      </c>
      <c r="O2810" s="2" t="s">
        <v>19</v>
      </c>
      <c r="P2810" s="2">
        <v>10000000</v>
      </c>
      <c r="Q2810" s="2">
        <v>7.3</v>
      </c>
      <c r="R2810" s="2" t="s">
        <v>5330</v>
      </c>
      <c r="S2810" s="2"/>
      <c r="AC2810" s="2"/>
      <c r="AD2810" t="str">
        <f>IFERROR(__xludf.DUMMYFUNCTION("""COMPUTED_VALUE"""),"Saw VI ")</f>
        <v>Saw VI </v>
      </c>
      <c r="AE2810">
        <f t="shared" si="73"/>
        <v>38201798</v>
      </c>
    </row>
    <row r="2811" customHeight="1" spans="1:31">
      <c r="A2811" s="2" t="s">
        <v>3032</v>
      </c>
      <c r="B2811" s="2">
        <v>106</v>
      </c>
      <c r="C2811" s="2">
        <v>5348317</v>
      </c>
      <c r="D2811" s="2" t="s">
        <v>3722</v>
      </c>
      <c r="E2811" s="2" t="s">
        <v>40</v>
      </c>
      <c r="F2811" t="s">
        <v>23</v>
      </c>
      <c r="N2811" s="2" t="s">
        <v>18</v>
      </c>
      <c r="O2811" s="2" t="s">
        <v>19</v>
      </c>
      <c r="P2811" s="2">
        <v>10000000</v>
      </c>
      <c r="Q2811" s="2">
        <v>7.1</v>
      </c>
      <c r="R2811" s="2" t="s">
        <v>5331</v>
      </c>
      <c r="S2811" s="2"/>
      <c r="AC2811" s="2"/>
      <c r="AD2811" t="str">
        <f>IFERROR(__xludf.DUMMYFUNCTION("""COMPUTED_VALUE"""),"The Secret Life of Bees ")</f>
        <v>The Secret Life of Bees </v>
      </c>
      <c r="AE2811">
        <f t="shared" si="73"/>
        <v>27669321</v>
      </c>
    </row>
    <row r="2812" customHeight="1" spans="1:31">
      <c r="A2812" s="2" t="s">
        <v>3034</v>
      </c>
      <c r="B2812" s="2">
        <v>83</v>
      </c>
      <c r="C2812" s="2">
        <v>4244155</v>
      </c>
      <c r="D2812" s="2" t="s">
        <v>975</v>
      </c>
      <c r="E2812" s="2" t="s">
        <v>40</v>
      </c>
      <c r="F2812" t="s">
        <v>56</v>
      </c>
      <c r="N2812" s="2" t="s">
        <v>18</v>
      </c>
      <c r="O2812" s="2" t="s">
        <v>19</v>
      </c>
      <c r="P2812" s="2">
        <v>10000000</v>
      </c>
      <c r="Q2812" s="2">
        <v>6.5</v>
      </c>
      <c r="R2812" s="2" t="s">
        <v>5332</v>
      </c>
      <c r="S2812" s="2"/>
      <c r="AC2812" s="2"/>
      <c r="AD2812" t="str">
        <f>IFERROR(__xludf.DUMMYFUNCTION("""COMPUTED_VALUE"""),"Corky Romano ")</f>
        <v>Corky Romano </v>
      </c>
      <c r="AE2812">
        <f t="shared" si="73"/>
        <v>37766240</v>
      </c>
    </row>
    <row r="2813" customHeight="1" spans="1:31">
      <c r="A2813" s="2" t="s">
        <v>3037</v>
      </c>
      <c r="B2813" s="2">
        <v>120</v>
      </c>
      <c r="C2813" s="2">
        <v>5004648</v>
      </c>
      <c r="D2813" s="2" t="s">
        <v>103</v>
      </c>
      <c r="E2813" s="2" t="s">
        <v>30</v>
      </c>
      <c r="F2813" t="s">
        <v>30</v>
      </c>
      <c r="N2813" s="2" t="s">
        <v>4119</v>
      </c>
      <c r="O2813" s="2" t="s">
        <v>3655</v>
      </c>
      <c r="P2813" s="2">
        <v>10000000</v>
      </c>
      <c r="Q2813" s="2">
        <v>7</v>
      </c>
      <c r="R2813" s="2" t="s">
        <v>5333</v>
      </c>
      <c r="S2813" s="2"/>
      <c r="AC2813" s="2"/>
      <c r="AD2813" t="str">
        <f>IFERROR(__xludf.DUMMYFUNCTION("""COMPUTED_VALUE"""),"Raising Cain ")</f>
        <v>Raising Cain </v>
      </c>
      <c r="AE2813">
        <f t="shared" si="73"/>
        <v>23978316</v>
      </c>
    </row>
    <row r="2814" customHeight="1" spans="1:31">
      <c r="A2814" s="2" t="s">
        <v>3039</v>
      </c>
      <c r="B2814" s="2">
        <v>111</v>
      </c>
      <c r="C2814" s="2">
        <v>3333823</v>
      </c>
      <c r="D2814" s="2" t="s">
        <v>2292</v>
      </c>
      <c r="E2814" s="2" t="s">
        <v>30</v>
      </c>
      <c r="F2814" t="s">
        <v>24</v>
      </c>
      <c r="N2814" s="2" t="s">
        <v>18</v>
      </c>
      <c r="O2814" s="2" t="s">
        <v>19</v>
      </c>
      <c r="P2814" s="2">
        <v>10000000</v>
      </c>
      <c r="Q2814" s="2">
        <v>5.5</v>
      </c>
      <c r="R2814" s="2" t="s">
        <v>5334</v>
      </c>
      <c r="S2814" s="2"/>
      <c r="AC2814" s="2"/>
      <c r="AD2814" t="str">
        <f>IFERROR(__xludf.DUMMYFUNCTION("""COMPUTED_VALUE"""),"Invaders from Mars ")</f>
        <v>Invaders from Mars </v>
      </c>
      <c r="AE2814">
        <f t="shared" si="73"/>
        <v>21369966</v>
      </c>
    </row>
    <row r="2815" customHeight="1" spans="1:31">
      <c r="A2815" s="2" t="s">
        <v>3041</v>
      </c>
      <c r="B2815" s="2">
        <v>100</v>
      </c>
      <c r="C2815" s="2">
        <v>3275585</v>
      </c>
      <c r="D2815" s="2" t="s">
        <v>186</v>
      </c>
      <c r="E2815" s="2" t="s">
        <v>12</v>
      </c>
      <c r="F2815" t="s">
        <v>39</v>
      </c>
      <c r="N2815" s="2" t="s">
        <v>18</v>
      </c>
      <c r="O2815" s="2" t="s">
        <v>31</v>
      </c>
      <c r="P2815" s="2">
        <v>11500000</v>
      </c>
      <c r="Q2815" s="2">
        <v>6.6</v>
      </c>
      <c r="R2815" s="2" t="s">
        <v>5335</v>
      </c>
      <c r="S2815" s="2"/>
      <c r="AC2815" s="2"/>
      <c r="AD2815" t="str">
        <f>IFERROR(__xludf.DUMMYFUNCTION("""COMPUTED_VALUE"""),"Brooklyn ")</f>
        <v>Brooklyn </v>
      </c>
      <c r="AE2815">
        <f t="shared" si="73"/>
        <v>4884563</v>
      </c>
    </row>
    <row r="2816" customHeight="1" spans="1:31">
      <c r="A2816" s="2" t="s">
        <v>556</v>
      </c>
      <c r="B2816" s="2">
        <v>89</v>
      </c>
      <c r="C2816" s="2">
        <v>3193102</v>
      </c>
      <c r="D2816" s="2" t="s">
        <v>814</v>
      </c>
      <c r="E2816" s="2" t="s">
        <v>56</v>
      </c>
      <c r="F2816" t="s">
        <v>17</v>
      </c>
      <c r="N2816" s="2" t="s">
        <v>18</v>
      </c>
      <c r="O2816" s="2" t="s">
        <v>19</v>
      </c>
      <c r="P2816" s="2">
        <v>9000000</v>
      </c>
      <c r="Q2816" s="2">
        <v>7.1</v>
      </c>
      <c r="R2816" s="2" t="s">
        <v>5336</v>
      </c>
      <c r="S2816" s="2"/>
      <c r="AC2816" s="2"/>
      <c r="AD2816" t="str">
        <f>IFERROR(__xludf.DUMMYFUNCTION("""COMPUTED_VALUE"""),"Out Cold ")</f>
        <v>Out Cold </v>
      </c>
      <c r="AE2816">
        <f t="shared" si="73"/>
        <v>38317424</v>
      </c>
    </row>
    <row r="2817" customHeight="1" spans="1:31">
      <c r="A2817" s="2" t="s">
        <v>1870</v>
      </c>
      <c r="B2817" s="2">
        <v>115</v>
      </c>
      <c r="C2817" s="2">
        <v>54557348</v>
      </c>
      <c r="D2817" s="2" t="s">
        <v>805</v>
      </c>
      <c r="E2817" s="2" t="s">
        <v>56</v>
      </c>
      <c r="F2817" t="s">
        <v>30</v>
      </c>
      <c r="N2817" s="2" t="s">
        <v>18</v>
      </c>
      <c r="O2817" s="2" t="s">
        <v>293</v>
      </c>
      <c r="P2817" s="2">
        <v>6500000</v>
      </c>
      <c r="Q2817" s="2">
        <v>7.9</v>
      </c>
      <c r="R2817" s="2" t="s">
        <v>5337</v>
      </c>
      <c r="S2817" s="2"/>
      <c r="AC2817" s="2"/>
      <c r="AD2817" t="str">
        <f>IFERROR(__xludf.DUMMYFUNCTION("""COMPUTED_VALUE"""),"The Ladies Man ")</f>
        <v>The Ladies Man </v>
      </c>
      <c r="AE2817">
        <f t="shared" si="73"/>
        <v>13903173</v>
      </c>
    </row>
    <row r="2818" customHeight="1" spans="1:31">
      <c r="A2818" s="2" t="s">
        <v>3043</v>
      </c>
      <c r="B2818" s="2">
        <v>135</v>
      </c>
      <c r="C2818" s="2">
        <v>3041803</v>
      </c>
      <c r="D2818" s="2" t="s">
        <v>103</v>
      </c>
      <c r="E2818" s="2" t="s">
        <v>30</v>
      </c>
      <c r="F2818" t="s">
        <v>14</v>
      </c>
      <c r="N2818" s="2" t="s">
        <v>18</v>
      </c>
      <c r="O2818" s="2" t="s">
        <v>31</v>
      </c>
      <c r="P2818" s="2">
        <v>10000000</v>
      </c>
      <c r="Q2818" s="2">
        <v>7.1</v>
      </c>
      <c r="R2818" s="2" t="s">
        <v>5338</v>
      </c>
      <c r="S2818" s="2"/>
      <c r="AC2818" s="2"/>
      <c r="AD2818" t="str">
        <f>IFERROR(__xludf.DUMMYFUNCTION("""COMPUTED_VALUE"""),"Quartet ")</f>
        <v>Quartet </v>
      </c>
      <c r="AE2818">
        <f t="shared" si="73"/>
        <v>13592788</v>
      </c>
    </row>
    <row r="2819" customHeight="1" spans="1:31">
      <c r="A2819" s="2" t="s">
        <v>3045</v>
      </c>
      <c r="B2819" s="2">
        <v>92</v>
      </c>
      <c r="C2819" s="2">
        <v>3060858</v>
      </c>
      <c r="D2819" s="2" t="s">
        <v>355</v>
      </c>
      <c r="E2819" s="2" t="s">
        <v>12</v>
      </c>
      <c r="F2819" t="s">
        <v>30</v>
      </c>
      <c r="N2819" s="2" t="s">
        <v>18</v>
      </c>
      <c r="O2819" s="2" t="s">
        <v>19</v>
      </c>
      <c r="P2819" s="2">
        <v>10000000</v>
      </c>
      <c r="Q2819" s="2">
        <v>5.6</v>
      </c>
      <c r="R2819" s="2" t="s">
        <v>5339</v>
      </c>
      <c r="S2819" s="2"/>
      <c r="AC2819" s="2"/>
      <c r="AD2819" t="str">
        <f>IFERROR(__xludf.DUMMYFUNCTION("""COMPUTED_VALUE"""),"Tomcats ")</f>
        <v>Tomcats </v>
      </c>
      <c r="AE2819">
        <f t="shared" si="73"/>
        <v>18381689</v>
      </c>
    </row>
    <row r="2820" customHeight="1" spans="1:31">
      <c r="A2820" s="2" t="s">
        <v>2026</v>
      </c>
      <c r="B2820" s="2">
        <v>120</v>
      </c>
      <c r="C2820" s="2">
        <v>1055654</v>
      </c>
      <c r="D2820" s="2" t="s">
        <v>2015</v>
      </c>
      <c r="E2820" s="2" t="s">
        <v>30</v>
      </c>
      <c r="F2820" t="s">
        <v>30</v>
      </c>
      <c r="N2820" s="2" t="s">
        <v>18</v>
      </c>
      <c r="O2820" s="2" t="s">
        <v>293</v>
      </c>
      <c r="P2820" s="2">
        <v>10000000</v>
      </c>
      <c r="Q2820" s="2">
        <v>7.3</v>
      </c>
      <c r="R2820" s="2" t="s">
        <v>5340</v>
      </c>
      <c r="S2820" s="2"/>
      <c r="AC2820" s="2"/>
      <c r="AD2820" t="str">
        <f>IFERROR(__xludf.DUMMYFUNCTION("""COMPUTED_VALUE"""),"Frailty ")</f>
        <v>Frailty </v>
      </c>
      <c r="AE2820">
        <f t="shared" si="73"/>
        <v>13558644</v>
      </c>
    </row>
    <row r="2821" customHeight="1" spans="1:31">
      <c r="A2821" s="2" t="s">
        <v>3047</v>
      </c>
      <c r="B2821" s="2">
        <v>97</v>
      </c>
      <c r="C2821" s="2">
        <v>2331318</v>
      </c>
      <c r="D2821" s="2" t="s">
        <v>40</v>
      </c>
      <c r="E2821" s="2" t="s">
        <v>40</v>
      </c>
      <c r="F2821" t="s">
        <v>17</v>
      </c>
      <c r="N2821" s="2" t="s">
        <v>18</v>
      </c>
      <c r="O2821" s="2" t="s">
        <v>19</v>
      </c>
      <c r="P2821" s="2">
        <v>10000000</v>
      </c>
      <c r="Q2821" s="2">
        <v>3.3</v>
      </c>
      <c r="R2821" s="2" t="s">
        <v>5341</v>
      </c>
      <c r="S2821" s="2"/>
      <c r="AC2821" s="2"/>
      <c r="AD2821" t="str">
        <f>IFERROR(__xludf.DUMMYFUNCTION("""COMPUTED_VALUE"""),"Woman in Gold ")</f>
        <v>Woman in Gold </v>
      </c>
      <c r="AE2821">
        <f t="shared" si="73"/>
        <v>13103728</v>
      </c>
    </row>
    <row r="2822" customHeight="1" spans="1:31">
      <c r="A2822" s="2" t="s">
        <v>1259</v>
      </c>
      <c r="B2822" s="2">
        <v>135</v>
      </c>
      <c r="C2822" s="2">
        <v>2185266</v>
      </c>
      <c r="D2822" s="2" t="s">
        <v>3722</v>
      </c>
      <c r="E2822" s="2" t="s">
        <v>40</v>
      </c>
      <c r="F2822" t="s">
        <v>30</v>
      </c>
      <c r="N2822" s="2" t="s">
        <v>18</v>
      </c>
      <c r="O2822" s="2" t="s">
        <v>19</v>
      </c>
      <c r="P2822" s="2">
        <v>10000000</v>
      </c>
      <c r="Q2822" s="2">
        <v>6.5</v>
      </c>
      <c r="R2822" s="2" t="s">
        <v>5342</v>
      </c>
      <c r="S2822" s="2"/>
      <c r="AC2822" s="2"/>
      <c r="AD2822" t="str">
        <f>IFERROR(__xludf.DUMMYFUNCTION("""COMPUTED_VALUE"""),"Kinsey ")</f>
        <v>Kinsey </v>
      </c>
      <c r="AE2822">
        <f t="shared" si="73"/>
        <v>33304928</v>
      </c>
    </row>
    <row r="2823" customHeight="1" spans="1:31">
      <c r="A2823" s="2" t="s">
        <v>3049</v>
      </c>
      <c r="B2823" s="2">
        <v>93</v>
      </c>
      <c r="C2823" s="2">
        <v>26583369</v>
      </c>
      <c r="D2823" s="2" t="s">
        <v>1189</v>
      </c>
      <c r="E2823" s="2" t="s">
        <v>72</v>
      </c>
      <c r="F2823" t="s">
        <v>56</v>
      </c>
      <c r="N2823" s="2" t="s">
        <v>18</v>
      </c>
      <c r="O2823" s="2" t="s">
        <v>19</v>
      </c>
      <c r="P2823" s="2">
        <v>10000000</v>
      </c>
      <c r="Q2823" s="2">
        <v>4.8</v>
      </c>
      <c r="R2823" s="2" t="s">
        <v>5343</v>
      </c>
      <c r="S2823" s="2"/>
      <c r="AC2823" s="2"/>
      <c r="AD2823" t="str">
        <f>IFERROR(__xludf.DUMMYFUNCTION("""COMPUTED_VALUE"""),"Army of Darkness ")</f>
        <v>Army of Darkness </v>
      </c>
      <c r="AE2823">
        <f t="shared" si="73"/>
        <v>10214529</v>
      </c>
    </row>
    <row r="2824" customHeight="1" spans="1:31">
      <c r="A2824" s="2" t="s">
        <v>3051</v>
      </c>
      <c r="B2824" s="2">
        <v>118</v>
      </c>
      <c r="C2824" s="2">
        <v>800000</v>
      </c>
      <c r="D2824" s="2" t="s">
        <v>4968</v>
      </c>
      <c r="E2824" s="2" t="s">
        <v>13</v>
      </c>
      <c r="F2824" t="s">
        <v>30</v>
      </c>
      <c r="N2824" s="2" t="s">
        <v>18</v>
      </c>
      <c r="O2824" s="2" t="s">
        <v>19</v>
      </c>
      <c r="P2824" s="2">
        <v>14000000</v>
      </c>
      <c r="Q2824" s="2">
        <v>5.2</v>
      </c>
      <c r="R2824" s="2" t="s">
        <v>5344</v>
      </c>
      <c r="S2824" s="2"/>
      <c r="AC2824" s="2"/>
      <c r="AD2824" t="str">
        <f>IFERROR(__xludf.DUMMYFUNCTION("""COMPUTED_VALUE"""),"Slackers ")</f>
        <v>Slackers </v>
      </c>
      <c r="AE2824">
        <f t="shared" si="73"/>
        <v>11501005</v>
      </c>
    </row>
    <row r="2825" customHeight="1" spans="1:31">
      <c r="A2825" s="2" t="s">
        <v>3053</v>
      </c>
      <c r="B2825" s="2">
        <v>97</v>
      </c>
      <c r="C2825" s="2">
        <v>7574066</v>
      </c>
      <c r="D2825" s="2" t="s">
        <v>975</v>
      </c>
      <c r="E2825" s="2" t="s">
        <v>40</v>
      </c>
      <c r="F2825" t="s">
        <v>30</v>
      </c>
      <c r="N2825" s="2" t="s">
        <v>18</v>
      </c>
      <c r="O2825" s="2" t="s">
        <v>19</v>
      </c>
      <c r="P2825" s="2">
        <v>10000000</v>
      </c>
      <c r="Q2825" s="2">
        <v>6.3</v>
      </c>
      <c r="R2825" s="2" t="s">
        <v>5345</v>
      </c>
      <c r="S2825" s="2"/>
      <c r="AC2825" s="2"/>
      <c r="AD2825" t="str">
        <f>IFERROR(__xludf.DUMMYFUNCTION("""COMPUTED_VALUE"""),"What's Eating Gilbert Grape ")</f>
        <v>What's Eating Gilbert Grape </v>
      </c>
      <c r="AE2825">
        <f t="shared" si="73"/>
        <v>4814158</v>
      </c>
    </row>
    <row r="2826" customHeight="1" spans="1:31">
      <c r="A2826" s="2" t="s">
        <v>98</v>
      </c>
      <c r="B2826" s="2">
        <v>98</v>
      </c>
      <c r="C2826" s="2">
        <v>1754319</v>
      </c>
      <c r="D2826" s="2" t="s">
        <v>103</v>
      </c>
      <c r="E2826" s="2" t="s">
        <v>30</v>
      </c>
      <c r="F2826" t="s">
        <v>24</v>
      </c>
      <c r="N2826" s="2" t="s">
        <v>18</v>
      </c>
      <c r="O2826" s="2" t="s">
        <v>19</v>
      </c>
      <c r="P2826" s="2">
        <v>10000000</v>
      </c>
      <c r="Q2826" s="2">
        <v>7.2</v>
      </c>
      <c r="R2826" s="2" t="s">
        <v>5346</v>
      </c>
      <c r="S2826" s="2"/>
      <c r="AC2826" s="2"/>
      <c r="AD2826" t="str">
        <f>IFERROR(__xludf.DUMMYFUNCTION("""COMPUTED_VALUE"""),"The Visual Bible: The Gospel of John ")</f>
        <v>The Visual Bible: The Gospel of John </v>
      </c>
      <c r="AE2826">
        <f t="shared" si="73"/>
        <v>9170096</v>
      </c>
    </row>
    <row r="2827" customHeight="1" spans="1:31">
      <c r="A2827" s="2" t="s">
        <v>1340</v>
      </c>
      <c r="B2827" s="2">
        <v>98</v>
      </c>
      <c r="C2827" s="2">
        <v>1641788</v>
      </c>
      <c r="D2827" s="2" t="s">
        <v>712</v>
      </c>
      <c r="E2827" s="2" t="s">
        <v>30</v>
      </c>
      <c r="F2827" t="s">
        <v>72</v>
      </c>
      <c r="N2827" s="2" t="s">
        <v>18</v>
      </c>
      <c r="O2827" s="2" t="s">
        <v>121</v>
      </c>
      <c r="P2827" s="2">
        <v>8000000</v>
      </c>
      <c r="Q2827" s="2">
        <v>6.8</v>
      </c>
      <c r="R2827" s="2" t="s">
        <v>5347</v>
      </c>
      <c r="S2827" s="2"/>
      <c r="AC2827" s="2"/>
      <c r="AD2827" t="str">
        <f>IFERROR(__xludf.DUMMYFUNCTION("""COMPUTED_VALUE"""),"Vera Drake ")</f>
        <v>Vera Drake </v>
      </c>
      <c r="AE2827">
        <f t="shared" si="73"/>
        <v>4067962</v>
      </c>
    </row>
    <row r="2828" customHeight="1" spans="1:31">
      <c r="A2828" s="2" t="s">
        <v>3055</v>
      </c>
      <c r="B2828" s="2">
        <v>101</v>
      </c>
      <c r="C2828" s="2">
        <v>1631839</v>
      </c>
      <c r="D2828" s="2" t="s">
        <v>1733</v>
      </c>
      <c r="E2828" s="2" t="s">
        <v>40</v>
      </c>
      <c r="F2828" t="s">
        <v>28</v>
      </c>
      <c r="N2828" s="2" t="s">
        <v>18</v>
      </c>
      <c r="O2828" s="2" t="s">
        <v>19</v>
      </c>
      <c r="P2828" s="2">
        <v>10000000</v>
      </c>
      <c r="Q2828" s="2">
        <v>5.7</v>
      </c>
      <c r="R2828" s="2" t="s">
        <v>5348</v>
      </c>
      <c r="S2828" s="2"/>
      <c r="AC2828" s="2"/>
      <c r="AD2828" t="str">
        <f>IFERROR(__xludf.DUMMYFUNCTION("""COMPUTED_VALUE"""),"The Guru ")</f>
        <v>The Guru </v>
      </c>
      <c r="AE2828">
        <f t="shared" si="73"/>
        <v>3753681</v>
      </c>
    </row>
    <row r="2829" customHeight="1" spans="1:31">
      <c r="A2829" s="2" t="s">
        <v>2125</v>
      </c>
      <c r="B2829" s="2">
        <v>132</v>
      </c>
      <c r="C2829" s="2">
        <v>1309849</v>
      </c>
      <c r="D2829" s="2" t="s">
        <v>103</v>
      </c>
      <c r="E2829" s="2" t="s">
        <v>30</v>
      </c>
      <c r="F2829" t="s">
        <v>30</v>
      </c>
      <c r="N2829" s="2" t="s">
        <v>18</v>
      </c>
      <c r="O2829" s="2" t="s">
        <v>31</v>
      </c>
      <c r="P2829" s="2">
        <v>10000000</v>
      </c>
      <c r="Q2829" s="2">
        <v>7.2</v>
      </c>
      <c r="R2829" s="2" t="s">
        <v>5349</v>
      </c>
      <c r="S2829" s="2"/>
      <c r="AC2829" s="2"/>
      <c r="AD2829" t="str">
        <f>IFERROR(__xludf.DUMMYFUNCTION("""COMPUTED_VALUE"""),"The Perez Family ")</f>
        <v>The Perez Family </v>
      </c>
      <c r="AE2829">
        <f t="shared" si="73"/>
        <v>3034087</v>
      </c>
    </row>
    <row r="2830" customHeight="1" spans="1:31">
      <c r="A2830" s="2" t="s">
        <v>1774</v>
      </c>
      <c r="B2830" s="2">
        <v>106</v>
      </c>
      <c r="C2830" s="2">
        <v>1939441</v>
      </c>
      <c r="D2830" s="2" t="s">
        <v>625</v>
      </c>
      <c r="E2830" s="2" t="s">
        <v>59</v>
      </c>
      <c r="F2830" t="s">
        <v>56</v>
      </c>
      <c r="N2830" s="2" t="s">
        <v>18</v>
      </c>
      <c r="O2830" s="2" t="s">
        <v>19</v>
      </c>
      <c r="P2830" s="2">
        <v>10000000</v>
      </c>
      <c r="Q2830" s="2">
        <v>6.9</v>
      </c>
      <c r="R2830" s="2" t="s">
        <v>5350</v>
      </c>
      <c r="S2830" s="2"/>
      <c r="AC2830" s="2"/>
      <c r="AD2830" t="str">
        <f>IFERROR(__xludf.DUMMYFUNCTION("""COMPUTED_VALUE"""),"Inside Llewyn Davis ")</f>
        <v>Inside Llewyn Davis </v>
      </c>
      <c r="AE2830">
        <f t="shared" si="73"/>
        <v>2832713</v>
      </c>
    </row>
    <row r="2831" customHeight="1" spans="1:31">
      <c r="A2831" s="2" t="s">
        <v>2770</v>
      </c>
      <c r="B2831" s="2">
        <v>87</v>
      </c>
      <c r="C2831" s="2">
        <v>1276984</v>
      </c>
      <c r="D2831" s="2" t="s">
        <v>2471</v>
      </c>
      <c r="E2831" s="2" t="s">
        <v>40</v>
      </c>
      <c r="F2831" t="s">
        <v>28</v>
      </c>
      <c r="N2831" s="2" t="s">
        <v>18</v>
      </c>
      <c r="O2831" s="2" t="s">
        <v>707</v>
      </c>
      <c r="P2831" s="2">
        <v>10000000</v>
      </c>
      <c r="Q2831" s="2">
        <v>6.2</v>
      </c>
      <c r="R2831" s="2" t="s">
        <v>5351</v>
      </c>
      <c r="S2831" s="2"/>
      <c r="AC2831" s="2"/>
      <c r="AD2831" t="str">
        <f>IFERROR(__xludf.DUMMYFUNCTION("""COMPUTED_VALUE"""),"O ")</f>
        <v>O </v>
      </c>
      <c r="AE2831">
        <f t="shared" si="73"/>
        <v>13214151</v>
      </c>
    </row>
    <row r="2832" customHeight="1" spans="1:31">
      <c r="A2832" s="2" t="s">
        <v>1196</v>
      </c>
      <c r="B2832" s="2">
        <v>98</v>
      </c>
      <c r="C2832" s="2">
        <v>1987762</v>
      </c>
      <c r="D2832" s="2" t="s">
        <v>2171</v>
      </c>
      <c r="E2832" s="2" t="s">
        <v>56</v>
      </c>
      <c r="F2832" t="s">
        <v>30</v>
      </c>
      <c r="N2832" s="2" t="s">
        <v>18</v>
      </c>
      <c r="O2832" s="2" t="s">
        <v>19</v>
      </c>
      <c r="P2832" s="2">
        <v>11000000</v>
      </c>
      <c r="Q2832" s="2">
        <v>6.7</v>
      </c>
      <c r="R2832" s="2" t="s">
        <v>5352</v>
      </c>
      <c r="S2832" s="2"/>
      <c r="AC2832" s="2"/>
      <c r="AD2832" t="str">
        <f>IFERROR(__xludf.DUMMYFUNCTION("""COMPUTED_VALUE"""),"Return to the Blue Lagoon ")</f>
        <v>Return to the Blue Lagoon </v>
      </c>
      <c r="AE2832">
        <f t="shared" si="73"/>
        <v>16017308</v>
      </c>
    </row>
    <row r="2833" customHeight="1" spans="1:31">
      <c r="A2833" s="2" t="s">
        <v>3057</v>
      </c>
      <c r="B2833" s="2">
        <v>96</v>
      </c>
      <c r="C2833" s="2">
        <v>1474508</v>
      </c>
      <c r="D2833" s="2" t="s">
        <v>975</v>
      </c>
      <c r="E2833" s="2" t="s">
        <v>40</v>
      </c>
      <c r="F2833" t="s">
        <v>30</v>
      </c>
      <c r="N2833" s="2" t="s">
        <v>18</v>
      </c>
      <c r="O2833" s="2" t="s">
        <v>19</v>
      </c>
      <c r="P2833" s="2">
        <v>5000000</v>
      </c>
      <c r="Q2833" s="2">
        <v>6.5</v>
      </c>
      <c r="R2833" s="2" t="s">
        <v>5353</v>
      </c>
      <c r="S2833" s="2"/>
      <c r="AC2833" s="2"/>
      <c r="AD2833" t="str">
        <f>IFERROR(__xludf.DUMMYFUNCTION("""COMPUTED_VALUE"""),"Copying Beethoven ")</f>
        <v>Copying Beethoven </v>
      </c>
      <c r="AE2833">
        <f t="shared" si="73"/>
        <v>2807752</v>
      </c>
    </row>
    <row r="2834" customHeight="1" spans="1:31">
      <c r="A2834" s="2" t="s">
        <v>3059</v>
      </c>
      <c r="B2834" s="2">
        <v>104</v>
      </c>
      <c r="C2834" s="2">
        <v>1011054</v>
      </c>
      <c r="D2834" s="2" t="s">
        <v>805</v>
      </c>
      <c r="E2834" s="2" t="s">
        <v>56</v>
      </c>
      <c r="F2834" t="s">
        <v>30</v>
      </c>
      <c r="N2834" s="2" t="s">
        <v>18</v>
      </c>
      <c r="O2834" s="2" t="s">
        <v>121</v>
      </c>
      <c r="P2834" s="2">
        <v>10000000</v>
      </c>
      <c r="Q2834" s="2">
        <v>7.2</v>
      </c>
      <c r="R2834" s="2" t="s">
        <v>5354</v>
      </c>
      <c r="S2834" s="2"/>
      <c r="AC2834" s="2"/>
      <c r="AD2834" t="str">
        <f>IFERROR(__xludf.DUMMYFUNCTION("""COMPUTED_VALUE"""),"Saw V ")</f>
        <v>Saw V </v>
      </c>
      <c r="AE2834">
        <f t="shared" si="73"/>
        <v>352682</v>
      </c>
    </row>
    <row r="2835" customHeight="1" spans="1:31">
      <c r="A2835" s="2" t="s">
        <v>3061</v>
      </c>
      <c r="B2835" s="2">
        <v>93</v>
      </c>
      <c r="C2835" s="2">
        <v>900926</v>
      </c>
      <c r="D2835" s="2" t="s">
        <v>40</v>
      </c>
      <c r="E2835" s="2" t="s">
        <v>40</v>
      </c>
      <c r="F2835" t="s">
        <v>17</v>
      </c>
      <c r="N2835" s="2" t="s">
        <v>18</v>
      </c>
      <c r="O2835" s="2" t="s">
        <v>19</v>
      </c>
      <c r="P2835" s="2">
        <v>10000000</v>
      </c>
      <c r="Q2835" s="2">
        <v>5.3</v>
      </c>
      <c r="R2835" s="2" t="s">
        <v>5355</v>
      </c>
      <c r="S2835" s="2"/>
      <c r="AC2835" s="2"/>
      <c r="AD2835" t="str">
        <f>IFERROR(__xludf.DUMMYFUNCTION("""COMPUTED_VALUE"""),"Jindabyne ")</f>
        <v>Jindabyne </v>
      </c>
      <c r="AE2835">
        <f t="shared" si="73"/>
        <v>56729878</v>
      </c>
    </row>
    <row r="2836" customHeight="1" spans="1:31">
      <c r="A2836" s="2" t="s">
        <v>1605</v>
      </c>
      <c r="B2836" s="2">
        <v>95</v>
      </c>
      <c r="C2836" s="2">
        <v>866778</v>
      </c>
      <c r="D2836" s="2" t="s">
        <v>103</v>
      </c>
      <c r="E2836" s="2" t="s">
        <v>30</v>
      </c>
      <c r="F2836" t="s">
        <v>40</v>
      </c>
      <c r="N2836" s="2" t="s">
        <v>18</v>
      </c>
      <c r="O2836" s="2" t="s">
        <v>1554</v>
      </c>
      <c r="P2836" s="2">
        <v>10000000</v>
      </c>
      <c r="Q2836" s="2">
        <v>6.7</v>
      </c>
      <c r="R2836" s="2" t="s">
        <v>5356</v>
      </c>
      <c r="S2836" s="2"/>
      <c r="AC2836" s="2"/>
      <c r="AD2836" t="str">
        <f>IFERROR(__xludf.DUMMYFUNCTION("""COMPUTED_VALUE"""),"Kabhi Alvida Naa Kehna ")</f>
        <v>Kabhi Alvida Naa Kehna </v>
      </c>
      <c r="AE2836">
        <f t="shared" si="73"/>
        <v>399761</v>
      </c>
    </row>
    <row r="2837" customHeight="1" spans="1:31">
      <c r="A2837" s="2" t="s">
        <v>479</v>
      </c>
      <c r="B2837" s="2">
        <v>89</v>
      </c>
      <c r="C2837" s="2">
        <v>598645</v>
      </c>
      <c r="D2837" s="2" t="s">
        <v>607</v>
      </c>
      <c r="E2837" s="2" t="s">
        <v>40</v>
      </c>
      <c r="F2837" t="s">
        <v>56</v>
      </c>
      <c r="N2837" s="2" t="s">
        <v>18</v>
      </c>
      <c r="O2837" s="2" t="s">
        <v>31</v>
      </c>
      <c r="P2837" s="2">
        <v>10000000</v>
      </c>
      <c r="Q2837" s="2">
        <v>3.6</v>
      </c>
      <c r="R2837" s="2" t="s">
        <v>5357</v>
      </c>
      <c r="S2837" s="2"/>
      <c r="AC2837" s="2"/>
      <c r="AD2837" t="str">
        <f>IFERROR(__xludf.DUMMYFUNCTION("""COMPUTED_VALUE"""),"An Ideal Husband ")</f>
        <v>An Ideal Husband </v>
      </c>
      <c r="AE2837">
        <f t="shared" si="73"/>
        <v>3275250</v>
      </c>
    </row>
    <row r="2838" customHeight="1" spans="1:31">
      <c r="A2838" s="2" t="s">
        <v>3064</v>
      </c>
      <c r="B2838" s="2">
        <v>107</v>
      </c>
      <c r="C2838" s="2">
        <v>578527</v>
      </c>
      <c r="D2838" s="2" t="s">
        <v>628</v>
      </c>
      <c r="E2838" s="2" t="s">
        <v>12</v>
      </c>
      <c r="F2838" t="s">
        <v>30</v>
      </c>
      <c r="N2838" s="2" t="s">
        <v>18</v>
      </c>
      <c r="O2838" s="2" t="s">
        <v>19</v>
      </c>
      <c r="P2838" s="2">
        <v>10000000</v>
      </c>
      <c r="Q2838" s="2">
        <v>5.7</v>
      </c>
      <c r="R2838" s="2" t="s">
        <v>5358</v>
      </c>
      <c r="S2838" s="2"/>
      <c r="AC2838" s="2"/>
      <c r="AD2838" t="str">
        <f>IFERROR(__xludf.DUMMYFUNCTION("""COMPUTED_VALUE"""),"The Last Days on Mars ")</f>
        <v>The Last Days on Mars </v>
      </c>
      <c r="AE2838">
        <f t="shared" si="73"/>
        <v>18535094</v>
      </c>
    </row>
    <row r="2839" customHeight="1" spans="1:31">
      <c r="A2839" s="2" t="s">
        <v>2279</v>
      </c>
      <c r="B2839" s="2">
        <v>85</v>
      </c>
      <c r="C2839" s="2">
        <v>488872</v>
      </c>
      <c r="D2839" s="2" t="s">
        <v>1279</v>
      </c>
      <c r="E2839" s="2" t="s">
        <v>12</v>
      </c>
      <c r="F2839" t="s">
        <v>15</v>
      </c>
      <c r="N2839" s="2" t="s">
        <v>3028</v>
      </c>
      <c r="O2839" s="2" t="s">
        <v>1554</v>
      </c>
      <c r="P2839" s="2">
        <v>10000000</v>
      </c>
      <c r="Q2839" s="2">
        <v>7.3</v>
      </c>
      <c r="R2839" s="2" t="s">
        <v>5359</v>
      </c>
      <c r="S2839" s="2"/>
      <c r="AC2839" s="2"/>
      <c r="AD2839" t="str">
        <f>IFERROR(__xludf.DUMMYFUNCTION("""COMPUTED_VALUE"""),"Darkness ")</f>
        <v>Darkness </v>
      </c>
      <c r="AE2839">
        <f t="shared" si="73"/>
        <v>23740</v>
      </c>
    </row>
    <row r="2840" customHeight="1" spans="1:31">
      <c r="A2840" s="2" t="s">
        <v>3066</v>
      </c>
      <c r="B2840" s="2">
        <v>93</v>
      </c>
      <c r="C2840" s="2">
        <v>365734</v>
      </c>
      <c r="D2840" s="2" t="s">
        <v>30</v>
      </c>
      <c r="E2840" s="2" t="s">
        <v>30</v>
      </c>
      <c r="F2840" t="s">
        <v>30</v>
      </c>
      <c r="N2840" s="2" t="s">
        <v>18</v>
      </c>
      <c r="O2840" s="2" t="s">
        <v>19</v>
      </c>
      <c r="P2840" s="2">
        <v>10000000</v>
      </c>
      <c r="Q2840" s="2">
        <v>5</v>
      </c>
      <c r="R2840" s="2" t="s">
        <v>5360</v>
      </c>
      <c r="S2840" s="2"/>
      <c r="AC2840" s="2"/>
      <c r="AD2840" t="str">
        <f>IFERROR(__xludf.DUMMYFUNCTION("""COMPUTED_VALUE"""),"2001: A Space Odyssey ")</f>
        <v>2001: A Space Odyssey </v>
      </c>
      <c r="AE2840">
        <f t="shared" si="73"/>
        <v>22159982</v>
      </c>
    </row>
    <row r="2841" customHeight="1" spans="1:31">
      <c r="A2841" s="2" t="s">
        <v>3069</v>
      </c>
      <c r="B2841" s="2">
        <v>101</v>
      </c>
      <c r="C2841" s="2">
        <v>231417</v>
      </c>
      <c r="D2841" s="2" t="s">
        <v>2471</v>
      </c>
      <c r="E2841" s="2" t="s">
        <v>40</v>
      </c>
      <c r="F2841" t="s">
        <v>30</v>
      </c>
      <c r="N2841" s="2" t="s">
        <v>1125</v>
      </c>
      <c r="O2841" s="2" t="s">
        <v>707</v>
      </c>
      <c r="P2841" s="2">
        <v>60000000</v>
      </c>
      <c r="Q2841" s="2">
        <v>6.6</v>
      </c>
      <c r="R2841" s="2" t="s">
        <v>5361</v>
      </c>
      <c r="S2841" s="2"/>
      <c r="AC2841" s="2"/>
      <c r="AD2841" t="str">
        <f>IFERROR(__xludf.DUMMYFUNCTION("""COMPUTED_VALUE"""),"E.T. the Extra-Terrestrial ")</f>
        <v>E.T. the Extra-Terrestrial </v>
      </c>
      <c r="AE2841">
        <f t="shared" si="73"/>
        <v>56715210</v>
      </c>
    </row>
    <row r="2842" customHeight="1" spans="1:31">
      <c r="A2842" s="2" t="s">
        <v>3071</v>
      </c>
      <c r="B2842" s="2">
        <v>103</v>
      </c>
      <c r="C2842" s="2">
        <v>3093491</v>
      </c>
      <c r="D2842" s="2" t="s">
        <v>562</v>
      </c>
      <c r="E2842" s="2" t="s">
        <v>59</v>
      </c>
      <c r="F2842" t="s">
        <v>71</v>
      </c>
      <c r="N2842" s="2" t="s">
        <v>18</v>
      </c>
      <c r="O2842" s="2" t="s">
        <v>19</v>
      </c>
      <c r="P2842" s="2">
        <v>5000000</v>
      </c>
      <c r="Q2842" s="2">
        <v>6.6</v>
      </c>
      <c r="R2842" s="2" t="s">
        <v>5362</v>
      </c>
      <c r="S2842" s="2"/>
      <c r="AC2842" s="2"/>
      <c r="AD2842" t="str">
        <f>IFERROR(__xludf.DUMMYFUNCTION("""COMPUTED_VALUE"""),"In the Land of Women ")</f>
        <v>In the Land of Women </v>
      </c>
      <c r="AE2842">
        <f t="shared" si="73"/>
        <v>434949339</v>
      </c>
    </row>
    <row r="2843" customHeight="1" spans="1:31">
      <c r="A2843" s="2" t="s">
        <v>3073</v>
      </c>
      <c r="B2843" s="2">
        <v>111</v>
      </c>
      <c r="C2843" s="2">
        <v>228524</v>
      </c>
      <c r="D2843" s="2" t="s">
        <v>975</v>
      </c>
      <c r="E2843" s="2" t="s">
        <v>40</v>
      </c>
      <c r="F2843" t="s">
        <v>24</v>
      </c>
      <c r="N2843" s="2" t="s">
        <v>18</v>
      </c>
      <c r="O2843" s="2" t="s">
        <v>19</v>
      </c>
      <c r="P2843" s="2">
        <v>4000000</v>
      </c>
      <c r="Q2843" s="2">
        <v>7.3</v>
      </c>
      <c r="R2843" s="2" t="s">
        <v>5363</v>
      </c>
      <c r="S2843" s="2"/>
      <c r="AC2843" s="2"/>
      <c r="AD2843" t="str">
        <f>IFERROR(__xludf.DUMMYFUNCTION("""COMPUTED_VALUE"""),"There Goes My Baby ")</f>
        <v>There Goes My Baby </v>
      </c>
      <c r="AE2843">
        <f t="shared" si="73"/>
        <v>11043348</v>
      </c>
    </row>
    <row r="2844" customHeight="1" spans="1:31">
      <c r="A2844" s="2" t="s">
        <v>3075</v>
      </c>
      <c r="B2844" s="2">
        <v>86</v>
      </c>
      <c r="C2844" s="2">
        <v>226792</v>
      </c>
      <c r="D2844" s="2" t="s">
        <v>5364</v>
      </c>
      <c r="E2844" s="2" t="s">
        <v>12</v>
      </c>
      <c r="F2844" t="s">
        <v>17</v>
      </c>
      <c r="N2844" s="2" t="s">
        <v>18</v>
      </c>
      <c r="O2844" s="2" t="s">
        <v>31</v>
      </c>
      <c r="P2844" s="2">
        <v>10000000</v>
      </c>
      <c r="Q2844" s="2">
        <v>6.2</v>
      </c>
      <c r="R2844" s="2" t="s">
        <v>5365</v>
      </c>
      <c r="S2844" s="2"/>
      <c r="AC2844" s="2"/>
      <c r="AD2844" t="str">
        <f>IFERROR(__xludf.DUMMYFUNCTION("""COMPUTED_VALUE"""),"For Greater Glory: The True Story of Cristiada ")</f>
        <v>For Greater Glory: The True Story of Cristiada </v>
      </c>
      <c r="AE2844">
        <f t="shared" si="73"/>
        <v>125070</v>
      </c>
    </row>
    <row r="2845" customHeight="1" spans="1:31">
      <c r="A2845" s="2" t="s">
        <v>3077</v>
      </c>
      <c r="B2845" s="2">
        <v>90</v>
      </c>
      <c r="C2845" s="2">
        <v>136432</v>
      </c>
      <c r="D2845" s="2" t="s">
        <v>4843</v>
      </c>
      <c r="E2845" s="2" t="s">
        <v>40</v>
      </c>
      <c r="F2845" t="s">
        <v>17</v>
      </c>
      <c r="N2845" s="2" t="s">
        <v>18</v>
      </c>
      <c r="O2845" s="2" t="s">
        <v>31</v>
      </c>
      <c r="P2845" s="2">
        <v>5000000</v>
      </c>
      <c r="Q2845" s="2">
        <v>6.6</v>
      </c>
      <c r="R2845" s="2" t="s">
        <v>5366</v>
      </c>
      <c r="S2845" s="2"/>
      <c r="AC2845" s="2"/>
      <c r="AD2845" t="str">
        <f>IFERROR(__xludf.DUMMYFUNCTION("""COMPUTED_VALUE"""),"Good Will Hunting ")</f>
        <v>Good Will Hunting </v>
      </c>
      <c r="AE2845">
        <f t="shared" si="73"/>
        <v>5668936</v>
      </c>
    </row>
    <row r="2846" customHeight="1" spans="1:31">
      <c r="A2846" s="2" t="s">
        <v>2860</v>
      </c>
      <c r="B2846" s="2">
        <v>82</v>
      </c>
      <c r="C2846" s="2">
        <v>131617</v>
      </c>
      <c r="D2846" s="2" t="s">
        <v>1655</v>
      </c>
      <c r="E2846" s="2" t="s">
        <v>30</v>
      </c>
      <c r="F2846" t="s">
        <v>30</v>
      </c>
      <c r="N2846" s="2" t="s">
        <v>18</v>
      </c>
      <c r="O2846" s="2" t="s">
        <v>19</v>
      </c>
      <c r="P2846" s="2">
        <v>10000000</v>
      </c>
      <c r="Q2846" s="2">
        <v>6.3</v>
      </c>
      <c r="R2846" s="2" t="s">
        <v>5367</v>
      </c>
      <c r="S2846" s="2"/>
      <c r="AC2846" s="2"/>
      <c r="AD2846" t="str">
        <f>IFERROR(__xludf.DUMMYFUNCTION("""COMPUTED_VALUE"""),"Saw III ")</f>
        <v>Saw III </v>
      </c>
      <c r="AE2846">
        <f t="shared" si="73"/>
        <v>138339285</v>
      </c>
    </row>
    <row r="2847" customHeight="1" spans="1:31">
      <c r="A2847" s="2" t="s">
        <v>3079</v>
      </c>
      <c r="B2847" s="2">
        <v>83</v>
      </c>
      <c r="C2847" s="2">
        <v>126247</v>
      </c>
      <c r="D2847" s="2" t="s">
        <v>383</v>
      </c>
      <c r="E2847" s="2" t="s">
        <v>40</v>
      </c>
      <c r="F2847" t="s">
        <v>15</v>
      </c>
      <c r="N2847" s="2" t="s">
        <v>18</v>
      </c>
      <c r="O2847" s="2" t="s">
        <v>19</v>
      </c>
      <c r="P2847" s="2">
        <v>6200000</v>
      </c>
      <c r="Q2847" s="2">
        <v>3.3</v>
      </c>
      <c r="R2847" s="2" t="s">
        <v>5368</v>
      </c>
      <c r="S2847" s="2"/>
      <c r="AC2847" s="2"/>
      <c r="AD2847" t="str">
        <f>IFERROR(__xludf.DUMMYFUNCTION("""COMPUTED_VALUE"""),"Stripes ")</f>
        <v>Stripes </v>
      </c>
      <c r="AE2847">
        <f t="shared" si="73"/>
        <v>80150222</v>
      </c>
    </row>
    <row r="2848" customHeight="1" spans="1:31">
      <c r="A2848" s="2" t="s">
        <v>3082</v>
      </c>
      <c r="B2848" s="2">
        <v>125</v>
      </c>
      <c r="C2848" s="2">
        <v>169379</v>
      </c>
      <c r="D2848" s="2" t="s">
        <v>731</v>
      </c>
      <c r="E2848" s="2" t="s">
        <v>30</v>
      </c>
      <c r="F2848" t="s">
        <v>17</v>
      </c>
      <c r="N2848" s="2" t="s">
        <v>1081</v>
      </c>
      <c r="O2848" s="2" t="s">
        <v>4531</v>
      </c>
      <c r="P2848" s="2">
        <v>10000000</v>
      </c>
      <c r="Q2848" s="2">
        <v>6.2</v>
      </c>
      <c r="R2848" s="2" t="s">
        <v>5369</v>
      </c>
      <c r="S2848" s="2"/>
      <c r="AC2848" s="2"/>
      <c r="AD2848" t="str">
        <f>IFERROR(__xludf.DUMMYFUNCTION("""COMPUTED_VALUE"""),"Bring It On ")</f>
        <v>Bring It On </v>
      </c>
      <c r="AE2848">
        <f t="shared" si="73"/>
        <v>85299883</v>
      </c>
    </row>
    <row r="2849" customHeight="1" spans="1:31">
      <c r="A2849" s="2" t="s">
        <v>3084</v>
      </c>
      <c r="B2849" s="2">
        <v>86</v>
      </c>
      <c r="C2849" s="2">
        <v>15447</v>
      </c>
      <c r="D2849" s="2" t="s">
        <v>40</v>
      </c>
      <c r="E2849" s="2" t="s">
        <v>40</v>
      </c>
      <c r="F2849" t="s">
        <v>30</v>
      </c>
      <c r="N2849" s="2" t="s">
        <v>18</v>
      </c>
      <c r="O2849" s="2" t="s">
        <v>19</v>
      </c>
      <c r="P2849" s="2">
        <v>10000000</v>
      </c>
      <c r="Q2849" s="2">
        <v>3.5</v>
      </c>
      <c r="R2849" s="2" t="s">
        <v>5370</v>
      </c>
      <c r="S2849" s="2"/>
      <c r="AC2849" s="2"/>
      <c r="AD2849" t="str">
        <f>IFERROR(__xludf.DUMMYFUNCTION("""COMPUTED_VALUE"""),"The Purge: Election Year ")</f>
        <v>The Purge: Election Year </v>
      </c>
      <c r="AE2849">
        <f t="shared" si="73"/>
        <v>68353452</v>
      </c>
    </row>
    <row r="2850" customHeight="1" spans="1:31">
      <c r="A2850" s="2" t="s">
        <v>3086</v>
      </c>
      <c r="B2850" s="2">
        <v>91</v>
      </c>
      <c r="C2850" s="2">
        <v>19348</v>
      </c>
      <c r="D2850" s="2" t="s">
        <v>975</v>
      </c>
      <c r="E2850" s="2" t="s">
        <v>40</v>
      </c>
      <c r="F2850" t="s">
        <v>17</v>
      </c>
      <c r="N2850" s="2" t="s">
        <v>18</v>
      </c>
      <c r="O2850" s="2" t="s">
        <v>19</v>
      </c>
      <c r="P2850" s="2">
        <v>10000000</v>
      </c>
      <c r="Q2850" s="2">
        <v>5.5</v>
      </c>
      <c r="R2850" s="2" t="s">
        <v>5371</v>
      </c>
      <c r="S2850" s="2"/>
      <c r="AC2850" s="2"/>
      <c r="AD2850" t="str">
        <f>IFERROR(__xludf.DUMMYFUNCTION("""COMPUTED_VALUE"""),"She's All That ")</f>
        <v>She's All That </v>
      </c>
      <c r="AE2850">
        <f t="shared" si="73"/>
        <v>78845021</v>
      </c>
    </row>
    <row r="2851" customHeight="1" spans="1:31">
      <c r="A2851" s="2" t="s">
        <v>3088</v>
      </c>
      <c r="B2851" s="2">
        <v>90</v>
      </c>
      <c r="C2851" s="2">
        <v>100503</v>
      </c>
      <c r="D2851" s="2" t="s">
        <v>607</v>
      </c>
      <c r="E2851" s="2" t="s">
        <v>40</v>
      </c>
      <c r="F2851" t="s">
        <v>17</v>
      </c>
      <c r="N2851" s="2" t="s">
        <v>18</v>
      </c>
      <c r="O2851" s="2" t="s">
        <v>19</v>
      </c>
      <c r="P2851" s="2">
        <v>8000000</v>
      </c>
      <c r="Q2851" s="2">
        <v>5.9</v>
      </c>
      <c r="R2851" s="2" t="s">
        <v>5372</v>
      </c>
      <c r="S2851" s="2"/>
      <c r="AC2851" s="2"/>
      <c r="AD2851" t="str">
        <f>IFERROR(__xludf.DUMMYFUNCTION("""COMPUTED_VALUE"""),"Saw IV ")</f>
        <v>Saw IV </v>
      </c>
      <c r="AE2851">
        <f t="shared" si="73"/>
        <v>63319414</v>
      </c>
    </row>
    <row r="2852" customHeight="1" spans="1:31">
      <c r="A2852" s="2" t="s">
        <v>3090</v>
      </c>
      <c r="B2852" s="2">
        <v>90</v>
      </c>
      <c r="C2852" s="2">
        <v>92900</v>
      </c>
      <c r="D2852" s="2" t="s">
        <v>975</v>
      </c>
      <c r="E2852" s="2" t="s">
        <v>40</v>
      </c>
      <c r="F2852" t="s">
        <v>29</v>
      </c>
      <c r="N2852" s="2" t="s">
        <v>18</v>
      </c>
      <c r="O2852" s="2" t="s">
        <v>19</v>
      </c>
      <c r="P2852" s="2">
        <v>5000000</v>
      </c>
      <c r="Q2852" s="2">
        <v>4.7</v>
      </c>
      <c r="R2852" s="2" t="s">
        <v>5373</v>
      </c>
      <c r="S2852" s="2"/>
      <c r="AC2852" s="2"/>
      <c r="AD2852" t="str">
        <f>IFERROR(__xludf.DUMMYFUNCTION("""COMPUTED_VALUE"""),"White Noise ")</f>
        <v>White Noise </v>
      </c>
      <c r="AE2852">
        <f t="shared" si="73"/>
        <v>63270163</v>
      </c>
    </row>
    <row r="2853" customHeight="1" spans="1:31">
      <c r="A2853" s="2" t="s">
        <v>3093</v>
      </c>
      <c r="B2853" s="2">
        <v>93</v>
      </c>
      <c r="C2853" s="2">
        <v>5561</v>
      </c>
      <c r="D2853" s="2" t="s">
        <v>607</v>
      </c>
      <c r="E2853" s="2" t="s">
        <v>40</v>
      </c>
      <c r="F2853" t="s">
        <v>30</v>
      </c>
      <c r="N2853" s="2" t="s">
        <v>18</v>
      </c>
      <c r="O2853" s="2" t="s">
        <v>19</v>
      </c>
      <c r="P2853" s="2">
        <v>10000000</v>
      </c>
      <c r="Q2853" s="2">
        <v>3.9</v>
      </c>
      <c r="R2853" s="2" t="s">
        <v>5374</v>
      </c>
      <c r="S2853" s="2"/>
      <c r="AC2853" s="2"/>
      <c r="AD2853" t="str">
        <f>IFERROR(__xludf.DUMMYFUNCTION("""COMPUTED_VALUE"""),"Madea's Family Reunion ")</f>
        <v>Madea's Family Reunion </v>
      </c>
      <c r="AE2853">
        <f t="shared" si="73"/>
        <v>55865614</v>
      </c>
    </row>
    <row r="2854" customHeight="1" spans="1:31">
      <c r="A2854" s="2" t="s">
        <v>3095</v>
      </c>
      <c r="B2854" s="2">
        <v>104</v>
      </c>
      <c r="C2854" s="2">
        <v>3607</v>
      </c>
      <c r="D2854" s="2" t="s">
        <v>846</v>
      </c>
      <c r="E2854" s="2" t="s">
        <v>56</v>
      </c>
      <c r="F2854" t="s">
        <v>56</v>
      </c>
      <c r="N2854" s="2" t="s">
        <v>18</v>
      </c>
      <c r="O2854" s="2" t="s">
        <v>1431</v>
      </c>
      <c r="P2854" s="2">
        <v>10000000</v>
      </c>
      <c r="Q2854" s="2">
        <v>6.1</v>
      </c>
      <c r="R2854" s="2" t="s">
        <v>5375</v>
      </c>
      <c r="S2854" s="2"/>
      <c r="AC2854" s="2"/>
      <c r="AD2854" t="str">
        <f>IFERROR(__xludf.DUMMYFUNCTION("""COMPUTED_VALUE"""),"The Color of Money ")</f>
        <v>The Color of Money </v>
      </c>
      <c r="AE2854">
        <f t="shared" si="73"/>
        <v>63231417</v>
      </c>
    </row>
    <row r="2855" customHeight="1" spans="1:31">
      <c r="A2855" s="2" t="s">
        <v>3097</v>
      </c>
      <c r="B2855" s="2">
        <v>85</v>
      </c>
      <c r="C2855" s="2">
        <v>70527</v>
      </c>
      <c r="D2855" s="2" t="s">
        <v>975</v>
      </c>
      <c r="E2855" s="2" t="s">
        <v>40</v>
      </c>
      <c r="F2855" t="s">
        <v>23</v>
      </c>
      <c r="N2855" s="2" t="s">
        <v>18</v>
      </c>
      <c r="O2855" s="2" t="s">
        <v>19</v>
      </c>
      <c r="P2855" s="2">
        <v>6500000</v>
      </c>
      <c r="Q2855" s="2">
        <v>6.7</v>
      </c>
      <c r="R2855" s="2" t="s">
        <v>5376</v>
      </c>
      <c r="S2855" s="2"/>
      <c r="AC2855" s="2"/>
      <c r="AD2855" t="str">
        <f>IFERROR(__xludf.DUMMYFUNCTION("""COMPUTED_VALUE"""),"The Mighty Ducks ")</f>
        <v>The Mighty Ducks </v>
      </c>
      <c r="AE2855">
        <f t="shared" si="73"/>
        <v>52293863</v>
      </c>
    </row>
    <row r="2856" customHeight="1" spans="1:31">
      <c r="A2856" s="2" t="s">
        <v>3099</v>
      </c>
      <c r="B2856" s="2">
        <v>81</v>
      </c>
      <c r="C2856" s="2">
        <v>11835</v>
      </c>
      <c r="D2856" s="2" t="s">
        <v>521</v>
      </c>
      <c r="E2856" s="2" t="s">
        <v>40</v>
      </c>
      <c r="F2856" t="s">
        <v>30</v>
      </c>
      <c r="N2856" s="2" t="s">
        <v>5377</v>
      </c>
      <c r="O2856" s="2" t="s">
        <v>5378</v>
      </c>
      <c r="P2856" s="2">
        <v>10000000</v>
      </c>
      <c r="Q2856" s="2">
        <v>6.9</v>
      </c>
      <c r="R2856" s="2" t="s">
        <v>5379</v>
      </c>
      <c r="S2856" s="2"/>
      <c r="AC2856" s="2"/>
      <c r="AD2856" t="str">
        <f>IFERROR(__xludf.DUMMYFUNCTION("""COMPUTED_VALUE"""),"The Grudge ")</f>
        <v>The Grudge </v>
      </c>
      <c r="AE2856">
        <f t="shared" si="73"/>
        <v>50752237</v>
      </c>
    </row>
    <row r="2857" customHeight="1" spans="1:31">
      <c r="A2857" s="2" t="s">
        <v>1895</v>
      </c>
      <c r="B2857" s="2">
        <v>135</v>
      </c>
      <c r="C2857" s="2">
        <v>128486</v>
      </c>
      <c r="D2857" s="2" t="s">
        <v>1908</v>
      </c>
      <c r="E2857" s="2" t="s">
        <v>12</v>
      </c>
      <c r="F2857" t="s">
        <v>39</v>
      </c>
      <c r="N2857" s="2" t="s">
        <v>5086</v>
      </c>
      <c r="O2857" s="2" t="s">
        <v>2880</v>
      </c>
      <c r="P2857" s="2">
        <v>10000000</v>
      </c>
      <c r="Q2857" s="2">
        <v>7.3</v>
      </c>
      <c r="R2857" s="2" t="s">
        <v>5380</v>
      </c>
      <c r="S2857" s="2"/>
      <c r="AC2857" s="2"/>
      <c r="AD2857" t="str">
        <f>IFERROR(__xludf.DUMMYFUNCTION("""COMPUTED_VALUE"""),"Happy Gilmore ")</f>
        <v>Happy Gilmore </v>
      </c>
      <c r="AE2857">
        <f t="shared" si="73"/>
        <v>110175773</v>
      </c>
    </row>
    <row r="2858" customHeight="1" spans="1:31">
      <c r="A2858" s="2" t="s">
        <v>3101</v>
      </c>
      <c r="B2858" s="2">
        <v>144</v>
      </c>
      <c r="C2858" s="2">
        <v>2483955</v>
      </c>
      <c r="D2858" s="2" t="s">
        <v>103</v>
      </c>
      <c r="E2858" s="2" t="s">
        <v>30</v>
      </c>
      <c r="F2858" t="s">
        <v>30</v>
      </c>
      <c r="N2858" s="2" t="s">
        <v>18</v>
      </c>
      <c r="O2858" s="2" t="s">
        <v>19</v>
      </c>
      <c r="P2858" s="2">
        <v>9600000</v>
      </c>
      <c r="Q2858" s="2">
        <v>6.7</v>
      </c>
      <c r="R2858" s="2" t="s">
        <v>5381</v>
      </c>
      <c r="S2858" s="2"/>
      <c r="AC2858" s="2"/>
      <c r="AD2858" t="str">
        <f>IFERROR(__xludf.DUMMYFUNCTION("""COMPUTED_VALUE"""),"Jeepers Creepers ")</f>
        <v>Jeepers Creepers </v>
      </c>
      <c r="AE2858">
        <f t="shared" si="73"/>
        <v>38623908</v>
      </c>
    </row>
    <row r="2859" customHeight="1" spans="1:31">
      <c r="A2859" s="2" t="s">
        <v>912</v>
      </c>
      <c r="B2859" s="2">
        <v>98</v>
      </c>
      <c r="C2859" s="2">
        <v>57176582</v>
      </c>
      <c r="D2859" s="2" t="s">
        <v>40</v>
      </c>
      <c r="E2859" s="2" t="s">
        <v>40</v>
      </c>
      <c r="F2859" t="s">
        <v>30</v>
      </c>
      <c r="N2859" s="2" t="s">
        <v>18</v>
      </c>
      <c r="O2859" s="2" t="s">
        <v>19</v>
      </c>
      <c r="P2859" s="2">
        <v>9500000</v>
      </c>
      <c r="Q2859" s="2">
        <v>6.1</v>
      </c>
      <c r="R2859" s="2" t="s">
        <v>5382</v>
      </c>
      <c r="S2859" s="2"/>
      <c r="AC2859" s="2"/>
      <c r="AD2859" t="str">
        <f>IFERROR(__xludf.DUMMYFUNCTION("""COMPUTED_VALUE"""),"Bill &amp; Ted's Excellent Adventure ")</f>
        <v>Bill &amp; Ted's Excellent Adventure </v>
      </c>
      <c r="AE2859">
        <f t="shared" si="73"/>
        <v>37469927</v>
      </c>
    </row>
    <row r="2860" customHeight="1" spans="1:31">
      <c r="A2860" s="2" t="s">
        <v>1776</v>
      </c>
      <c r="B2860" s="2">
        <v>117</v>
      </c>
      <c r="C2860" s="2">
        <v>43100000</v>
      </c>
      <c r="D2860" s="2" t="s">
        <v>27</v>
      </c>
      <c r="E2860" s="2" t="s">
        <v>12</v>
      </c>
      <c r="F2860" t="s">
        <v>30</v>
      </c>
      <c r="N2860" s="2" t="s">
        <v>18</v>
      </c>
      <c r="O2860" s="2" t="s">
        <v>31</v>
      </c>
      <c r="P2860" s="2">
        <v>9500000</v>
      </c>
      <c r="Q2860" s="2">
        <v>6.9</v>
      </c>
      <c r="R2860" s="2" t="s">
        <v>5383</v>
      </c>
      <c r="S2860" s="2"/>
      <c r="AC2860" s="2"/>
      <c r="AD2860" t="str">
        <f>IFERROR(__xludf.DUMMYFUNCTION("""COMPUTED_VALUE"""),"Oliver! ")</f>
        <v>Oliver! </v>
      </c>
      <c r="AE2860">
        <f t="shared" si="73"/>
        <v>40484949</v>
      </c>
    </row>
    <row r="2861" customHeight="1" spans="1:31">
      <c r="A2861" s="2" t="s">
        <v>2423</v>
      </c>
      <c r="B2861" s="2">
        <v>127</v>
      </c>
      <c r="C2861" s="2">
        <v>225377</v>
      </c>
      <c r="D2861" s="2" t="s">
        <v>103</v>
      </c>
      <c r="E2861" s="2" t="s">
        <v>30</v>
      </c>
      <c r="F2861" t="s">
        <v>72</v>
      </c>
      <c r="N2861" s="2" t="s">
        <v>1125</v>
      </c>
      <c r="O2861" s="2" t="s">
        <v>707</v>
      </c>
      <c r="P2861" s="2">
        <v>8900000</v>
      </c>
      <c r="Q2861" s="2">
        <v>7.9</v>
      </c>
      <c r="R2861" s="2" t="s">
        <v>5384</v>
      </c>
      <c r="S2861" s="2"/>
      <c r="AC2861" s="2"/>
      <c r="AD2861" t="str">
        <f>IFERROR(__xludf.DUMMYFUNCTION("""COMPUTED_VALUE"""),"The Best Exotic Marigold Hotel ")</f>
        <v>The Best Exotic Marigold Hotel </v>
      </c>
      <c r="AE2861">
        <f t="shared" si="73"/>
        <v>16799847</v>
      </c>
    </row>
    <row r="2862" customHeight="1" spans="1:31">
      <c r="A2862" s="2" t="s">
        <v>3103</v>
      </c>
      <c r="B2862" s="2">
        <v>98</v>
      </c>
      <c r="C2862" s="2">
        <v>14114488</v>
      </c>
      <c r="D2862" s="2" t="s">
        <v>2781</v>
      </c>
      <c r="E2862" s="2" t="s">
        <v>72</v>
      </c>
      <c r="F2862" t="s">
        <v>17</v>
      </c>
      <c r="N2862" s="2" t="s">
        <v>18</v>
      </c>
      <c r="O2862" s="2" t="s">
        <v>19</v>
      </c>
      <c r="P2862" s="2">
        <v>10500000</v>
      </c>
      <c r="Q2862" s="2">
        <v>4.5</v>
      </c>
      <c r="R2862" s="2" t="s">
        <v>5385</v>
      </c>
      <c r="S2862" s="2"/>
      <c r="AC2862" s="2"/>
      <c r="AD2862" t="str">
        <f>IFERROR(__xludf.DUMMYFUNCTION("""COMPUTED_VALUE"""),"Recess: School's Out ")</f>
        <v>Recess: School's Out </v>
      </c>
      <c r="AE2862">
        <f t="shared" si="73"/>
        <v>46376898</v>
      </c>
    </row>
    <row r="2863" customHeight="1" spans="1:31">
      <c r="A2863" s="2" t="s">
        <v>3105</v>
      </c>
      <c r="B2863" s="2">
        <v>197</v>
      </c>
      <c r="C2863" s="2">
        <v>46300000</v>
      </c>
      <c r="D2863" s="2" t="s">
        <v>505</v>
      </c>
      <c r="E2863" s="2" t="s">
        <v>12</v>
      </c>
      <c r="F2863" t="s">
        <v>39</v>
      </c>
      <c r="N2863" s="2" t="s">
        <v>18</v>
      </c>
      <c r="O2863" s="2" t="s">
        <v>19</v>
      </c>
      <c r="P2863" s="2">
        <v>9400000</v>
      </c>
      <c r="Q2863" s="2">
        <v>7.6</v>
      </c>
      <c r="R2863" s="2" t="s">
        <v>5386</v>
      </c>
      <c r="S2863" s="2"/>
      <c r="AC2863" s="2"/>
      <c r="AD2863" t="str">
        <f>IFERROR(__xludf.DUMMYFUNCTION("""COMPUTED_VALUE"""),"Mad Max Beyond Thunderdome ")</f>
        <v>Mad Max Beyond Thunderdome </v>
      </c>
      <c r="AE2863">
        <f t="shared" si="73"/>
        <v>36696679</v>
      </c>
    </row>
    <row r="2864" customHeight="1" spans="1:31">
      <c r="A2864" s="2" t="s">
        <v>1299</v>
      </c>
      <c r="B2864" s="2">
        <v>104</v>
      </c>
      <c r="C2864" s="2">
        <v>2600000</v>
      </c>
      <c r="D2864" s="2" t="s">
        <v>1354</v>
      </c>
      <c r="E2864" s="2" t="s">
        <v>30</v>
      </c>
      <c r="F2864" t="s">
        <v>17</v>
      </c>
      <c r="N2864" s="2" t="s">
        <v>18</v>
      </c>
      <c r="O2864" s="2" t="s">
        <v>31</v>
      </c>
      <c r="P2864" s="2">
        <v>6000000</v>
      </c>
      <c r="Q2864" s="2">
        <v>7.5</v>
      </c>
      <c r="R2864" s="2" t="s">
        <v>5387</v>
      </c>
      <c r="S2864" s="2"/>
      <c r="AC2864" s="2"/>
      <c r="AD2864" t="str">
        <f>IFERROR(__xludf.DUMMYFUNCTION("""COMPUTED_VALUE"""),"The Boy ")</f>
        <v>The Boy </v>
      </c>
      <c r="AE2864">
        <f t="shared" si="73"/>
        <v>36199893</v>
      </c>
    </row>
    <row r="2865" customHeight="1" spans="1:31">
      <c r="A2865" s="2" t="s">
        <v>3107</v>
      </c>
      <c r="B2865" s="2">
        <v>90</v>
      </c>
      <c r="C2865" s="2">
        <v>1602466</v>
      </c>
      <c r="D2865" s="2" t="s">
        <v>5388</v>
      </c>
      <c r="E2865" s="2" t="s">
        <v>12</v>
      </c>
      <c r="F2865" t="s">
        <v>15</v>
      </c>
      <c r="N2865" s="2" t="s">
        <v>18</v>
      </c>
      <c r="O2865" s="2" t="s">
        <v>2888</v>
      </c>
      <c r="P2865" s="2">
        <v>600000000</v>
      </c>
      <c r="Q2865" s="2">
        <v>6</v>
      </c>
      <c r="R2865" s="2" t="s">
        <v>5389</v>
      </c>
      <c r="S2865" s="2"/>
      <c r="AC2865" s="2"/>
      <c r="AD2865" t="str">
        <f>IFERROR(__xludf.DUMMYFUNCTION("""COMPUTED_VALUE"""),"Devil ")</f>
        <v>Devil </v>
      </c>
      <c r="AE2865">
        <f t="shared" si="73"/>
        <v>35794069</v>
      </c>
    </row>
    <row r="2866" customHeight="1" spans="1:31">
      <c r="A2866" s="2" t="s">
        <v>2697</v>
      </c>
      <c r="B2866" s="2">
        <v>130</v>
      </c>
      <c r="C2866" s="2">
        <v>3029870</v>
      </c>
      <c r="D2866" s="2" t="s">
        <v>677</v>
      </c>
      <c r="E2866" s="2" t="s">
        <v>30</v>
      </c>
      <c r="F2866" t="s">
        <v>30</v>
      </c>
      <c r="N2866" s="2" t="s">
        <v>18</v>
      </c>
      <c r="O2866" s="2" t="s">
        <v>3235</v>
      </c>
      <c r="P2866" s="2">
        <v>7400000</v>
      </c>
      <c r="Q2866" s="2">
        <v>7.1</v>
      </c>
      <c r="R2866" s="2" t="s">
        <v>5390</v>
      </c>
      <c r="S2866" s="2"/>
      <c r="AC2866" s="2"/>
      <c r="AD2866" t="str">
        <f>IFERROR(__xludf.DUMMYFUNCTION("""COMPUTED_VALUE"""),"Friday After Next ")</f>
        <v>Friday After Next </v>
      </c>
      <c r="AE2866">
        <f t="shared" si="73"/>
        <v>33583095</v>
      </c>
    </row>
    <row r="2867" customHeight="1" spans="1:31">
      <c r="A2867" s="2" t="s">
        <v>3109</v>
      </c>
      <c r="B2867" s="2">
        <v>176</v>
      </c>
      <c r="C2867" s="2">
        <v>3047539</v>
      </c>
      <c r="D2867" s="2" t="s">
        <v>103</v>
      </c>
      <c r="E2867" s="2" t="s">
        <v>30</v>
      </c>
      <c r="F2867" t="s">
        <v>23</v>
      </c>
      <c r="N2867" s="2" t="s">
        <v>5227</v>
      </c>
      <c r="O2867" s="2" t="s">
        <v>2888</v>
      </c>
      <c r="P2867" s="2">
        <v>7217600</v>
      </c>
      <c r="Q2867" s="2">
        <v>6.9</v>
      </c>
      <c r="R2867" s="2" t="s">
        <v>5391</v>
      </c>
      <c r="S2867" s="2"/>
      <c r="AC2867" s="2"/>
      <c r="AD2867" t="str">
        <f>IFERROR(__xludf.DUMMYFUNCTION("""COMPUTED_VALUE"""),"Insidious: Chapter 3 ")</f>
        <v>Insidious: Chapter 3 </v>
      </c>
      <c r="AE2867">
        <f t="shared" si="73"/>
        <v>32983628</v>
      </c>
    </row>
    <row r="2868" customHeight="1" spans="1:31">
      <c r="A2868" s="2" t="s">
        <v>94</v>
      </c>
      <c r="B2868" s="2">
        <v>116</v>
      </c>
      <c r="C2868" s="2">
        <v>78900000</v>
      </c>
      <c r="D2868" s="2" t="s">
        <v>4273</v>
      </c>
      <c r="E2868" s="2" t="s">
        <v>72</v>
      </c>
      <c r="F2868" t="s">
        <v>30</v>
      </c>
      <c r="N2868" s="2" t="s">
        <v>18</v>
      </c>
      <c r="O2868" s="2" t="s">
        <v>31</v>
      </c>
      <c r="P2868" s="2">
        <v>11000000</v>
      </c>
      <c r="Q2868" s="2">
        <v>8.5</v>
      </c>
      <c r="R2868" s="2" t="s">
        <v>5392</v>
      </c>
      <c r="S2868" s="2"/>
      <c r="AC2868" s="2"/>
      <c r="AD2868" t="str">
        <f>IFERROR(__xludf.DUMMYFUNCTION("""COMPUTED_VALUE"""),"The Last Dragon ")</f>
        <v>The Last Dragon </v>
      </c>
      <c r="AE2868">
        <f t="shared" si="73"/>
        <v>52200407</v>
      </c>
    </row>
    <row r="2869" customHeight="1" spans="1:31">
      <c r="A2869" s="2" t="s">
        <v>1666</v>
      </c>
      <c r="B2869" s="2">
        <v>88</v>
      </c>
      <c r="C2869" s="2">
        <v>30859000</v>
      </c>
      <c r="D2869" s="2" t="s">
        <v>2781</v>
      </c>
      <c r="E2869" s="2" t="s">
        <v>72</v>
      </c>
      <c r="F2869" t="s">
        <v>30</v>
      </c>
      <c r="N2869" s="2" t="s">
        <v>18</v>
      </c>
      <c r="O2869" s="2" t="s">
        <v>19</v>
      </c>
      <c r="P2869" s="2">
        <v>83532</v>
      </c>
      <c r="Q2869" s="2">
        <v>7.5</v>
      </c>
      <c r="R2869" s="2" t="s">
        <v>5393</v>
      </c>
      <c r="S2869" s="2"/>
      <c r="AC2869" s="2"/>
      <c r="AD2869" t="str">
        <f>IFERROR(__xludf.DUMMYFUNCTION("""COMPUTED_VALUE"""),"The Lawnmower Man ")</f>
        <v>The Lawnmower Man </v>
      </c>
      <c r="AE2869">
        <f t="shared" si="73"/>
        <v>32999891</v>
      </c>
    </row>
    <row r="2870" customHeight="1" spans="1:31">
      <c r="A2870" s="2" t="s">
        <v>3111</v>
      </c>
      <c r="B2870" s="2">
        <v>106</v>
      </c>
      <c r="C2870" s="2">
        <v>3571735</v>
      </c>
      <c r="D2870" s="2" t="s">
        <v>1747</v>
      </c>
      <c r="E2870" s="2" t="s">
        <v>59</v>
      </c>
      <c r="F2870" t="s">
        <v>72</v>
      </c>
      <c r="N2870" s="2" t="s">
        <v>18</v>
      </c>
      <c r="O2870" s="2" t="s">
        <v>19</v>
      </c>
      <c r="P2870" s="2">
        <v>10000000</v>
      </c>
      <c r="Q2870" s="2">
        <v>6.6</v>
      </c>
      <c r="R2870" s="2" t="s">
        <v>5394</v>
      </c>
      <c r="S2870" s="2"/>
      <c r="AC2870" s="2"/>
      <c r="AD2870" t="str">
        <f>IFERROR(__xludf.DUMMYFUNCTION("""COMPUTED_VALUE"""),"Nick and Norah's Infinite Playlist ")</f>
        <v>Nick and Norah's Infinite Playlist </v>
      </c>
      <c r="AE2870">
        <f t="shared" si="73"/>
        <v>32100860</v>
      </c>
    </row>
    <row r="2871" customHeight="1" spans="1:31">
      <c r="A2871" s="2" t="s">
        <v>1607</v>
      </c>
      <c r="B2871" s="2">
        <v>181</v>
      </c>
      <c r="C2871" s="2">
        <v>50000000</v>
      </c>
      <c r="D2871" s="2" t="s">
        <v>4695</v>
      </c>
      <c r="E2871" s="2" t="s">
        <v>30</v>
      </c>
      <c r="F2871" t="s">
        <v>30</v>
      </c>
      <c r="N2871" s="2" t="s">
        <v>18</v>
      </c>
      <c r="O2871" s="2" t="s">
        <v>19</v>
      </c>
      <c r="P2871" s="2">
        <v>9000000</v>
      </c>
      <c r="Q2871" s="2">
        <v>8</v>
      </c>
      <c r="R2871" s="2" t="s">
        <v>5395</v>
      </c>
      <c r="S2871" s="2"/>
      <c r="AC2871" s="2"/>
      <c r="AD2871" t="str">
        <f>IFERROR(__xludf.DUMMYFUNCTION("""COMPUTED_VALUE"""),"Dogma ")</f>
        <v>Dogma </v>
      </c>
      <c r="AE2871">
        <f t="shared" ref="AE2871:AE2934" si="74">C2755-B2755</f>
        <v>31487203</v>
      </c>
    </row>
    <row r="2872" customHeight="1" spans="1:31">
      <c r="A2872" s="2" t="s">
        <v>3114</v>
      </c>
      <c r="B2872" s="2">
        <v>130</v>
      </c>
      <c r="C2872" s="2">
        <v>63600000</v>
      </c>
      <c r="D2872" s="2" t="s">
        <v>27</v>
      </c>
      <c r="E2872" s="2" t="s">
        <v>12</v>
      </c>
      <c r="F2872" t="s">
        <v>24</v>
      </c>
      <c r="N2872" s="2" t="s">
        <v>18</v>
      </c>
      <c r="O2872" s="2" t="s">
        <v>31</v>
      </c>
      <c r="P2872" s="2">
        <v>9000000</v>
      </c>
      <c r="Q2872" s="2">
        <v>7</v>
      </c>
      <c r="R2872" s="2" t="s">
        <v>5396</v>
      </c>
      <c r="S2872" s="2"/>
      <c r="AC2872" s="2"/>
      <c r="AD2872" t="str">
        <f>IFERROR(__xludf.DUMMYFUNCTION("""COMPUTED_VALUE"""),"The Banger Sisters ")</f>
        <v>The Banger Sisters </v>
      </c>
      <c r="AE2872">
        <f t="shared" si="74"/>
        <v>30651292</v>
      </c>
    </row>
    <row r="2873" customHeight="1" spans="1:31">
      <c r="A2873" s="2" t="s">
        <v>878</v>
      </c>
      <c r="B2873" s="2">
        <v>123</v>
      </c>
      <c r="C2873" s="2">
        <v>36049108</v>
      </c>
      <c r="D2873" s="2" t="s">
        <v>2398</v>
      </c>
      <c r="E2873" s="2" t="s">
        <v>12</v>
      </c>
      <c r="F2873" t="s">
        <v>56</v>
      </c>
      <c r="N2873" s="2" t="s">
        <v>18</v>
      </c>
      <c r="O2873" s="2" t="s">
        <v>19</v>
      </c>
      <c r="P2873" s="2">
        <v>9000000</v>
      </c>
      <c r="Q2873" s="2">
        <v>6.8</v>
      </c>
      <c r="R2873" s="2" t="s">
        <v>5397</v>
      </c>
      <c r="S2873" s="2"/>
      <c r="AC2873" s="2"/>
      <c r="AD2873" t="str">
        <f>IFERROR(__xludf.DUMMYFUNCTION("""COMPUTED_VALUE"""),"Twilight Zone: The Movie ")</f>
        <v>Twilight Zone: The Movie </v>
      </c>
      <c r="AE2873">
        <f t="shared" si="74"/>
        <v>30306183</v>
      </c>
    </row>
    <row r="2874" customHeight="1" spans="1:31">
      <c r="A2874" s="2" t="s">
        <v>1952</v>
      </c>
      <c r="B2874" s="2">
        <v>120</v>
      </c>
      <c r="C2874" s="2">
        <v>34074895</v>
      </c>
      <c r="D2874" s="2" t="s">
        <v>975</v>
      </c>
      <c r="E2874" s="2" t="s">
        <v>40</v>
      </c>
      <c r="F2874" t="s">
        <v>65</v>
      </c>
      <c r="N2874" s="2" t="s">
        <v>18</v>
      </c>
      <c r="O2874" s="2" t="s">
        <v>19</v>
      </c>
      <c r="P2874" s="2">
        <v>9000000</v>
      </c>
      <c r="Q2874" s="2">
        <v>6.7</v>
      </c>
      <c r="R2874" s="2" t="s">
        <v>5398</v>
      </c>
      <c r="S2874" s="2"/>
      <c r="AC2874" s="2"/>
      <c r="AD2874" t="str">
        <f>IFERROR(__xludf.DUMMYFUNCTION("""COMPUTED_VALUE"""),"Road House ")</f>
        <v>Road House </v>
      </c>
      <c r="AE2874">
        <f t="shared" si="74"/>
        <v>29499899</v>
      </c>
    </row>
    <row r="2875" customHeight="1" spans="1:31">
      <c r="A2875" s="2" t="s">
        <v>2712</v>
      </c>
      <c r="B2875" s="2">
        <v>87</v>
      </c>
      <c r="C2875" s="2">
        <v>33244684</v>
      </c>
      <c r="D2875" s="2" t="s">
        <v>3112</v>
      </c>
      <c r="E2875" s="2" t="s">
        <v>14</v>
      </c>
      <c r="F2875" t="s">
        <v>30</v>
      </c>
      <c r="N2875" s="2" t="s">
        <v>18</v>
      </c>
      <c r="O2875" s="2" t="s">
        <v>19</v>
      </c>
      <c r="P2875" s="2">
        <v>9000000</v>
      </c>
      <c r="Q2875" s="2">
        <v>6.5</v>
      </c>
      <c r="R2875" s="2" t="s">
        <v>5399</v>
      </c>
      <c r="S2875" s="2"/>
      <c r="AC2875" s="2"/>
      <c r="AD2875" t="str">
        <f>IFERROR(__xludf.DUMMYFUNCTION("""COMPUTED_VALUE"""),"A Low Down Dirty Shame ")</f>
        <v>A Low Down Dirty Shame </v>
      </c>
      <c r="AE2875">
        <f t="shared" si="74"/>
        <v>30049914</v>
      </c>
    </row>
    <row r="2876" customHeight="1" spans="1:31">
      <c r="A2876" s="2" t="s">
        <v>3116</v>
      </c>
      <c r="B2876" s="2">
        <v>123</v>
      </c>
      <c r="C2876" s="2">
        <v>24530513</v>
      </c>
      <c r="D2876" s="2" t="s">
        <v>1124</v>
      </c>
      <c r="E2876" s="2" t="s">
        <v>65</v>
      </c>
      <c r="F2876" t="s">
        <v>30</v>
      </c>
      <c r="N2876" s="2" t="s">
        <v>18</v>
      </c>
      <c r="O2876" s="2" t="s">
        <v>19</v>
      </c>
      <c r="P2876" s="2">
        <v>9000000</v>
      </c>
      <c r="Q2876" s="2">
        <v>8</v>
      </c>
      <c r="R2876" s="2" t="s">
        <v>5400</v>
      </c>
      <c r="S2876" s="2"/>
      <c r="AC2876" s="2"/>
      <c r="AD2876" t="str">
        <f>IFERROR(__xludf.DUMMYFUNCTION("""COMPUTED_VALUE"""),"Swimfan ")</f>
        <v>Swimfan </v>
      </c>
      <c r="AE2876">
        <f t="shared" si="74"/>
        <v>29392318</v>
      </c>
    </row>
    <row r="2877" customHeight="1" spans="1:31">
      <c r="A2877" s="2" t="s">
        <v>2960</v>
      </c>
      <c r="B2877" s="2">
        <v>103</v>
      </c>
      <c r="C2877" s="2">
        <v>71519230</v>
      </c>
      <c r="D2877" s="2" t="s">
        <v>843</v>
      </c>
      <c r="E2877" s="2" t="s">
        <v>12</v>
      </c>
      <c r="F2877" t="s">
        <v>28</v>
      </c>
      <c r="N2877" s="2" t="s">
        <v>18</v>
      </c>
      <c r="O2877" s="2" t="s">
        <v>19</v>
      </c>
      <c r="P2877" s="2">
        <v>9000000</v>
      </c>
      <c r="Q2877" s="2">
        <v>6.5</v>
      </c>
      <c r="R2877" s="2" t="s">
        <v>5401</v>
      </c>
      <c r="S2877" s="2"/>
      <c r="AC2877" s="2"/>
      <c r="AD2877" t="str">
        <f>IFERROR(__xludf.DUMMYFUNCTION("""COMPUTED_VALUE"""),"Employee of the Month ")</f>
        <v>Employee of the Month </v>
      </c>
      <c r="AE2877">
        <f t="shared" si="74"/>
        <v>28563841</v>
      </c>
    </row>
    <row r="2878" customHeight="1" spans="1:31">
      <c r="A2878" s="2" t="s">
        <v>3118</v>
      </c>
      <c r="B2878" s="2">
        <v>91</v>
      </c>
      <c r="C2878" s="2">
        <v>20035310</v>
      </c>
      <c r="D2878" s="2" t="s">
        <v>521</v>
      </c>
      <c r="E2878" s="2" t="s">
        <v>40</v>
      </c>
      <c r="F2878" t="s">
        <v>71</v>
      </c>
      <c r="N2878" s="2" t="s">
        <v>18</v>
      </c>
      <c r="O2878" s="2" t="s">
        <v>19</v>
      </c>
      <c r="P2878" s="2">
        <v>9000000</v>
      </c>
      <c r="Q2878" s="2">
        <v>4.9</v>
      </c>
      <c r="R2878" s="2" t="s">
        <v>5402</v>
      </c>
      <c r="S2878" s="2"/>
      <c r="AC2878" s="2"/>
      <c r="AD2878" t="str">
        <f>IFERROR(__xludf.DUMMYFUNCTION("""COMPUTED_VALUE"""),"Can't Hardly Wait ")</f>
        <v>Can't Hardly Wait </v>
      </c>
      <c r="AE2878">
        <f t="shared" si="74"/>
        <v>28435303</v>
      </c>
    </row>
    <row r="2879" customHeight="1" spans="1:31">
      <c r="A2879" s="2" t="s">
        <v>2731</v>
      </c>
      <c r="B2879" s="2">
        <v>88</v>
      </c>
      <c r="C2879" s="2">
        <v>18225165</v>
      </c>
      <c r="D2879" s="2" t="s">
        <v>1716</v>
      </c>
      <c r="E2879" s="2" t="s">
        <v>13</v>
      </c>
      <c r="F2879" t="s">
        <v>30</v>
      </c>
      <c r="N2879" s="2" t="s">
        <v>18</v>
      </c>
      <c r="O2879" s="2" t="s">
        <v>19</v>
      </c>
      <c r="P2879" s="2">
        <v>9000000</v>
      </c>
      <c r="Q2879" s="2">
        <v>7.1</v>
      </c>
      <c r="R2879" s="2" t="s">
        <v>5403</v>
      </c>
      <c r="S2879" s="2"/>
      <c r="AC2879" s="2"/>
      <c r="AD2879" t="str">
        <f>IFERROR(__xludf.DUMMYFUNCTION("""COMPUTED_VALUE"""),"The Outsiders ")</f>
        <v>The Outsiders </v>
      </c>
      <c r="AE2879">
        <f t="shared" si="74"/>
        <v>25339017</v>
      </c>
    </row>
    <row r="2880" customHeight="1" spans="1:31">
      <c r="A2880" s="2" t="s">
        <v>1129</v>
      </c>
      <c r="B2880" s="2">
        <v>126</v>
      </c>
      <c r="C2880" s="2">
        <v>17804273</v>
      </c>
      <c r="D2880" s="2" t="s">
        <v>1655</v>
      </c>
      <c r="E2880" s="2" t="s">
        <v>30</v>
      </c>
      <c r="F2880" t="s">
        <v>56</v>
      </c>
      <c r="N2880" s="2" t="s">
        <v>18</v>
      </c>
      <c r="O2880" s="2" t="s">
        <v>19</v>
      </c>
      <c r="P2880" s="2">
        <v>20000000</v>
      </c>
      <c r="Q2880" s="2">
        <v>7</v>
      </c>
      <c r="R2880" s="2" t="s">
        <v>5404</v>
      </c>
      <c r="S2880" s="2"/>
      <c r="AC2880" s="2"/>
      <c r="AD2880" t="str">
        <f>IFERROR(__xludf.DUMMYFUNCTION("""COMPUTED_VALUE"""),"Sinister 2 ")</f>
        <v>Sinister 2 </v>
      </c>
      <c r="AE2880">
        <f t="shared" si="74"/>
        <v>25599886</v>
      </c>
    </row>
    <row r="2881" customHeight="1" spans="1:31">
      <c r="A2881" s="2" t="s">
        <v>3120</v>
      </c>
      <c r="B2881" s="2">
        <v>120</v>
      </c>
      <c r="C2881" s="2">
        <v>16938179</v>
      </c>
      <c r="D2881" s="2" t="s">
        <v>805</v>
      </c>
      <c r="E2881" s="2" t="s">
        <v>56</v>
      </c>
      <c r="F2881" t="s">
        <v>17</v>
      </c>
      <c r="N2881" s="2" t="s">
        <v>18</v>
      </c>
      <c r="O2881" s="2" t="s">
        <v>19</v>
      </c>
      <c r="P2881" s="2">
        <v>8000000</v>
      </c>
      <c r="Q2881" s="2">
        <v>7</v>
      </c>
      <c r="R2881" s="2" t="s">
        <v>5405</v>
      </c>
      <c r="S2881" s="2"/>
      <c r="AC2881" s="2"/>
      <c r="AD2881" t="str">
        <f>IFERROR(__xludf.DUMMYFUNCTION("""COMPUTED_VALUE"""),"Sparkle ")</f>
        <v>Sparkle </v>
      </c>
      <c r="AE2881">
        <f t="shared" si="74"/>
        <v>27736682</v>
      </c>
    </row>
    <row r="2882" customHeight="1" spans="1:31">
      <c r="A2882" s="2" t="s">
        <v>2314</v>
      </c>
      <c r="B2882" s="2">
        <v>94</v>
      </c>
      <c r="C2882" s="2">
        <v>16235293</v>
      </c>
      <c r="D2882" s="2" t="s">
        <v>72</v>
      </c>
      <c r="E2882" s="2" t="s">
        <v>72</v>
      </c>
      <c r="F2882" t="s">
        <v>17</v>
      </c>
      <c r="N2882" s="2" t="s">
        <v>18</v>
      </c>
      <c r="O2882" s="2" t="s">
        <v>19</v>
      </c>
      <c r="P2882" s="2">
        <v>9000000</v>
      </c>
      <c r="Q2882" s="2">
        <v>4.5</v>
      </c>
      <c r="R2882" s="2" t="s">
        <v>5406</v>
      </c>
      <c r="S2882" s="2"/>
      <c r="AC2882" s="2"/>
      <c r="AD2882" t="str">
        <f>IFERROR(__xludf.DUMMYFUNCTION("""COMPUTED_VALUE"""),"Valentine ")</f>
        <v>Valentine </v>
      </c>
      <c r="AE2882">
        <f t="shared" si="74"/>
        <v>24397353</v>
      </c>
    </row>
    <row r="2883" customHeight="1" spans="1:31">
      <c r="A2883" s="2" t="s">
        <v>330</v>
      </c>
      <c r="B2883" s="2">
        <v>137</v>
      </c>
      <c r="C2883" s="2">
        <v>10161099</v>
      </c>
      <c r="D2883" s="2" t="s">
        <v>5407</v>
      </c>
      <c r="E2883" s="2" t="s">
        <v>12</v>
      </c>
      <c r="F2883" t="s">
        <v>30</v>
      </c>
      <c r="N2883" s="2" t="s">
        <v>18</v>
      </c>
      <c r="O2883" s="2" t="s">
        <v>31</v>
      </c>
      <c r="P2883" s="2">
        <v>9000000</v>
      </c>
      <c r="Q2883" s="2">
        <v>7.7</v>
      </c>
      <c r="R2883" s="2" t="s">
        <v>5408</v>
      </c>
      <c r="S2883" s="2"/>
      <c r="AC2883" s="2"/>
      <c r="AD2883" t="str">
        <f>IFERROR(__xludf.DUMMYFUNCTION("""COMPUTED_VALUE"""),"The Fourth Kind ")</f>
        <v>The Fourth Kind </v>
      </c>
      <c r="AE2883">
        <f t="shared" si="74"/>
        <v>20384040</v>
      </c>
    </row>
    <row r="2884" customHeight="1" spans="1:31">
      <c r="A2884" s="2" t="s">
        <v>342</v>
      </c>
      <c r="B2884" s="2">
        <v>119</v>
      </c>
      <c r="C2884" s="2">
        <v>6047856</v>
      </c>
      <c r="D2884" s="2" t="s">
        <v>186</v>
      </c>
      <c r="E2884" s="2" t="s">
        <v>12</v>
      </c>
      <c r="F2884" t="s">
        <v>30</v>
      </c>
      <c r="N2884" s="2" t="s">
        <v>18</v>
      </c>
      <c r="O2884" s="2" t="s">
        <v>19</v>
      </c>
      <c r="P2884" s="2">
        <v>8500000</v>
      </c>
      <c r="Q2884" s="2">
        <v>6.7</v>
      </c>
      <c r="R2884" s="2" t="s">
        <v>5409</v>
      </c>
      <c r="S2884" s="2"/>
      <c r="AC2884" s="2"/>
      <c r="AD2884" t="str">
        <f>IFERROR(__xludf.DUMMYFUNCTION("""COMPUTED_VALUE"""),"A Prairie Home Companion ")</f>
        <v>A Prairie Home Companion </v>
      </c>
      <c r="AE2884">
        <f t="shared" si="74"/>
        <v>25464382</v>
      </c>
    </row>
    <row r="2885" customHeight="1" spans="1:31">
      <c r="A2885" s="2" t="s">
        <v>1458</v>
      </c>
      <c r="B2885" s="2">
        <v>99</v>
      </c>
      <c r="C2885" s="2">
        <v>4681503</v>
      </c>
      <c r="D2885" s="2" t="s">
        <v>975</v>
      </c>
      <c r="E2885" s="2" t="s">
        <v>40</v>
      </c>
      <c r="F2885" t="s">
        <v>30</v>
      </c>
      <c r="N2885" s="2" t="s">
        <v>18</v>
      </c>
      <c r="O2885" s="2" t="s">
        <v>19</v>
      </c>
      <c r="P2885" s="2">
        <v>9000000</v>
      </c>
      <c r="Q2885" s="2">
        <v>7</v>
      </c>
      <c r="R2885" s="2" t="s">
        <v>5410</v>
      </c>
      <c r="S2885" s="2"/>
      <c r="AC2885" s="2"/>
      <c r="AD2885" t="str">
        <f>IFERROR(__xludf.DUMMYFUNCTION("""COMPUTED_VALUE"""),"Sugar Hill ")</f>
        <v>Sugar Hill </v>
      </c>
      <c r="AE2885">
        <f t="shared" si="74"/>
        <v>20338504</v>
      </c>
    </row>
    <row r="2886" customHeight="1" spans="1:31">
      <c r="A2886" s="2" t="s">
        <v>3122</v>
      </c>
      <c r="B2886" s="2">
        <v>79</v>
      </c>
      <c r="C2886" s="2">
        <v>4350774</v>
      </c>
      <c r="D2886" s="2" t="s">
        <v>40</v>
      </c>
      <c r="E2886" s="2" t="s">
        <v>40</v>
      </c>
      <c r="F2886" t="s">
        <v>30</v>
      </c>
      <c r="N2886" s="2" t="s">
        <v>18</v>
      </c>
      <c r="O2886" s="2" t="s">
        <v>19</v>
      </c>
      <c r="P2886" s="2">
        <v>8000000</v>
      </c>
      <c r="Q2886" s="2">
        <v>6.5</v>
      </c>
      <c r="R2886" s="2" t="s">
        <v>5411</v>
      </c>
      <c r="S2886" s="2"/>
      <c r="AC2886" s="2"/>
      <c r="AD2886" t="str">
        <f>IFERROR(__xludf.DUMMYFUNCTION("""COMPUTED_VALUE"""),"Rushmore ")</f>
        <v>Rushmore </v>
      </c>
      <c r="AE2886">
        <f t="shared" si="74"/>
        <v>18272324</v>
      </c>
    </row>
    <row r="2887" customHeight="1" spans="1:31">
      <c r="A2887" s="2" t="s">
        <v>2723</v>
      </c>
      <c r="B2887" s="2">
        <v>95</v>
      </c>
      <c r="C2887" s="2">
        <v>2955039</v>
      </c>
      <c r="D2887" s="2" t="s">
        <v>592</v>
      </c>
      <c r="E2887" s="2" t="s">
        <v>59</v>
      </c>
      <c r="F2887" t="s">
        <v>55</v>
      </c>
      <c r="N2887" s="2" t="s">
        <v>18</v>
      </c>
      <c r="O2887" s="2" t="s">
        <v>19</v>
      </c>
      <c r="P2887" s="2">
        <v>9000000</v>
      </c>
      <c r="Q2887" s="2">
        <v>6.2</v>
      </c>
      <c r="R2887" s="2" t="s">
        <v>5412</v>
      </c>
      <c r="S2887" s="2"/>
      <c r="AC2887" s="2"/>
      <c r="AD2887" t="str">
        <f>IFERROR(__xludf.DUMMYFUNCTION("""COMPUTED_VALUE"""),"Skyline ")</f>
        <v>Skyline </v>
      </c>
      <c r="AE2887">
        <f t="shared" si="74"/>
        <v>17095960</v>
      </c>
    </row>
    <row r="2888" customHeight="1" spans="1:31">
      <c r="A2888" s="2" t="s">
        <v>2401</v>
      </c>
      <c r="B2888" s="2">
        <v>103</v>
      </c>
      <c r="C2888" s="2">
        <v>1530535</v>
      </c>
      <c r="D2888" s="2" t="s">
        <v>521</v>
      </c>
      <c r="E2888" s="2" t="s">
        <v>40</v>
      </c>
      <c r="F2888" t="s">
        <v>56</v>
      </c>
      <c r="N2888" s="2" t="s">
        <v>18</v>
      </c>
      <c r="O2888" s="2" t="s">
        <v>19</v>
      </c>
      <c r="P2888" s="2">
        <v>9000000</v>
      </c>
      <c r="Q2888" s="2">
        <v>5.7</v>
      </c>
      <c r="R2888" s="2" t="s">
        <v>5413</v>
      </c>
      <c r="S2888" s="2"/>
      <c r="AC2888" s="2"/>
      <c r="AD2888" t="str">
        <f>IFERROR(__xludf.DUMMYFUNCTION("""COMPUTED_VALUE"""),"The Second Best Exotic Marigold Hotel ")</f>
        <v>The Second Best Exotic Marigold Hotel </v>
      </c>
      <c r="AE2888">
        <f t="shared" si="74"/>
        <v>21371328</v>
      </c>
    </row>
    <row r="2889" customHeight="1" spans="1:31">
      <c r="A2889" s="2" t="s">
        <v>2250</v>
      </c>
      <c r="B2889" s="2">
        <v>92</v>
      </c>
      <c r="C2889" s="2">
        <v>4881867</v>
      </c>
      <c r="D2889" s="2" t="s">
        <v>3198</v>
      </c>
      <c r="E2889" s="2" t="s">
        <v>40</v>
      </c>
      <c r="F2889" t="s">
        <v>30</v>
      </c>
      <c r="N2889" s="2" t="s">
        <v>18</v>
      </c>
      <c r="O2889" s="2" t="s">
        <v>19</v>
      </c>
      <c r="P2889" s="2">
        <v>9000000</v>
      </c>
      <c r="Q2889" s="2">
        <v>6.4</v>
      </c>
      <c r="R2889" s="2" t="s">
        <v>5414</v>
      </c>
      <c r="S2889" s="2"/>
      <c r="AC2889" s="2"/>
      <c r="AD2889" t="str">
        <f>IFERROR(__xludf.DUMMYFUNCTION("""COMPUTED_VALUE"""),"Kit Kittredge: An American Girl ")</f>
        <v>Kit Kittredge: An American Girl </v>
      </c>
      <c r="AE2889">
        <f t="shared" si="74"/>
        <v>33071436</v>
      </c>
    </row>
    <row r="2890" customHeight="1" spans="1:31">
      <c r="A2890" s="2" t="s">
        <v>2395</v>
      </c>
      <c r="B2890" s="2">
        <v>84</v>
      </c>
      <c r="C2890" s="2">
        <v>11860839</v>
      </c>
      <c r="D2890" s="2" t="s">
        <v>1652</v>
      </c>
      <c r="E2890" s="2" t="s">
        <v>65</v>
      </c>
      <c r="F2890" t="s">
        <v>13</v>
      </c>
      <c r="N2890" s="2" t="s">
        <v>18</v>
      </c>
      <c r="O2890" s="2" t="s">
        <v>19</v>
      </c>
      <c r="P2890" s="2">
        <v>9000000</v>
      </c>
      <c r="Q2890" s="2">
        <v>5.4</v>
      </c>
      <c r="R2890" s="2" t="s">
        <v>5415</v>
      </c>
      <c r="S2890" s="2"/>
      <c r="AC2890" s="2"/>
      <c r="AD2890" t="str">
        <f>IFERROR(__xludf.DUMMYFUNCTION("""COMPUTED_VALUE"""),"The Perfect Man ")</f>
        <v>The Perfect Man </v>
      </c>
      <c r="AE2890">
        <f t="shared" si="74"/>
        <v>17655100</v>
      </c>
    </row>
    <row r="2891" customHeight="1" spans="1:31">
      <c r="A2891" s="2" t="s">
        <v>3124</v>
      </c>
      <c r="B2891" s="2">
        <v>300</v>
      </c>
      <c r="C2891" s="2">
        <v>454255</v>
      </c>
      <c r="D2891" s="2" t="s">
        <v>414</v>
      </c>
      <c r="E2891" s="2" t="s">
        <v>12</v>
      </c>
      <c r="F2891" t="s">
        <v>30</v>
      </c>
      <c r="N2891" s="2" t="s">
        <v>4933</v>
      </c>
      <c r="O2891" s="2" t="s">
        <v>4934</v>
      </c>
      <c r="P2891" s="2">
        <v>400000000</v>
      </c>
      <c r="Q2891" s="2">
        <v>6.6</v>
      </c>
      <c r="R2891" s="2" t="s">
        <v>5416</v>
      </c>
      <c r="S2891" s="2"/>
      <c r="AC2891" s="2"/>
      <c r="AD2891" t="str">
        <f>IFERROR(__xludf.DUMMYFUNCTION("""COMPUTED_VALUE"""),"Mo' Better Blues ")</f>
        <v>Mo' Better Blues </v>
      </c>
      <c r="AE2891">
        <f t="shared" si="74"/>
        <v>16247675</v>
      </c>
    </row>
    <row r="2892" customHeight="1" spans="1:31">
      <c r="A2892" s="2" t="s">
        <v>3126</v>
      </c>
      <c r="B2892" s="2">
        <v>120</v>
      </c>
      <c r="C2892" s="2">
        <v>349618</v>
      </c>
      <c r="D2892" s="2" t="s">
        <v>72</v>
      </c>
      <c r="E2892" s="2" t="s">
        <v>72</v>
      </c>
      <c r="F2892" t="s">
        <v>17</v>
      </c>
      <c r="N2892" s="2" t="s">
        <v>18</v>
      </c>
      <c r="O2892" s="2" t="s">
        <v>3655</v>
      </c>
      <c r="P2892" s="2">
        <v>9000000</v>
      </c>
      <c r="Q2892" s="2">
        <v>6.1</v>
      </c>
      <c r="R2892" s="2" t="s">
        <v>5417</v>
      </c>
      <c r="S2892" s="2"/>
      <c r="AC2892" s="2"/>
      <c r="AD2892" t="str">
        <f>IFERROR(__xludf.DUMMYFUNCTION("""COMPUTED_VALUE"""),"Kung Pow: Enter the Fist ")</f>
        <v>Kung Pow: Enter the Fist </v>
      </c>
      <c r="AE2892">
        <f t="shared" si="74"/>
        <v>16153471</v>
      </c>
    </row>
    <row r="2893" customHeight="1" spans="1:31">
      <c r="A2893" s="2" t="s">
        <v>2317</v>
      </c>
      <c r="B2893" s="2">
        <v>121</v>
      </c>
      <c r="C2893" s="2">
        <v>112935</v>
      </c>
      <c r="D2893" s="2" t="s">
        <v>30</v>
      </c>
      <c r="E2893" s="2" t="s">
        <v>30</v>
      </c>
      <c r="F2893" t="s">
        <v>55</v>
      </c>
      <c r="N2893" s="2" t="s">
        <v>18</v>
      </c>
      <c r="O2893" s="2" t="s">
        <v>31</v>
      </c>
      <c r="P2893" s="2">
        <v>9000000</v>
      </c>
      <c r="Q2893" s="2">
        <v>7.6</v>
      </c>
      <c r="R2893" s="2" t="s">
        <v>5418</v>
      </c>
      <c r="S2893" s="2"/>
      <c r="AC2893" s="2"/>
      <c r="AD2893" t="str">
        <f>IFERROR(__xludf.DUMMYFUNCTION("""COMPUTED_VALUE"""),"Tremors ")</f>
        <v>Tremors </v>
      </c>
      <c r="AE2893">
        <f t="shared" si="74"/>
        <v>16033475</v>
      </c>
    </row>
    <row r="2894" customHeight="1" spans="1:31">
      <c r="A2894" s="2" t="s">
        <v>3128</v>
      </c>
      <c r="B2894" s="2">
        <v>97</v>
      </c>
      <c r="C2894" s="2">
        <v>883887</v>
      </c>
      <c r="D2894" s="2" t="s">
        <v>30</v>
      </c>
      <c r="E2894" s="2" t="s">
        <v>30</v>
      </c>
      <c r="F2894" t="s">
        <v>17</v>
      </c>
      <c r="N2894" s="2" t="s">
        <v>18</v>
      </c>
      <c r="O2894" s="2" t="s">
        <v>19</v>
      </c>
      <c r="P2894" s="2">
        <v>9000000</v>
      </c>
      <c r="Q2894" s="2">
        <v>6.2</v>
      </c>
      <c r="R2894" s="2" t="s">
        <v>5419</v>
      </c>
      <c r="S2894" s="2"/>
      <c r="AC2894" s="2"/>
      <c r="AD2894" t="str">
        <f>IFERROR(__xludf.DUMMYFUNCTION("""COMPUTED_VALUE"""),"Wrong Turn ")</f>
        <v>Wrong Turn </v>
      </c>
      <c r="AE2894">
        <f t="shared" si="74"/>
        <v>16666988</v>
      </c>
    </row>
    <row r="2895" customHeight="1" spans="1:31">
      <c r="A2895" s="2" t="s">
        <v>2655</v>
      </c>
      <c r="B2895" s="2">
        <v>86</v>
      </c>
      <c r="C2895" s="2">
        <v>13751</v>
      </c>
      <c r="D2895" s="2" t="s">
        <v>2984</v>
      </c>
      <c r="E2895" s="2" t="s">
        <v>30</v>
      </c>
      <c r="F2895" t="s">
        <v>56</v>
      </c>
      <c r="N2895" s="2" t="s">
        <v>18</v>
      </c>
      <c r="O2895" s="2" t="s">
        <v>159</v>
      </c>
      <c r="P2895" s="2">
        <v>11400000</v>
      </c>
      <c r="Q2895" s="2">
        <v>6.6</v>
      </c>
      <c r="R2895" s="2" t="s">
        <v>5420</v>
      </c>
      <c r="S2895" s="2"/>
      <c r="AC2895" s="2"/>
      <c r="AD2895" t="str">
        <f>IFERROR(__xludf.DUMMYFUNCTION("""COMPUTED_VALUE"""),"The Corruptor ")</f>
        <v>The Corruptor </v>
      </c>
      <c r="AE2895">
        <f t="shared" si="74"/>
        <v>15417687</v>
      </c>
    </row>
    <row r="2896" customHeight="1" spans="1:31">
      <c r="A2896" s="2" t="s">
        <v>3130</v>
      </c>
      <c r="B2896" s="2">
        <v>45</v>
      </c>
      <c r="C2896" s="2">
        <v>145109</v>
      </c>
      <c r="D2896" s="2" t="s">
        <v>827</v>
      </c>
      <c r="E2896" s="2" t="s">
        <v>30</v>
      </c>
      <c r="F2896" t="s">
        <v>30</v>
      </c>
      <c r="N2896" s="2" t="s">
        <v>5421</v>
      </c>
      <c r="O2896" s="2" t="s">
        <v>3235</v>
      </c>
      <c r="P2896" s="2">
        <v>45000000</v>
      </c>
      <c r="Q2896" s="2">
        <v>7.3</v>
      </c>
      <c r="R2896" s="2" t="s">
        <v>5422</v>
      </c>
      <c r="S2896" s="2"/>
      <c r="AC2896" s="2"/>
      <c r="AD2896" t="str">
        <f>IFERROR(__xludf.DUMMYFUNCTION("""COMPUTED_VALUE"""),"Mud ")</f>
        <v>Mud </v>
      </c>
      <c r="AE2896">
        <f t="shared" si="74"/>
        <v>15156090</v>
      </c>
    </row>
    <row r="2897" customHeight="1" spans="1:31">
      <c r="A2897" s="2" t="s">
        <v>3132</v>
      </c>
      <c r="B2897" s="2">
        <v>97</v>
      </c>
      <c r="C2897" s="2">
        <v>1046166</v>
      </c>
      <c r="D2897" s="2" t="s">
        <v>4708</v>
      </c>
      <c r="E2897" s="2" t="s">
        <v>40</v>
      </c>
      <c r="F2897" t="s">
        <v>30</v>
      </c>
      <c r="N2897" s="2" t="s">
        <v>18</v>
      </c>
      <c r="O2897" s="2" t="s">
        <v>293</v>
      </c>
      <c r="P2897" s="2">
        <v>9000000</v>
      </c>
      <c r="Q2897" s="2">
        <v>4.2</v>
      </c>
      <c r="R2897" s="2" t="s">
        <v>5423</v>
      </c>
      <c r="S2897" s="2"/>
      <c r="AC2897" s="2"/>
      <c r="AD2897" t="str">
        <f>IFERROR(__xludf.DUMMYFUNCTION("""COMPUTED_VALUE"""),"Reno 911!: Miami ")</f>
        <v>Reno 911!: Miami </v>
      </c>
      <c r="AE2897">
        <f t="shared" si="74"/>
        <v>21589177</v>
      </c>
    </row>
    <row r="2898" customHeight="1" spans="1:31">
      <c r="A2898" s="2" t="s">
        <v>3134</v>
      </c>
      <c r="B2898" s="2">
        <v>93</v>
      </c>
      <c r="C2898" s="2">
        <v>174635000</v>
      </c>
      <c r="D2898" s="2" t="s">
        <v>1716</v>
      </c>
      <c r="E2898" s="2" t="s">
        <v>13</v>
      </c>
      <c r="F2898" t="s">
        <v>83</v>
      </c>
      <c r="N2898" s="2" t="s">
        <v>18</v>
      </c>
      <c r="O2898" s="2" t="s">
        <v>159</v>
      </c>
      <c r="P2898" s="2">
        <v>8800000</v>
      </c>
      <c r="Q2898" s="2">
        <v>6.5</v>
      </c>
      <c r="R2898" s="2" t="s">
        <v>5424</v>
      </c>
      <c r="S2898" s="2"/>
      <c r="AC2898" s="2"/>
      <c r="AD2898" t="str">
        <f>IFERROR(__xludf.DUMMYFUNCTION("""COMPUTED_VALUE"""),"One Direction: This Is Us ")</f>
        <v>One Direction: This Is Us </v>
      </c>
      <c r="AE2898">
        <f t="shared" si="74"/>
        <v>20339670</v>
      </c>
    </row>
    <row r="2899" customHeight="1" spans="1:31">
      <c r="A2899" s="2" t="s">
        <v>3136</v>
      </c>
      <c r="B2899" s="2">
        <v>84</v>
      </c>
      <c r="C2899" s="2">
        <v>14373825</v>
      </c>
      <c r="D2899" s="2" t="s">
        <v>846</v>
      </c>
      <c r="E2899" s="2" t="s">
        <v>56</v>
      </c>
      <c r="F2899" t="s">
        <v>55</v>
      </c>
      <c r="N2899" s="2" t="s">
        <v>18</v>
      </c>
      <c r="O2899" s="2" t="s">
        <v>19</v>
      </c>
      <c r="P2899" s="2">
        <v>8600000</v>
      </c>
      <c r="Q2899" s="2">
        <v>6.5</v>
      </c>
      <c r="R2899" s="2" t="s">
        <v>5425</v>
      </c>
      <c r="S2899" s="2"/>
      <c r="AC2899" s="2"/>
      <c r="AD2899" t="str">
        <f>IFERROR(__xludf.DUMMYFUNCTION("""COMPUTED_VALUE"""),"Hey Arnold! The Movie ")</f>
        <v>Hey Arnold! The Movie </v>
      </c>
      <c r="AE2899">
        <f t="shared" si="74"/>
        <v>28873268</v>
      </c>
    </row>
    <row r="2900" customHeight="1" spans="1:31">
      <c r="A2900" s="2" t="s">
        <v>3138</v>
      </c>
      <c r="B2900" s="2">
        <v>96</v>
      </c>
      <c r="C2900" s="2">
        <v>162</v>
      </c>
      <c r="D2900" s="2" t="s">
        <v>150</v>
      </c>
      <c r="E2900" s="2" t="s">
        <v>12</v>
      </c>
      <c r="F2900" t="s">
        <v>56</v>
      </c>
      <c r="N2900" s="2" t="s">
        <v>18</v>
      </c>
      <c r="O2900" s="2" t="s">
        <v>4934</v>
      </c>
      <c r="P2900" s="2">
        <v>9000000</v>
      </c>
      <c r="Q2900" s="2">
        <v>5.7</v>
      </c>
      <c r="R2900" s="2" t="s">
        <v>5426</v>
      </c>
      <c r="S2900" s="2"/>
      <c r="AC2900" s="2"/>
      <c r="AD2900" t="str">
        <f>IFERROR(__xludf.DUMMYFUNCTION("""COMPUTED_VALUE"""),"My Week with Marilyn ")</f>
        <v>My Week with Marilyn </v>
      </c>
      <c r="AE2900">
        <f t="shared" si="74"/>
        <v>13684873</v>
      </c>
    </row>
    <row r="2901" customHeight="1" spans="1:31">
      <c r="A2901" s="2" t="s">
        <v>1223</v>
      </c>
      <c r="B2901" s="2">
        <v>112</v>
      </c>
      <c r="C2901" s="2">
        <v>39462438</v>
      </c>
      <c r="D2901" s="2" t="s">
        <v>3280</v>
      </c>
      <c r="E2901" s="2" t="s">
        <v>30</v>
      </c>
      <c r="F2901" t="s">
        <v>30</v>
      </c>
      <c r="N2901" s="2" t="s">
        <v>18</v>
      </c>
      <c r="O2901" s="2" t="s">
        <v>19</v>
      </c>
      <c r="P2901" s="2">
        <v>7000000</v>
      </c>
      <c r="Q2901" s="2">
        <v>7.3</v>
      </c>
      <c r="R2901" s="2" t="s">
        <v>5427</v>
      </c>
      <c r="S2901" s="2"/>
      <c r="AC2901" s="2"/>
      <c r="AD2901" t="str">
        <f>IFERROR(__xludf.DUMMYFUNCTION("""COMPUTED_VALUE"""),"The Matador ")</f>
        <v>The Matador </v>
      </c>
      <c r="AE2901">
        <f t="shared" si="74"/>
        <v>14597306</v>
      </c>
    </row>
    <row r="2902" customHeight="1" spans="1:31">
      <c r="A2902" s="2" t="s">
        <v>3140</v>
      </c>
      <c r="B2902" s="2">
        <v>125</v>
      </c>
      <c r="C2902" s="2">
        <v>29200000</v>
      </c>
      <c r="D2902" s="2" t="s">
        <v>3280</v>
      </c>
      <c r="E2902" s="2" t="s">
        <v>30</v>
      </c>
      <c r="F2902" t="s">
        <v>17</v>
      </c>
      <c r="N2902" s="2" t="s">
        <v>18</v>
      </c>
      <c r="O2902" s="2" t="s">
        <v>19</v>
      </c>
      <c r="P2902" s="2">
        <v>8500000</v>
      </c>
      <c r="Q2902" s="2">
        <v>6.9</v>
      </c>
      <c r="R2902" s="2" t="s">
        <v>5428</v>
      </c>
      <c r="S2902" s="2"/>
      <c r="AC2902" s="2"/>
      <c r="AD2902" t="str">
        <f>IFERROR(__xludf.DUMMYFUNCTION("""COMPUTED_VALUE"""),"Love Jones ")</f>
        <v>Love Jones </v>
      </c>
      <c r="AE2902">
        <f t="shared" si="74"/>
        <v>12570346</v>
      </c>
    </row>
    <row r="2903" customHeight="1" spans="1:31">
      <c r="A2903" s="2" t="s">
        <v>3142</v>
      </c>
      <c r="B2903" s="2">
        <v>96</v>
      </c>
      <c r="C2903" s="2">
        <v>21564616</v>
      </c>
      <c r="D2903" s="2" t="s">
        <v>40</v>
      </c>
      <c r="E2903" s="2" t="s">
        <v>40</v>
      </c>
      <c r="F2903" t="s">
        <v>39</v>
      </c>
      <c r="N2903" s="2" t="s">
        <v>18</v>
      </c>
      <c r="O2903" s="2" t="s">
        <v>19</v>
      </c>
      <c r="P2903" s="2">
        <v>8500000</v>
      </c>
      <c r="Q2903" s="2">
        <v>5</v>
      </c>
      <c r="R2903" s="2" t="s">
        <v>5429</v>
      </c>
      <c r="S2903" s="2"/>
      <c r="AC2903" s="2"/>
      <c r="AD2903" t="str">
        <f>IFERROR(__xludf.DUMMYFUNCTION("""COMPUTED_VALUE"""),"The Gift ")</f>
        <v>The Gift </v>
      </c>
      <c r="AE2903">
        <f t="shared" si="74"/>
        <v>12514034</v>
      </c>
    </row>
    <row r="2904" customHeight="1" spans="1:31">
      <c r="A2904" s="2" t="s">
        <v>1796</v>
      </c>
      <c r="B2904" s="2">
        <v>103</v>
      </c>
      <c r="C2904" s="2">
        <v>14879556</v>
      </c>
      <c r="D2904" s="2" t="s">
        <v>975</v>
      </c>
      <c r="E2904" s="2" t="s">
        <v>40</v>
      </c>
      <c r="F2904" t="s">
        <v>56</v>
      </c>
      <c r="N2904" s="2" t="s">
        <v>18</v>
      </c>
      <c r="O2904" s="2" t="s">
        <v>19</v>
      </c>
      <c r="P2904" s="2">
        <v>8000000</v>
      </c>
      <c r="Q2904" s="2">
        <v>7.3</v>
      </c>
      <c r="R2904" s="2" t="s">
        <v>5430</v>
      </c>
      <c r="S2904" s="2"/>
      <c r="AC2904" s="2"/>
      <c r="AD2904" t="str">
        <f>IFERROR(__xludf.DUMMYFUNCTION("""COMPUTED_VALUE"""),"End of the Spear ")</f>
        <v>End of the Spear </v>
      </c>
      <c r="AE2904">
        <f t="shared" si="74"/>
        <v>43771183</v>
      </c>
    </row>
    <row r="2905" customHeight="1" spans="1:31">
      <c r="A2905" s="2" t="s">
        <v>3144</v>
      </c>
      <c r="B2905" s="2">
        <v>101</v>
      </c>
      <c r="C2905" s="2">
        <v>34017854</v>
      </c>
      <c r="D2905" s="2" t="s">
        <v>40</v>
      </c>
      <c r="E2905" s="2" t="s">
        <v>40</v>
      </c>
      <c r="F2905" t="s">
        <v>30</v>
      </c>
      <c r="N2905" s="2" t="s">
        <v>18</v>
      </c>
      <c r="O2905" s="2" t="s">
        <v>19</v>
      </c>
      <c r="P2905" s="2">
        <v>8500000</v>
      </c>
      <c r="Q2905" s="2">
        <v>6.5</v>
      </c>
      <c r="R2905" s="2" t="s">
        <v>5431</v>
      </c>
      <c r="S2905" s="2"/>
      <c r="AC2905" s="2"/>
      <c r="AD2905" t="str">
        <f>IFERROR(__xludf.DUMMYFUNCTION("""COMPUTED_VALUE"""),"Get Over It ")</f>
        <v>Get Over It </v>
      </c>
      <c r="AE2905">
        <f t="shared" si="74"/>
        <v>11703179</v>
      </c>
    </row>
    <row r="2906" customHeight="1" spans="1:31">
      <c r="A2906" s="2" t="s">
        <v>3146</v>
      </c>
      <c r="B2906" s="2">
        <v>104</v>
      </c>
      <c r="C2906" s="2">
        <v>4273372</v>
      </c>
      <c r="D2906" s="2" t="s">
        <v>3280</v>
      </c>
      <c r="E2906" s="2" t="s">
        <v>30</v>
      </c>
      <c r="F2906" t="s">
        <v>30</v>
      </c>
      <c r="N2906" s="2" t="s">
        <v>18</v>
      </c>
      <c r="O2906" s="2" t="s">
        <v>19</v>
      </c>
      <c r="P2906" s="2">
        <v>22000000</v>
      </c>
      <c r="Q2906" s="2">
        <v>2.1</v>
      </c>
      <c r="R2906" s="2" t="s">
        <v>5432</v>
      </c>
      <c r="S2906" s="2"/>
      <c r="AC2906" s="2"/>
      <c r="AD2906" t="str">
        <f>IFERROR(__xludf.DUMMYFUNCTION("""COMPUTED_VALUE"""),"Office Space ")</f>
        <v>Office Space </v>
      </c>
      <c r="AE2906">
        <f t="shared" si="74"/>
        <v>11560172</v>
      </c>
    </row>
    <row r="2907" customHeight="1" spans="1:31">
      <c r="A2907" s="2" t="s">
        <v>2865</v>
      </c>
      <c r="B2907" s="2">
        <v>119</v>
      </c>
      <c r="C2907" s="2">
        <v>4440055</v>
      </c>
      <c r="D2907" s="2" t="s">
        <v>2624</v>
      </c>
      <c r="E2907" s="2" t="s">
        <v>59</v>
      </c>
      <c r="F2907" t="s">
        <v>30</v>
      </c>
      <c r="N2907" s="2" t="s">
        <v>18</v>
      </c>
      <c r="O2907" s="2" t="s">
        <v>31</v>
      </c>
      <c r="P2907" s="2">
        <v>8500000</v>
      </c>
      <c r="Q2907" s="2">
        <v>7</v>
      </c>
      <c r="R2907" s="2" t="s">
        <v>5433</v>
      </c>
      <c r="S2907" s="2"/>
      <c r="AC2907" s="2"/>
      <c r="AD2907" t="str">
        <f>IFERROR(__xludf.DUMMYFUNCTION("""COMPUTED_VALUE"""),"Drop Dead Gorgeous ")</f>
        <v>Drop Dead Gorgeous </v>
      </c>
      <c r="AE2907">
        <f t="shared" si="74"/>
        <v>10824832</v>
      </c>
    </row>
    <row r="2908" customHeight="1" spans="1:31">
      <c r="A2908" s="2" t="s">
        <v>2942</v>
      </c>
      <c r="B2908" s="2">
        <v>128</v>
      </c>
      <c r="C2908" s="2">
        <v>4018695</v>
      </c>
      <c r="D2908" s="2" t="s">
        <v>666</v>
      </c>
      <c r="E2908" s="2" t="s">
        <v>13</v>
      </c>
      <c r="F2908" t="s">
        <v>30</v>
      </c>
      <c r="N2908" s="2" t="s">
        <v>5227</v>
      </c>
      <c r="O2908" s="2" t="s">
        <v>2888</v>
      </c>
      <c r="P2908" s="2">
        <v>12000000</v>
      </c>
      <c r="Q2908" s="2">
        <v>8</v>
      </c>
      <c r="R2908" s="2" t="s">
        <v>5434</v>
      </c>
      <c r="S2908" s="2"/>
      <c r="AC2908" s="2"/>
      <c r="AD2908" t="str">
        <f>IFERROR(__xludf.DUMMYFUNCTION("""COMPUTED_VALUE"""),"Big Eyes ")</f>
        <v>Big Eyes </v>
      </c>
      <c r="AE2908">
        <f t="shared" si="74"/>
        <v>10561141</v>
      </c>
    </row>
    <row r="2909" customHeight="1" spans="1:31">
      <c r="A2909" s="2" t="s">
        <v>2323</v>
      </c>
      <c r="B2909" s="2">
        <v>106</v>
      </c>
      <c r="C2909" s="2">
        <v>6262942</v>
      </c>
      <c r="D2909" s="2" t="s">
        <v>388</v>
      </c>
      <c r="E2909" s="2" t="s">
        <v>12</v>
      </c>
      <c r="F2909" t="s">
        <v>30</v>
      </c>
      <c r="N2909" s="2" t="s">
        <v>18</v>
      </c>
      <c r="O2909" s="2" t="s">
        <v>19</v>
      </c>
      <c r="P2909" s="2">
        <v>9000000</v>
      </c>
      <c r="Q2909" s="2">
        <v>6.9</v>
      </c>
      <c r="R2909" s="2" t="s">
        <v>5435</v>
      </c>
      <c r="S2909" s="2"/>
      <c r="AC2909" s="2"/>
      <c r="AD2909" t="str">
        <f>IFERROR(__xludf.DUMMYFUNCTION("""COMPUTED_VALUE"""),"Very Bad Things ")</f>
        <v>Very Bad Things </v>
      </c>
      <c r="AE2909">
        <f t="shared" si="74"/>
        <v>14479670</v>
      </c>
    </row>
    <row r="2910" customHeight="1" spans="1:31">
      <c r="A2910" s="2" t="s">
        <v>3149</v>
      </c>
      <c r="B2910" s="2">
        <v>126</v>
      </c>
      <c r="C2910" s="2">
        <v>1997807</v>
      </c>
      <c r="D2910" s="2" t="s">
        <v>666</v>
      </c>
      <c r="E2910" s="2" t="s">
        <v>13</v>
      </c>
      <c r="F2910" t="s">
        <v>30</v>
      </c>
      <c r="N2910" s="2" t="s">
        <v>18</v>
      </c>
      <c r="O2910" s="2" t="s">
        <v>19</v>
      </c>
      <c r="P2910" s="2">
        <v>8000000</v>
      </c>
      <c r="Q2910" s="2">
        <v>7.1</v>
      </c>
      <c r="R2910" s="2" t="s">
        <v>5436</v>
      </c>
      <c r="S2910" s="2"/>
      <c r="AC2910" s="2"/>
      <c r="AD2910" t="str">
        <f>IFERROR(__xludf.DUMMYFUNCTION("""COMPUTED_VALUE"""),"Sleepover ")</f>
        <v>Sleepover </v>
      </c>
      <c r="AE2910">
        <f t="shared" si="74"/>
        <v>9801682</v>
      </c>
    </row>
    <row r="2911" customHeight="1" spans="1:31">
      <c r="A2911" s="2" t="s">
        <v>2958</v>
      </c>
      <c r="B2911" s="2">
        <v>150</v>
      </c>
      <c r="C2911" s="2">
        <v>140244</v>
      </c>
      <c r="D2911" s="2" t="s">
        <v>5437</v>
      </c>
      <c r="E2911" s="2" t="s">
        <v>72</v>
      </c>
      <c r="F2911" t="s">
        <v>83</v>
      </c>
      <c r="N2911" s="2" t="s">
        <v>18</v>
      </c>
      <c r="O2911" s="2" t="s">
        <v>19</v>
      </c>
      <c r="P2911" s="2">
        <v>8500000</v>
      </c>
      <c r="Q2911" s="2">
        <v>6.7</v>
      </c>
      <c r="R2911" s="2" t="s">
        <v>5438</v>
      </c>
      <c r="S2911" s="2"/>
      <c r="AC2911" s="2"/>
      <c r="AD2911" t="str">
        <f>IFERROR(__xludf.DUMMYFUNCTION("""COMPUTED_VALUE"""),"MacGruber ")</f>
        <v>MacGruber </v>
      </c>
      <c r="AE2911">
        <f t="shared" si="74"/>
        <v>8070222</v>
      </c>
    </row>
    <row r="2912" customHeight="1" spans="1:31">
      <c r="A2912" s="2" t="s">
        <v>627</v>
      </c>
      <c r="B2912" s="2">
        <v>178</v>
      </c>
      <c r="C2912" s="2">
        <v>107930000</v>
      </c>
      <c r="D2912" s="2" t="s">
        <v>718</v>
      </c>
      <c r="E2912" s="2" t="s">
        <v>56</v>
      </c>
      <c r="F2912" t="s">
        <v>30</v>
      </c>
      <c r="N2912" s="2" t="s">
        <v>18</v>
      </c>
      <c r="O2912" s="2" t="s">
        <v>19</v>
      </c>
      <c r="P2912" s="2">
        <v>8000000</v>
      </c>
      <c r="Q2912" s="2">
        <v>8.9</v>
      </c>
      <c r="R2912" s="2" t="s">
        <v>5439</v>
      </c>
      <c r="S2912" s="2"/>
      <c r="AC2912" s="2"/>
      <c r="AD2912" t="str">
        <f>IFERROR(__xludf.DUMMYFUNCTION("""COMPUTED_VALUE"""),"Dirty Pretty Things ")</f>
        <v>Dirty Pretty Things </v>
      </c>
      <c r="AE2912">
        <f t="shared" si="74"/>
        <v>8460900</v>
      </c>
    </row>
    <row r="2913" customHeight="1" spans="1:31">
      <c r="A2913" s="2" t="s">
        <v>3151</v>
      </c>
      <c r="B2913" s="2">
        <v>117</v>
      </c>
      <c r="C2913" s="2">
        <v>32279955</v>
      </c>
      <c r="D2913" s="2" t="s">
        <v>805</v>
      </c>
      <c r="E2913" s="2" t="s">
        <v>56</v>
      </c>
      <c r="F2913" t="s">
        <v>30</v>
      </c>
      <c r="N2913" s="2" t="s">
        <v>18</v>
      </c>
      <c r="O2913" s="2" t="s">
        <v>19</v>
      </c>
      <c r="P2913" s="2">
        <v>8500000</v>
      </c>
      <c r="Q2913" s="2">
        <v>7.9</v>
      </c>
      <c r="R2913" s="2" t="s">
        <v>5440</v>
      </c>
      <c r="S2913" s="2"/>
      <c r="AC2913" s="2"/>
      <c r="AD2913" t="str">
        <f>IFERROR(__xludf.DUMMYFUNCTION("""COMPUTED_VALUE"""),"Movie 43 ")</f>
        <v>Movie 43 </v>
      </c>
      <c r="AE2913">
        <f t="shared" si="74"/>
        <v>8111263</v>
      </c>
    </row>
    <row r="2914" customHeight="1" spans="1:31">
      <c r="A2914" s="2" t="s">
        <v>1233</v>
      </c>
      <c r="B2914" s="2">
        <v>119</v>
      </c>
      <c r="C2914" s="2">
        <v>4992159</v>
      </c>
      <c r="D2914" s="2" t="s">
        <v>4843</v>
      </c>
      <c r="E2914" s="2" t="s">
        <v>40</v>
      </c>
      <c r="F2914" t="s">
        <v>56</v>
      </c>
      <c r="N2914" s="2" t="s">
        <v>18</v>
      </c>
      <c r="O2914" s="2" t="s">
        <v>19</v>
      </c>
      <c r="P2914" s="2">
        <v>8550000</v>
      </c>
      <c r="Q2914" s="2">
        <v>5.6</v>
      </c>
      <c r="R2914" s="2" t="s">
        <v>5441</v>
      </c>
      <c r="S2914" s="2"/>
      <c r="AC2914" s="2"/>
      <c r="AD2914" t="str">
        <f>IFERROR(__xludf.DUMMYFUNCTION("""COMPUTED_VALUE"""),"Over Her Dead Body ")</f>
        <v>Over Her Dead Body </v>
      </c>
      <c r="AE2914">
        <f t="shared" si="74"/>
        <v>8828677</v>
      </c>
    </row>
    <row r="2915" customHeight="1" spans="1:31">
      <c r="A2915" s="2" t="s">
        <v>1649</v>
      </c>
      <c r="B2915" s="2">
        <v>174</v>
      </c>
      <c r="C2915" s="2">
        <v>163214286</v>
      </c>
      <c r="D2915" s="2" t="s">
        <v>5442</v>
      </c>
      <c r="E2915" s="2" t="s">
        <v>59</v>
      </c>
      <c r="F2915" t="s">
        <v>30</v>
      </c>
      <c r="N2915" s="2" t="s">
        <v>18</v>
      </c>
      <c r="O2915" s="2" t="s">
        <v>19</v>
      </c>
      <c r="P2915" s="2">
        <v>8200000</v>
      </c>
      <c r="Q2915" s="2">
        <v>8</v>
      </c>
      <c r="R2915" s="2" t="s">
        <v>5443</v>
      </c>
      <c r="S2915" s="2"/>
      <c r="AC2915" s="2"/>
      <c r="AD2915" t="str">
        <f>IFERROR(__xludf.DUMMYFUNCTION("""COMPUTED_VALUE"""),"Seeking a Friend for the End of the World ")</f>
        <v>Seeking a Friend for the End of the World </v>
      </c>
      <c r="AE2915">
        <f t="shared" si="74"/>
        <v>7563575</v>
      </c>
    </row>
    <row r="2916" customHeight="1" spans="1:31">
      <c r="A2916" s="2" t="s">
        <v>327</v>
      </c>
      <c r="B2916" s="2">
        <v>111</v>
      </c>
      <c r="C2916" s="2">
        <v>69800000</v>
      </c>
      <c r="D2916" s="2" t="s">
        <v>1456</v>
      </c>
      <c r="E2916" s="2" t="s">
        <v>40</v>
      </c>
      <c r="F2916" t="s">
        <v>30</v>
      </c>
      <c r="N2916" s="2" t="s">
        <v>18</v>
      </c>
      <c r="O2916" s="2" t="s">
        <v>19</v>
      </c>
      <c r="P2916" s="2">
        <v>8000000</v>
      </c>
      <c r="Q2916" s="2">
        <v>6.2</v>
      </c>
      <c r="R2916" s="2" t="s">
        <v>5444</v>
      </c>
      <c r="S2916" s="2"/>
      <c r="AC2916" s="2"/>
      <c r="AD2916" t="str">
        <f>IFERROR(__xludf.DUMMYFUNCTION("""COMPUTED_VALUE"""),"American History X ")</f>
        <v>American History X </v>
      </c>
      <c r="AE2916">
        <f t="shared" si="74"/>
        <v>6619072</v>
      </c>
    </row>
    <row r="2917" customHeight="1" spans="1:31">
      <c r="A2917" s="2" t="s">
        <v>3153</v>
      </c>
      <c r="B2917" s="2">
        <v>101</v>
      </c>
      <c r="C2917" s="2">
        <v>59889948</v>
      </c>
      <c r="D2917" s="2" t="s">
        <v>975</v>
      </c>
      <c r="E2917" s="2" t="s">
        <v>40</v>
      </c>
      <c r="F2917" t="s">
        <v>40</v>
      </c>
      <c r="N2917" s="2" t="s">
        <v>18</v>
      </c>
      <c r="O2917" s="2" t="s">
        <v>19</v>
      </c>
      <c r="P2917" s="2">
        <v>8000000</v>
      </c>
      <c r="Q2917" s="2">
        <v>7.9</v>
      </c>
      <c r="R2917" s="2" t="s">
        <v>5445</v>
      </c>
      <c r="S2917" s="2"/>
      <c r="AC2917" s="2"/>
      <c r="AD2917" t="str">
        <f>IFERROR(__xludf.DUMMYFUNCTION("""COMPUTED_VALUE"""),"The Collection ")</f>
        <v>The Collection </v>
      </c>
      <c r="AE2917">
        <f t="shared" si="74"/>
        <v>6712140</v>
      </c>
    </row>
    <row r="2918" customHeight="1" spans="1:31">
      <c r="A2918" s="2" t="s">
        <v>1030</v>
      </c>
      <c r="B2918" s="2">
        <v>89</v>
      </c>
      <c r="C2918" s="2">
        <v>52287414</v>
      </c>
      <c r="D2918" s="2" t="s">
        <v>2943</v>
      </c>
      <c r="E2918" s="2" t="s">
        <v>13</v>
      </c>
      <c r="F2918" t="s">
        <v>17</v>
      </c>
      <c r="N2918" s="2" t="s">
        <v>18</v>
      </c>
      <c r="O2918" s="2" t="s">
        <v>19</v>
      </c>
      <c r="P2918" s="2">
        <v>8000000</v>
      </c>
      <c r="Q2918" s="2">
        <v>8.1</v>
      </c>
      <c r="R2918" s="2" t="s">
        <v>5446</v>
      </c>
      <c r="S2918" s="2"/>
      <c r="AC2918" s="2"/>
      <c r="AD2918" t="str">
        <f>IFERROR(__xludf.DUMMYFUNCTION("""COMPUTED_VALUE"""),"Teacher's Pet ")</f>
        <v>Teacher's Pet </v>
      </c>
      <c r="AE2918">
        <f t="shared" si="74"/>
        <v>6841976</v>
      </c>
    </row>
    <row r="2919" customHeight="1" spans="1:31">
      <c r="A2919" s="2" t="s">
        <v>1322</v>
      </c>
      <c r="B2919" s="2">
        <v>113</v>
      </c>
      <c r="C2919" s="2">
        <v>45063889</v>
      </c>
      <c r="D2919" s="2" t="s">
        <v>1461</v>
      </c>
      <c r="E2919" s="2" t="s">
        <v>30</v>
      </c>
      <c r="F2919" t="s">
        <v>30</v>
      </c>
      <c r="N2919" s="2" t="s">
        <v>18</v>
      </c>
      <c r="O2919" s="2" t="s">
        <v>31</v>
      </c>
      <c r="P2919" s="2">
        <v>8000000</v>
      </c>
      <c r="Q2919" s="2">
        <v>7.6</v>
      </c>
      <c r="R2919" s="2" t="s">
        <v>5447</v>
      </c>
      <c r="S2919" s="2"/>
      <c r="AC2919" s="2"/>
      <c r="AD2919" t="str">
        <f>IFERROR(__xludf.DUMMYFUNCTION("""COMPUTED_VALUE"""),"The Red Violin ")</f>
        <v>The Red Violin </v>
      </c>
      <c r="AE2919">
        <f t="shared" si="74"/>
        <v>6491276</v>
      </c>
    </row>
    <row r="2920" customHeight="1" spans="1:31">
      <c r="A2920" s="2" t="s">
        <v>3155</v>
      </c>
      <c r="B2920" s="2">
        <v>95</v>
      </c>
      <c r="C2920" s="2">
        <v>40066497</v>
      </c>
      <c r="D2920" s="2" t="s">
        <v>2565</v>
      </c>
      <c r="E2920" s="2" t="s">
        <v>30</v>
      </c>
      <c r="F2920" t="s">
        <v>30</v>
      </c>
      <c r="N2920" s="2" t="s">
        <v>18</v>
      </c>
      <c r="O2920" s="2" t="s">
        <v>19</v>
      </c>
      <c r="P2920" s="2">
        <v>8000000</v>
      </c>
      <c r="Q2920" s="2">
        <v>3.5</v>
      </c>
      <c r="R2920" s="2" t="s">
        <v>5448</v>
      </c>
      <c r="S2920" s="2"/>
      <c r="AC2920" s="2"/>
      <c r="AD2920" t="str">
        <f>IFERROR(__xludf.DUMMYFUNCTION("""COMPUTED_VALUE"""),"The Straight Story ")</f>
        <v>The Straight Story </v>
      </c>
      <c r="AE2920">
        <f t="shared" si="74"/>
        <v>9473252</v>
      </c>
    </row>
    <row r="2921" customHeight="1" spans="1:31">
      <c r="A2921" s="2" t="s">
        <v>3157</v>
      </c>
      <c r="B2921" s="2">
        <v>112</v>
      </c>
      <c r="C2921" s="2">
        <v>36500000</v>
      </c>
      <c r="D2921" s="2" t="s">
        <v>625</v>
      </c>
      <c r="E2921" s="2" t="s">
        <v>59</v>
      </c>
      <c r="F2921" t="s">
        <v>72</v>
      </c>
      <c r="N2921" s="2" t="s">
        <v>18</v>
      </c>
      <c r="O2921" s="2" t="s">
        <v>19</v>
      </c>
      <c r="P2921" s="2">
        <v>8000000</v>
      </c>
      <c r="Q2921" s="2">
        <v>7.6</v>
      </c>
      <c r="R2921" s="2" t="s">
        <v>5449</v>
      </c>
      <c r="S2921" s="2"/>
      <c r="AC2921" s="2"/>
      <c r="AD2921" t="str">
        <f>IFERROR(__xludf.DUMMYFUNCTION("""COMPUTED_VALUE"""),"Deuces Wild ")</f>
        <v>Deuces Wild </v>
      </c>
      <c r="AE2921">
        <f t="shared" si="74"/>
        <v>6197754</v>
      </c>
    </row>
    <row r="2922" customHeight="1" spans="1:31">
      <c r="A2922" s="2" t="s">
        <v>2705</v>
      </c>
      <c r="B2922" s="2">
        <v>109</v>
      </c>
      <c r="C2922" s="2">
        <v>27362712</v>
      </c>
      <c r="D2922" s="2" t="s">
        <v>2389</v>
      </c>
      <c r="E2922" s="2" t="s">
        <v>40</v>
      </c>
      <c r="F2922" t="s">
        <v>28</v>
      </c>
      <c r="N2922" s="2" t="s">
        <v>18</v>
      </c>
      <c r="O2922" s="2" t="s">
        <v>19</v>
      </c>
      <c r="P2922" s="2">
        <v>8000000</v>
      </c>
      <c r="Q2922" s="2">
        <v>6.5</v>
      </c>
      <c r="R2922" s="2" t="s">
        <v>5450</v>
      </c>
      <c r="S2922" s="2"/>
      <c r="AC2922" s="2"/>
      <c r="AD2922" t="str">
        <f>IFERROR(__xludf.DUMMYFUNCTION("""COMPUTED_VALUE"""),"Bad Words ")</f>
        <v>Bad Words </v>
      </c>
      <c r="AE2922">
        <f t="shared" si="74"/>
        <v>6044522</v>
      </c>
    </row>
    <row r="2923" customHeight="1" spans="1:31">
      <c r="A2923" s="2" t="s">
        <v>3159</v>
      </c>
      <c r="B2923" s="2">
        <v>108</v>
      </c>
      <c r="C2923" s="2">
        <v>34746109</v>
      </c>
      <c r="D2923" s="2" t="s">
        <v>5451</v>
      </c>
      <c r="E2923" s="2" t="s">
        <v>40</v>
      </c>
      <c r="F2923" t="s">
        <v>72</v>
      </c>
      <c r="N2923" s="2" t="s">
        <v>18</v>
      </c>
      <c r="O2923" s="2" t="s">
        <v>19</v>
      </c>
      <c r="P2923" s="2">
        <v>8000000</v>
      </c>
      <c r="Q2923" s="2">
        <v>5.6</v>
      </c>
      <c r="R2923" s="2" t="s">
        <v>5452</v>
      </c>
      <c r="S2923" s="2"/>
      <c r="AC2923" s="2"/>
      <c r="AD2923" t="str">
        <f>IFERROR(__xludf.DUMMYFUNCTION("""COMPUTED_VALUE"""),"Black or White ")</f>
        <v>Black or White </v>
      </c>
      <c r="AE2923">
        <f t="shared" si="74"/>
        <v>7763938</v>
      </c>
    </row>
    <row r="2924" customHeight="1" spans="1:31">
      <c r="A2924" s="2" t="s">
        <v>1799</v>
      </c>
      <c r="B2924" s="2">
        <v>100</v>
      </c>
      <c r="C2924" s="2">
        <v>34963967</v>
      </c>
      <c r="D2924" s="2" t="s">
        <v>521</v>
      </c>
      <c r="E2924" s="2" t="s">
        <v>40</v>
      </c>
      <c r="F2924" t="s">
        <v>65</v>
      </c>
      <c r="N2924" s="2" t="s">
        <v>18</v>
      </c>
      <c r="O2924" s="2" t="s">
        <v>19</v>
      </c>
      <c r="P2924" s="2">
        <v>8000000</v>
      </c>
      <c r="Q2924" s="2">
        <v>7.7</v>
      </c>
      <c r="R2924" s="2" t="s">
        <v>5453</v>
      </c>
      <c r="S2924" s="2"/>
      <c r="AC2924" s="2"/>
      <c r="AD2924" t="str">
        <f>IFERROR(__xludf.DUMMYFUNCTION("""COMPUTED_VALUE"""),"On the Line ")</f>
        <v>On the Line </v>
      </c>
      <c r="AE2924">
        <f t="shared" si="74"/>
        <v>21568920</v>
      </c>
    </row>
    <row r="2925" customHeight="1" spans="1:31">
      <c r="A2925" s="2" t="s">
        <v>3161</v>
      </c>
      <c r="B2925" s="2">
        <v>90</v>
      </c>
      <c r="C2925" s="2">
        <v>25926543</v>
      </c>
      <c r="D2925" s="2" t="s">
        <v>1189</v>
      </c>
      <c r="E2925" s="2" t="s">
        <v>72</v>
      </c>
      <c r="F2925" t="s">
        <v>72</v>
      </c>
      <c r="N2925" s="2" t="s">
        <v>18</v>
      </c>
      <c r="O2925" s="2" t="s">
        <v>19</v>
      </c>
      <c r="P2925" s="2">
        <v>8000000</v>
      </c>
      <c r="Q2925" s="2">
        <v>5.2</v>
      </c>
      <c r="R2925" s="2" t="s">
        <v>5454</v>
      </c>
      <c r="S2925" s="2"/>
      <c r="AC2925" s="2"/>
      <c r="AD2925" t="str">
        <f>IFERROR(__xludf.DUMMYFUNCTION("""COMPUTED_VALUE"""),"Rescue Dawn ")</f>
        <v>Rescue Dawn </v>
      </c>
      <c r="AE2925">
        <f t="shared" si="74"/>
        <v>4356658</v>
      </c>
    </row>
    <row r="2926" customHeight="1" spans="1:31">
      <c r="A2926" s="2" t="s">
        <v>3163</v>
      </c>
      <c r="B2926" s="2">
        <v>94</v>
      </c>
      <c r="C2926" s="2">
        <v>26049082</v>
      </c>
      <c r="D2926" s="2" t="s">
        <v>607</v>
      </c>
      <c r="E2926" s="2" t="s">
        <v>40</v>
      </c>
      <c r="F2926" t="s">
        <v>14</v>
      </c>
      <c r="N2926" s="2" t="s">
        <v>18</v>
      </c>
      <c r="O2926" s="2" t="s">
        <v>19</v>
      </c>
      <c r="P2926" s="2">
        <v>8000000</v>
      </c>
      <c r="Q2926" s="2">
        <v>6.1</v>
      </c>
      <c r="R2926" s="2" t="s">
        <v>5455</v>
      </c>
      <c r="S2926" s="2"/>
      <c r="AC2926" s="2"/>
      <c r="AD2926" t="str">
        <f>IFERROR(__xludf.DUMMYFUNCTION("""COMPUTED_VALUE"""),"Danny Collins ")</f>
        <v>Danny Collins </v>
      </c>
      <c r="AE2926">
        <f t="shared" si="74"/>
        <v>5484255</v>
      </c>
    </row>
    <row r="2927" customHeight="1" spans="1:31">
      <c r="A2927" s="2" t="s">
        <v>330</v>
      </c>
      <c r="B2927" s="2">
        <v>111</v>
      </c>
      <c r="C2927" s="2">
        <v>22551000</v>
      </c>
      <c r="D2927" s="2" t="s">
        <v>521</v>
      </c>
      <c r="E2927" s="2" t="s">
        <v>40</v>
      </c>
      <c r="F2927" t="s">
        <v>30</v>
      </c>
      <c r="N2927" s="2" t="s">
        <v>18</v>
      </c>
      <c r="O2927" s="2" t="s">
        <v>31</v>
      </c>
      <c r="P2927" s="2">
        <v>8000000</v>
      </c>
      <c r="Q2927" s="2">
        <v>7.4</v>
      </c>
      <c r="R2927" s="2" t="s">
        <v>5456</v>
      </c>
      <c r="S2927" s="2"/>
      <c r="AC2927" s="2"/>
      <c r="AD2927" t="str">
        <f>IFERROR(__xludf.DUMMYFUNCTION("""COMPUTED_VALUE"""),"Jeff, Who Lives at Home ")</f>
        <v>Jeff, Who Lives at Home </v>
      </c>
      <c r="AE2927">
        <f t="shared" si="74"/>
        <v>5348211</v>
      </c>
    </row>
    <row r="2928" customHeight="1" spans="1:31">
      <c r="A2928" s="2" t="s">
        <v>3165</v>
      </c>
      <c r="B2928" s="2">
        <v>142</v>
      </c>
      <c r="C2928" s="2">
        <v>22800000</v>
      </c>
      <c r="D2928" s="2" t="s">
        <v>27</v>
      </c>
      <c r="E2928" s="2" t="s">
        <v>12</v>
      </c>
      <c r="F2928" t="s">
        <v>55</v>
      </c>
      <c r="N2928" s="2" t="s">
        <v>18</v>
      </c>
      <c r="O2928" s="2" t="s">
        <v>31</v>
      </c>
      <c r="P2928" s="2">
        <v>7000000</v>
      </c>
      <c r="Q2928" s="2">
        <v>6.8</v>
      </c>
      <c r="R2928" s="2" t="s">
        <v>5457</v>
      </c>
      <c r="S2928" s="2"/>
      <c r="AC2928" s="2"/>
      <c r="AD2928" t="str">
        <f>IFERROR(__xludf.DUMMYFUNCTION("""COMPUTED_VALUE"""),"I Am Love ")</f>
        <v>I Am Love </v>
      </c>
      <c r="AE2928">
        <f t="shared" si="74"/>
        <v>4244072</v>
      </c>
    </row>
    <row r="2929" customHeight="1" spans="1:31">
      <c r="A2929" s="2" t="s">
        <v>1502</v>
      </c>
      <c r="B2929" s="2">
        <v>107</v>
      </c>
      <c r="C2929" s="2">
        <v>18090181</v>
      </c>
      <c r="D2929" s="2" t="s">
        <v>1036</v>
      </c>
      <c r="E2929" s="2" t="s">
        <v>14</v>
      </c>
      <c r="F2929" t="s">
        <v>14</v>
      </c>
      <c r="N2929" s="2" t="s">
        <v>18</v>
      </c>
      <c r="O2929" s="2" t="s">
        <v>19</v>
      </c>
      <c r="P2929" s="2">
        <v>8000000</v>
      </c>
      <c r="Q2929" s="2">
        <v>6.4</v>
      </c>
      <c r="R2929" s="2" t="s">
        <v>5458</v>
      </c>
      <c r="S2929" s="2"/>
      <c r="AC2929" s="2"/>
      <c r="AD2929" t="str">
        <f>IFERROR(__xludf.DUMMYFUNCTION("""COMPUTED_VALUE"""),"Atlas Shrugged II: The Strike ")</f>
        <v>Atlas Shrugged II: The Strike </v>
      </c>
      <c r="AE2929">
        <f t="shared" si="74"/>
        <v>5004528</v>
      </c>
    </row>
    <row r="2930" customHeight="1" spans="1:31">
      <c r="A2930" s="2" t="s">
        <v>1422</v>
      </c>
      <c r="B2930" s="2">
        <v>91</v>
      </c>
      <c r="C2930" s="2">
        <v>17843379</v>
      </c>
      <c r="D2930" s="2" t="s">
        <v>521</v>
      </c>
      <c r="E2930" s="2" t="s">
        <v>40</v>
      </c>
      <c r="F2930" t="s">
        <v>56</v>
      </c>
      <c r="N2930" s="2" t="s">
        <v>18</v>
      </c>
      <c r="O2930" s="2" t="s">
        <v>19</v>
      </c>
      <c r="P2930" s="2">
        <v>8000000</v>
      </c>
      <c r="Q2930" s="2">
        <v>5.7</v>
      </c>
      <c r="R2930" s="2" t="s">
        <v>5459</v>
      </c>
      <c r="S2930" s="2"/>
      <c r="AC2930" s="2"/>
      <c r="AD2930" t="str">
        <f>IFERROR(__xludf.DUMMYFUNCTION("""COMPUTED_VALUE"""),"Romeo Is Bleeding ")</f>
        <v>Romeo Is Bleeding </v>
      </c>
      <c r="AE2930">
        <f t="shared" si="74"/>
        <v>3333712</v>
      </c>
    </row>
    <row r="2931" customHeight="1" spans="1:31">
      <c r="A2931" s="2" t="s">
        <v>2826</v>
      </c>
      <c r="B2931" s="2">
        <v>82</v>
      </c>
      <c r="C2931" s="2">
        <v>17278980</v>
      </c>
      <c r="D2931" s="2" t="s">
        <v>383</v>
      </c>
      <c r="E2931" s="2" t="s">
        <v>40</v>
      </c>
      <c r="F2931" t="s">
        <v>72</v>
      </c>
      <c r="N2931" s="2" t="s">
        <v>18</v>
      </c>
      <c r="O2931" s="2" t="s">
        <v>19</v>
      </c>
      <c r="P2931" s="2">
        <v>8000000</v>
      </c>
      <c r="Q2931" s="2">
        <v>6.7</v>
      </c>
      <c r="R2931" s="2" t="s">
        <v>5460</v>
      </c>
      <c r="S2931" s="2"/>
      <c r="AC2931" s="2"/>
      <c r="AD2931" t="str">
        <f>IFERROR(__xludf.DUMMYFUNCTION("""COMPUTED_VALUE"""),"The Limey ")</f>
        <v>The Limey </v>
      </c>
      <c r="AE2931">
        <f t="shared" si="74"/>
        <v>3275485</v>
      </c>
    </row>
    <row r="2932" customHeight="1" spans="1:31">
      <c r="A2932" s="2" t="s">
        <v>3167</v>
      </c>
      <c r="B2932" s="2">
        <v>97</v>
      </c>
      <c r="C2932" s="2">
        <v>16699684</v>
      </c>
      <c r="D2932" s="2" t="s">
        <v>607</v>
      </c>
      <c r="E2932" s="2" t="s">
        <v>40</v>
      </c>
      <c r="F2932" t="s">
        <v>30</v>
      </c>
      <c r="N2932" s="2" t="s">
        <v>18</v>
      </c>
      <c r="O2932" s="2" t="s">
        <v>19</v>
      </c>
      <c r="P2932" s="2">
        <v>8000000</v>
      </c>
      <c r="Q2932" s="2">
        <v>5.6</v>
      </c>
      <c r="R2932" s="2" t="s">
        <v>5461</v>
      </c>
      <c r="S2932" s="2"/>
      <c r="AC2932" s="2"/>
      <c r="AD2932" t="str">
        <f>IFERROR(__xludf.DUMMYFUNCTION("""COMPUTED_VALUE"""),"Crash ")</f>
        <v>Crash </v>
      </c>
      <c r="AE2932">
        <f t="shared" si="74"/>
        <v>3193013</v>
      </c>
    </row>
    <row r="2933" customHeight="1" spans="1:31">
      <c r="A2933" s="2" t="s">
        <v>3170</v>
      </c>
      <c r="B2933" s="2">
        <v>102</v>
      </c>
      <c r="C2933" s="2">
        <v>15047419</v>
      </c>
      <c r="D2933" s="2" t="s">
        <v>718</v>
      </c>
      <c r="E2933" s="2" t="s">
        <v>56</v>
      </c>
      <c r="F2933" t="s">
        <v>15</v>
      </c>
      <c r="N2933" s="2" t="s">
        <v>18</v>
      </c>
      <c r="O2933" s="2" t="s">
        <v>19</v>
      </c>
      <c r="P2933" s="2">
        <v>7000000</v>
      </c>
      <c r="Q2933" s="2">
        <v>7.6</v>
      </c>
      <c r="R2933" s="2" t="s">
        <v>5462</v>
      </c>
      <c r="S2933" s="2"/>
      <c r="AC2933" s="2"/>
      <c r="AD2933" t="str">
        <f>IFERROR(__xludf.DUMMYFUNCTION("""COMPUTED_VALUE"""),"The House of Mirth ")</f>
        <v>The House of Mirth </v>
      </c>
      <c r="AE2933">
        <f t="shared" si="74"/>
        <v>54557233</v>
      </c>
    </row>
    <row r="2934" customHeight="1" spans="1:31">
      <c r="A2934" s="2" t="s">
        <v>1936</v>
      </c>
      <c r="B2934" s="2">
        <v>93</v>
      </c>
      <c r="C2934" s="2">
        <v>14015786</v>
      </c>
      <c r="D2934" s="2" t="s">
        <v>103</v>
      </c>
      <c r="E2934" s="2" t="s">
        <v>30</v>
      </c>
      <c r="F2934" t="s">
        <v>24</v>
      </c>
      <c r="N2934" s="2" t="s">
        <v>18</v>
      </c>
      <c r="O2934" s="2" t="s">
        <v>19</v>
      </c>
      <c r="P2934" s="2">
        <v>5000000</v>
      </c>
      <c r="Q2934" s="2">
        <v>6.5</v>
      </c>
      <c r="R2934" s="2" t="s">
        <v>5463</v>
      </c>
      <c r="S2934" s="2"/>
      <c r="AC2934" s="2"/>
      <c r="AD2934" t="str">
        <f>IFERROR(__xludf.DUMMYFUNCTION("""COMPUTED_VALUE"""),"Malone ")</f>
        <v>Malone </v>
      </c>
      <c r="AE2934">
        <f t="shared" si="74"/>
        <v>3041668</v>
      </c>
    </row>
    <row r="2935" customHeight="1" spans="1:31">
      <c r="A2935" s="2" t="s">
        <v>3172</v>
      </c>
      <c r="B2935" s="2">
        <v>138</v>
      </c>
      <c r="C2935" s="2">
        <v>10269307</v>
      </c>
      <c r="D2935" s="2" t="s">
        <v>150</v>
      </c>
      <c r="E2935" s="2" t="s">
        <v>12</v>
      </c>
      <c r="F2935" t="s">
        <v>28</v>
      </c>
      <c r="N2935" s="2" t="s">
        <v>18</v>
      </c>
      <c r="O2935" s="2" t="s">
        <v>19</v>
      </c>
      <c r="P2935" s="2">
        <v>8000000</v>
      </c>
      <c r="Q2935" s="2">
        <v>6.3</v>
      </c>
      <c r="R2935" s="2" t="s">
        <v>5464</v>
      </c>
      <c r="S2935" s="2"/>
      <c r="AC2935" s="2"/>
      <c r="AD2935" t="str">
        <f>IFERROR(__xludf.DUMMYFUNCTION("""COMPUTED_VALUE"""),"Peaceful Warrior ")</f>
        <v>Peaceful Warrior </v>
      </c>
      <c r="AE2935">
        <f t="shared" ref="AE2935:AE2998" si="75">C2819-B2819</f>
        <v>3060766</v>
      </c>
    </row>
    <row r="2936" customHeight="1" spans="1:31">
      <c r="A2936" s="2" t="s">
        <v>3175</v>
      </c>
      <c r="B2936" s="2">
        <v>93</v>
      </c>
      <c r="C2936" s="2">
        <v>17536788</v>
      </c>
      <c r="D2936" s="2" t="s">
        <v>521</v>
      </c>
      <c r="E2936" s="2" t="s">
        <v>40</v>
      </c>
      <c r="F2936" t="s">
        <v>83</v>
      </c>
      <c r="N2936" s="2" t="s">
        <v>18</v>
      </c>
      <c r="O2936" s="2" t="s">
        <v>19</v>
      </c>
      <c r="P2936" s="2">
        <v>8000000</v>
      </c>
      <c r="Q2936" s="2">
        <v>7.1</v>
      </c>
      <c r="R2936" s="2" t="s">
        <v>5465</v>
      </c>
      <c r="S2936" s="2"/>
      <c r="AC2936" s="2"/>
      <c r="AD2936" t="str">
        <f>IFERROR(__xludf.DUMMYFUNCTION("""COMPUTED_VALUE"""),"Bucky Larson: Born to Be a Star ")</f>
        <v>Bucky Larson: Born to Be a Star </v>
      </c>
      <c r="AE2936">
        <f t="shared" si="75"/>
        <v>1055534</v>
      </c>
    </row>
    <row r="2937" customHeight="1" spans="1:31">
      <c r="A2937" s="2" t="s">
        <v>1006</v>
      </c>
      <c r="B2937" s="2">
        <v>92</v>
      </c>
      <c r="C2937" s="2">
        <v>58401464</v>
      </c>
      <c r="D2937" s="2" t="s">
        <v>607</v>
      </c>
      <c r="E2937" s="2" t="s">
        <v>40</v>
      </c>
      <c r="F2937" t="s">
        <v>30</v>
      </c>
      <c r="N2937" s="2" t="s">
        <v>18</v>
      </c>
      <c r="O2937" s="2" t="s">
        <v>19</v>
      </c>
      <c r="P2937" s="2">
        <v>8000000</v>
      </c>
      <c r="Q2937" s="2">
        <v>7.1</v>
      </c>
      <c r="R2937" s="2" t="s">
        <v>5466</v>
      </c>
      <c r="S2937" s="2"/>
      <c r="AC2937" s="2"/>
      <c r="AD2937" t="str">
        <f>IFERROR(__xludf.DUMMYFUNCTION("""COMPUTED_VALUE"""),"Bamboozled ")</f>
        <v>Bamboozled </v>
      </c>
      <c r="AE2937">
        <f t="shared" si="75"/>
        <v>2331221</v>
      </c>
    </row>
    <row r="2938" customHeight="1" spans="1:31">
      <c r="A2938" s="2" t="s">
        <v>1974</v>
      </c>
      <c r="B2938" s="2">
        <v>92</v>
      </c>
      <c r="C2938" s="2">
        <v>8279017</v>
      </c>
      <c r="D2938" s="2" t="s">
        <v>5467</v>
      </c>
      <c r="E2938" s="2" t="s">
        <v>30</v>
      </c>
      <c r="F2938" t="s">
        <v>30</v>
      </c>
      <c r="N2938" s="2" t="s">
        <v>18</v>
      </c>
      <c r="O2938" s="2" t="s">
        <v>31</v>
      </c>
      <c r="P2938" s="2">
        <v>8000000</v>
      </c>
      <c r="Q2938" s="2">
        <v>6.9</v>
      </c>
      <c r="R2938" s="2" t="s">
        <v>5468</v>
      </c>
      <c r="S2938" s="2"/>
      <c r="AC2938" s="2"/>
      <c r="AD2938" t="str">
        <f>IFERROR(__xludf.DUMMYFUNCTION("""COMPUTED_VALUE"""),"The Forest ")</f>
        <v>The Forest </v>
      </c>
      <c r="AE2938">
        <f t="shared" si="75"/>
        <v>2185131</v>
      </c>
    </row>
    <row r="2939" customHeight="1" spans="1:31">
      <c r="A2939" s="2" t="s">
        <v>2489</v>
      </c>
      <c r="B2939" s="2">
        <v>104</v>
      </c>
      <c r="C2939" s="2">
        <v>10106233</v>
      </c>
      <c r="D2939" s="2" t="s">
        <v>975</v>
      </c>
      <c r="E2939" s="2" t="s">
        <v>40</v>
      </c>
      <c r="F2939" t="s">
        <v>40</v>
      </c>
      <c r="N2939" s="2" t="s">
        <v>18</v>
      </c>
      <c r="O2939" s="2" t="s">
        <v>19</v>
      </c>
      <c r="P2939" s="2">
        <v>8000000</v>
      </c>
      <c r="Q2939" s="2">
        <v>5.4</v>
      </c>
      <c r="R2939" s="2" t="s">
        <v>5469</v>
      </c>
      <c r="S2939" s="2"/>
      <c r="AC2939" s="2"/>
      <c r="AD2939" t="str">
        <f>IFERROR(__xludf.DUMMYFUNCTION("""COMPUTED_VALUE"""),"Sphinx ")</f>
        <v>Sphinx </v>
      </c>
      <c r="AE2939">
        <f t="shared" si="75"/>
        <v>26583276</v>
      </c>
    </row>
    <row r="2940" customHeight="1" spans="1:31">
      <c r="A2940" s="2" t="s">
        <v>2269</v>
      </c>
      <c r="B2940" s="2">
        <v>89</v>
      </c>
      <c r="C2940" s="2">
        <v>4692814</v>
      </c>
      <c r="D2940" s="2" t="s">
        <v>40</v>
      </c>
      <c r="E2940" s="2" t="s">
        <v>40</v>
      </c>
      <c r="F2940" t="s">
        <v>30</v>
      </c>
      <c r="N2940" s="2" t="s">
        <v>18</v>
      </c>
      <c r="O2940" s="2" t="s">
        <v>19</v>
      </c>
      <c r="P2940" s="2">
        <v>8000000</v>
      </c>
      <c r="Q2940" s="2">
        <v>5.1</v>
      </c>
      <c r="R2940" s="2" t="s">
        <v>5470</v>
      </c>
      <c r="S2940" s="2"/>
      <c r="AC2940" s="2"/>
      <c r="AD2940" t="str">
        <f>IFERROR(__xludf.DUMMYFUNCTION("""COMPUTED_VALUE"""),"While We're Young ")</f>
        <v>While We're Young </v>
      </c>
      <c r="AE2940">
        <f t="shared" si="75"/>
        <v>799882</v>
      </c>
    </row>
    <row r="2941" customHeight="1" spans="1:31">
      <c r="A2941" s="2" t="s">
        <v>3177</v>
      </c>
      <c r="B2941" s="2">
        <v>92</v>
      </c>
      <c r="C2941" s="2">
        <v>5018450</v>
      </c>
      <c r="D2941" s="2" t="s">
        <v>1456</v>
      </c>
      <c r="E2941" s="2" t="s">
        <v>40</v>
      </c>
      <c r="F2941" t="s">
        <v>30</v>
      </c>
      <c r="N2941" s="2" t="s">
        <v>18</v>
      </c>
      <c r="O2941" s="2" t="s">
        <v>19</v>
      </c>
      <c r="P2941" s="2">
        <v>8000000</v>
      </c>
      <c r="Q2941" s="2">
        <v>5.3</v>
      </c>
      <c r="R2941" s="2" t="s">
        <v>5471</v>
      </c>
      <c r="S2941" s="2"/>
      <c r="AC2941" s="2"/>
      <c r="AD2941" t="str">
        <f>IFERROR(__xludf.DUMMYFUNCTION("""COMPUTED_VALUE"""),"A Better Life ")</f>
        <v>A Better Life </v>
      </c>
      <c r="AE2941">
        <f t="shared" si="75"/>
        <v>7573969</v>
      </c>
    </row>
    <row r="2942" customHeight="1" spans="1:31">
      <c r="A2942" s="2" t="s">
        <v>3180</v>
      </c>
      <c r="B2942" s="2">
        <v>90</v>
      </c>
      <c r="C2942" s="2">
        <v>3442820</v>
      </c>
      <c r="D2942" s="2" t="s">
        <v>5472</v>
      </c>
      <c r="E2942" s="2" t="s">
        <v>35</v>
      </c>
      <c r="F2942" t="s">
        <v>28</v>
      </c>
      <c r="N2942" s="2" t="s">
        <v>18</v>
      </c>
      <c r="O2942" s="2" t="s">
        <v>19</v>
      </c>
      <c r="P2942" s="2">
        <v>8000000</v>
      </c>
      <c r="Q2942" s="2">
        <v>7.3</v>
      </c>
      <c r="R2942" s="2" t="s">
        <v>5473</v>
      </c>
      <c r="S2942" s="2"/>
      <c r="AC2942" s="2"/>
      <c r="AD2942" t="str">
        <f>IFERROR(__xludf.DUMMYFUNCTION("""COMPUTED_VALUE"""),"Spider ")</f>
        <v>Spider </v>
      </c>
      <c r="AE2942">
        <f t="shared" si="75"/>
        <v>1754221</v>
      </c>
    </row>
    <row r="2943" customHeight="1" spans="1:31">
      <c r="A2943" s="2" t="s">
        <v>2317</v>
      </c>
      <c r="B2943" s="2">
        <v>129</v>
      </c>
      <c r="C2943" s="2">
        <v>3205244</v>
      </c>
      <c r="D2943" s="2" t="s">
        <v>975</v>
      </c>
      <c r="E2943" s="2" t="s">
        <v>40</v>
      </c>
      <c r="F2943" t="s">
        <v>24</v>
      </c>
      <c r="N2943" s="2" t="s">
        <v>18</v>
      </c>
      <c r="O2943" s="2" t="s">
        <v>31</v>
      </c>
      <c r="P2943" s="2">
        <v>10000000</v>
      </c>
      <c r="Q2943" s="2">
        <v>7.3</v>
      </c>
      <c r="R2943" s="2" t="s">
        <v>5474</v>
      </c>
      <c r="S2943" s="2"/>
      <c r="AC2943" s="2"/>
      <c r="AD2943" t="str">
        <f>IFERROR(__xludf.DUMMYFUNCTION("""COMPUTED_VALUE"""),"Gun Shy ")</f>
        <v>Gun Shy </v>
      </c>
      <c r="AE2943">
        <f t="shared" si="75"/>
        <v>1641690</v>
      </c>
    </row>
    <row r="2944" customHeight="1" spans="1:31">
      <c r="A2944" s="2" t="s">
        <v>3182</v>
      </c>
      <c r="B2944" s="2">
        <v>111</v>
      </c>
      <c r="C2944" s="2">
        <v>3076425</v>
      </c>
      <c r="D2944" s="2" t="s">
        <v>5475</v>
      </c>
      <c r="E2944" s="2" t="s">
        <v>40</v>
      </c>
      <c r="F2944" t="s">
        <v>72</v>
      </c>
      <c r="N2944" s="2" t="s">
        <v>1125</v>
      </c>
      <c r="O2944" s="2" t="s">
        <v>707</v>
      </c>
      <c r="P2944" s="2">
        <v>8000000</v>
      </c>
      <c r="Q2944" s="2">
        <v>7.1</v>
      </c>
      <c r="R2944" s="2" t="s">
        <v>5476</v>
      </c>
      <c r="S2944" s="2"/>
      <c r="AC2944" s="2"/>
      <c r="AD2944" t="str">
        <f>IFERROR(__xludf.DUMMYFUNCTION("""COMPUTED_VALUE"""),"Nicholas Nickleby ")</f>
        <v>Nicholas Nickleby </v>
      </c>
      <c r="AE2944">
        <f t="shared" si="75"/>
        <v>1631738</v>
      </c>
    </row>
    <row r="2945" customHeight="1" spans="1:31">
      <c r="A2945" s="2" t="s">
        <v>2612</v>
      </c>
      <c r="B2945" s="2">
        <v>79</v>
      </c>
      <c r="C2945" s="2">
        <v>2275557</v>
      </c>
      <c r="D2945" s="2" t="s">
        <v>174</v>
      </c>
      <c r="E2945" s="2" t="s">
        <v>12</v>
      </c>
      <c r="F2945" t="s">
        <v>23</v>
      </c>
      <c r="N2945" s="2" t="s">
        <v>18</v>
      </c>
      <c r="O2945" s="2" t="s">
        <v>19</v>
      </c>
      <c r="P2945" s="2">
        <v>8000000</v>
      </c>
      <c r="Q2945" s="2">
        <v>6</v>
      </c>
      <c r="R2945" s="2" t="s">
        <v>5477</v>
      </c>
      <c r="S2945" s="2"/>
      <c r="AC2945" s="2"/>
      <c r="AD2945" t="str">
        <f>IFERROR(__xludf.DUMMYFUNCTION("""COMPUTED_VALUE"""),"The Iceman ")</f>
        <v>The Iceman </v>
      </c>
      <c r="AE2945">
        <f t="shared" si="75"/>
        <v>1309717</v>
      </c>
    </row>
    <row r="2946" customHeight="1" spans="1:31">
      <c r="A2946" s="2" t="s">
        <v>1239</v>
      </c>
      <c r="B2946" s="2">
        <v>104</v>
      </c>
      <c r="C2946" s="2">
        <v>1789892</v>
      </c>
      <c r="D2946" s="2" t="s">
        <v>383</v>
      </c>
      <c r="E2946" s="2" t="s">
        <v>40</v>
      </c>
      <c r="F2946" t="s">
        <v>30</v>
      </c>
      <c r="N2946" s="2" t="s">
        <v>18</v>
      </c>
      <c r="O2946" s="2" t="s">
        <v>293</v>
      </c>
      <c r="P2946" s="2">
        <v>8000000</v>
      </c>
      <c r="Q2946" s="2">
        <v>6.6</v>
      </c>
      <c r="R2946" s="2" t="s">
        <v>5478</v>
      </c>
      <c r="S2946" s="2"/>
      <c r="AC2946" s="2"/>
      <c r="AD2946" t="str">
        <f>IFERROR(__xludf.DUMMYFUNCTION("""COMPUTED_VALUE"""),"Cecil B. DeMented ")</f>
        <v>Cecil B. DeMented </v>
      </c>
      <c r="AE2946">
        <f t="shared" si="75"/>
        <v>1939335</v>
      </c>
    </row>
    <row r="2947" customHeight="1" spans="1:31">
      <c r="A2947" s="2" t="s">
        <v>3184</v>
      </c>
      <c r="B2947" s="2">
        <v>101</v>
      </c>
      <c r="C2947" s="2">
        <v>6350058</v>
      </c>
      <c r="D2947" s="2" t="s">
        <v>521</v>
      </c>
      <c r="E2947" s="2" t="s">
        <v>40</v>
      </c>
      <c r="F2947" t="s">
        <v>24</v>
      </c>
      <c r="N2947" s="2" t="s">
        <v>18</v>
      </c>
      <c r="O2947" s="2" t="s">
        <v>19</v>
      </c>
      <c r="P2947" s="2">
        <v>8000000</v>
      </c>
      <c r="Q2947" s="2">
        <v>7.2</v>
      </c>
      <c r="R2947" s="2" t="s">
        <v>5479</v>
      </c>
      <c r="S2947" s="2"/>
      <c r="AC2947" s="2"/>
      <c r="AD2947" t="str">
        <f>IFERROR(__xludf.DUMMYFUNCTION("""COMPUTED_VALUE"""),"Killer Joe ")</f>
        <v>Killer Joe </v>
      </c>
      <c r="AE2947">
        <f t="shared" si="75"/>
        <v>1276897</v>
      </c>
    </row>
    <row r="2948" customHeight="1" spans="1:31">
      <c r="A2948" s="2" t="s">
        <v>2046</v>
      </c>
      <c r="B2948" s="2">
        <v>113</v>
      </c>
      <c r="C2948" s="2">
        <v>1094798</v>
      </c>
      <c r="D2948" s="2" t="s">
        <v>1206</v>
      </c>
      <c r="E2948" s="2" t="s">
        <v>59</v>
      </c>
      <c r="F2948" t="s">
        <v>40</v>
      </c>
      <c r="N2948" s="2" t="s">
        <v>18</v>
      </c>
      <c r="O2948" s="2" t="s">
        <v>31</v>
      </c>
      <c r="P2948" s="2">
        <v>7200000</v>
      </c>
      <c r="Q2948" s="2">
        <v>7.2</v>
      </c>
      <c r="R2948" s="2" t="s">
        <v>5480</v>
      </c>
      <c r="S2948" s="2"/>
      <c r="AC2948" s="2"/>
      <c r="AD2948" t="str">
        <f>IFERROR(__xludf.DUMMYFUNCTION("""COMPUTED_VALUE"""),"The Joneses ")</f>
        <v>The Joneses </v>
      </c>
      <c r="AE2948">
        <f t="shared" si="75"/>
        <v>1987664</v>
      </c>
    </row>
    <row r="2949" customHeight="1" spans="1:31">
      <c r="A2949" s="2" t="s">
        <v>2359</v>
      </c>
      <c r="B2949" s="2">
        <v>92</v>
      </c>
      <c r="C2949" s="2">
        <v>1071240</v>
      </c>
      <c r="D2949" s="2" t="s">
        <v>562</v>
      </c>
      <c r="E2949" s="2" t="s">
        <v>59</v>
      </c>
      <c r="F2949" t="s">
        <v>72</v>
      </c>
      <c r="N2949" s="2" t="s">
        <v>18</v>
      </c>
      <c r="O2949" s="2" t="s">
        <v>31</v>
      </c>
      <c r="P2949" s="2">
        <v>8000000</v>
      </c>
      <c r="Q2949" s="2">
        <v>6.9</v>
      </c>
      <c r="R2949" s="2" t="s">
        <v>5481</v>
      </c>
      <c r="S2949" s="2"/>
      <c r="AC2949" s="2"/>
      <c r="AD2949" t="str">
        <f>IFERROR(__xludf.DUMMYFUNCTION("""COMPUTED_VALUE"""),"Owning Mahowny ")</f>
        <v>Owning Mahowny </v>
      </c>
      <c r="AE2949">
        <f t="shared" si="75"/>
        <v>1474412</v>
      </c>
    </row>
    <row r="2950" customHeight="1" spans="1:31">
      <c r="A2950" s="2" t="s">
        <v>3186</v>
      </c>
      <c r="B2950" s="2">
        <v>106</v>
      </c>
      <c r="C2950" s="2">
        <v>532190</v>
      </c>
      <c r="D2950" s="2" t="s">
        <v>2899</v>
      </c>
      <c r="E2950" s="2" t="s">
        <v>59</v>
      </c>
      <c r="F2950" t="s">
        <v>72</v>
      </c>
      <c r="N2950" s="2" t="s">
        <v>18</v>
      </c>
      <c r="O2950" s="2" t="s">
        <v>19</v>
      </c>
      <c r="P2950" s="2">
        <v>8000000</v>
      </c>
      <c r="Q2950" s="2">
        <v>6.8</v>
      </c>
      <c r="R2950" s="2" t="s">
        <v>5482</v>
      </c>
      <c r="S2950" s="2"/>
      <c r="AC2950" s="2"/>
      <c r="AD2950" t="str">
        <f>IFERROR(__xludf.DUMMYFUNCTION("""COMPUTED_VALUE"""),"The Brothers Solomon ")</f>
        <v>The Brothers Solomon </v>
      </c>
      <c r="AE2950">
        <f t="shared" si="75"/>
        <v>1010950</v>
      </c>
    </row>
    <row r="2951" customHeight="1" spans="1:31">
      <c r="A2951" s="2" t="s">
        <v>3188</v>
      </c>
      <c r="B2951" s="2">
        <v>75</v>
      </c>
      <c r="C2951" s="2">
        <v>686383</v>
      </c>
      <c r="D2951" s="2" t="s">
        <v>250</v>
      </c>
      <c r="E2951" s="2" t="s">
        <v>13</v>
      </c>
      <c r="F2951" t="s">
        <v>28</v>
      </c>
      <c r="N2951" s="2" t="s">
        <v>18</v>
      </c>
      <c r="O2951" s="2" t="s">
        <v>707</v>
      </c>
      <c r="P2951" s="2">
        <v>6500000</v>
      </c>
      <c r="Q2951" s="2">
        <v>7.7</v>
      </c>
      <c r="R2951" s="2" t="s">
        <v>5483</v>
      </c>
      <c r="S2951" s="2"/>
      <c r="AC2951" s="2"/>
      <c r="AD2951" t="str">
        <f>IFERROR(__xludf.DUMMYFUNCTION("""COMPUTED_VALUE"""),"My Blueberry Nights ")</f>
        <v>My Blueberry Nights </v>
      </c>
      <c r="AE2951">
        <f t="shared" si="75"/>
        <v>900833</v>
      </c>
    </row>
    <row r="2952" customHeight="1" spans="1:31">
      <c r="A2952" s="2" t="s">
        <v>3190</v>
      </c>
      <c r="B2952" s="2">
        <v>104</v>
      </c>
      <c r="C2952" s="2">
        <v>16168741</v>
      </c>
      <c r="D2952" s="2" t="s">
        <v>2565</v>
      </c>
      <c r="E2952" s="2" t="s">
        <v>30</v>
      </c>
      <c r="F2952" t="s">
        <v>24</v>
      </c>
      <c r="N2952" s="2" t="s">
        <v>18</v>
      </c>
      <c r="O2952" s="2" t="s">
        <v>19</v>
      </c>
      <c r="P2952" s="2">
        <v>8000000</v>
      </c>
      <c r="Q2952" s="2">
        <v>7.4</v>
      </c>
      <c r="R2952" s="2" t="s">
        <v>5484</v>
      </c>
      <c r="S2952" s="2"/>
      <c r="AC2952" s="2"/>
      <c r="AD2952" t="str">
        <f>IFERROR(__xludf.DUMMYFUNCTION("""COMPUTED_VALUE"""),"Swept Away ")</f>
        <v>Swept Away </v>
      </c>
      <c r="AE2952">
        <f t="shared" si="75"/>
        <v>866683</v>
      </c>
    </row>
    <row r="2953" customHeight="1" spans="1:31">
      <c r="A2953" s="2" t="s">
        <v>3192</v>
      </c>
      <c r="B2953" s="2">
        <v>108</v>
      </c>
      <c r="C2953" s="2">
        <v>568695</v>
      </c>
      <c r="D2953" s="2" t="s">
        <v>3745</v>
      </c>
      <c r="E2953" s="2" t="s">
        <v>30</v>
      </c>
      <c r="F2953" t="s">
        <v>28</v>
      </c>
      <c r="N2953" s="2" t="s">
        <v>18</v>
      </c>
      <c r="O2953" s="2" t="s">
        <v>19</v>
      </c>
      <c r="P2953" s="2">
        <v>8000000</v>
      </c>
      <c r="Q2953" s="2">
        <v>6.5</v>
      </c>
      <c r="R2953" s="2" t="s">
        <v>5485</v>
      </c>
      <c r="S2953" s="2"/>
      <c r="AC2953" s="2"/>
      <c r="AD2953" t="str">
        <f>IFERROR(__xludf.DUMMYFUNCTION("""COMPUTED_VALUE"""),"War, Inc. ")</f>
        <v>War, Inc. </v>
      </c>
      <c r="AE2953">
        <f t="shared" si="75"/>
        <v>598556</v>
      </c>
    </row>
    <row r="2954" customHeight="1" spans="1:31">
      <c r="A2954" s="2" t="s">
        <v>3195</v>
      </c>
      <c r="B2954" s="2">
        <v>99</v>
      </c>
      <c r="C2954" s="2">
        <v>398420</v>
      </c>
      <c r="D2954" s="2" t="s">
        <v>718</v>
      </c>
      <c r="E2954" s="2" t="s">
        <v>56</v>
      </c>
      <c r="F2954" t="s">
        <v>30</v>
      </c>
      <c r="N2954" s="2" t="s">
        <v>18</v>
      </c>
      <c r="O2954" s="2" t="s">
        <v>19</v>
      </c>
      <c r="P2954" s="2">
        <v>8000000</v>
      </c>
      <c r="Q2954" s="2">
        <v>6.4</v>
      </c>
      <c r="R2954" s="2" t="s">
        <v>5486</v>
      </c>
      <c r="S2954" s="2"/>
      <c r="AC2954" s="2"/>
      <c r="AD2954" t="str">
        <f>IFERROR(__xludf.DUMMYFUNCTION("""COMPUTED_VALUE"""),"Shaolin Soccer ")</f>
        <v>Shaolin Soccer </v>
      </c>
      <c r="AE2954">
        <f t="shared" si="75"/>
        <v>578420</v>
      </c>
    </row>
    <row r="2955" customHeight="1" spans="1:31">
      <c r="A2955" s="2" t="s">
        <v>3197</v>
      </c>
      <c r="B2955" s="2">
        <v>109</v>
      </c>
      <c r="C2955" s="2">
        <v>336456</v>
      </c>
      <c r="D2955" s="2" t="s">
        <v>5487</v>
      </c>
      <c r="E2955" s="2" t="s">
        <v>40</v>
      </c>
      <c r="F2955" t="s">
        <v>56</v>
      </c>
      <c r="N2955" s="2" t="s">
        <v>18</v>
      </c>
      <c r="O2955" s="2" t="s">
        <v>19</v>
      </c>
      <c r="P2955" s="2">
        <v>8000000</v>
      </c>
      <c r="Q2955" s="2">
        <v>5.6</v>
      </c>
      <c r="R2955" s="2" t="s">
        <v>5488</v>
      </c>
      <c r="S2955" s="2"/>
      <c r="AC2955" s="2"/>
      <c r="AD2955" t="str">
        <f>IFERROR(__xludf.DUMMYFUNCTION("""COMPUTED_VALUE"""),"The Brown Bunny ")</f>
        <v>The Brown Bunny </v>
      </c>
      <c r="AE2955">
        <f t="shared" si="75"/>
        <v>488787</v>
      </c>
    </row>
    <row r="2956" customHeight="1" spans="1:31">
      <c r="A2956" s="2" t="s">
        <v>3200</v>
      </c>
      <c r="B2956" s="2">
        <v>93</v>
      </c>
      <c r="C2956" s="2">
        <v>298110</v>
      </c>
      <c r="D2956" s="2" t="s">
        <v>5160</v>
      </c>
      <c r="E2956" s="2" t="s">
        <v>40</v>
      </c>
      <c r="F2956" t="s">
        <v>28</v>
      </c>
      <c r="N2956" s="2" t="s">
        <v>18</v>
      </c>
      <c r="O2956" s="2" t="s">
        <v>121</v>
      </c>
      <c r="P2956" s="2">
        <v>8000000</v>
      </c>
      <c r="Q2956" s="2">
        <v>6.8</v>
      </c>
      <c r="R2956" s="2" t="s">
        <v>5489</v>
      </c>
      <c r="S2956" s="2"/>
      <c r="AC2956" s="2"/>
      <c r="AD2956" t="str">
        <f>IFERROR(__xludf.DUMMYFUNCTION("""COMPUTED_VALUE"""),"The Swindle ")</f>
        <v>The Swindle </v>
      </c>
      <c r="AE2956">
        <f t="shared" si="75"/>
        <v>365641</v>
      </c>
    </row>
    <row r="2957" customHeight="1" spans="1:31">
      <c r="A2957" s="2" t="s">
        <v>3202</v>
      </c>
      <c r="B2957" s="2">
        <v>99</v>
      </c>
      <c r="C2957" s="2">
        <v>127144</v>
      </c>
      <c r="D2957" s="2" t="s">
        <v>521</v>
      </c>
      <c r="E2957" s="2" t="s">
        <v>40</v>
      </c>
      <c r="F2957" t="s">
        <v>30</v>
      </c>
      <c r="N2957" s="2" t="s">
        <v>18</v>
      </c>
      <c r="O2957" s="2" t="s">
        <v>19</v>
      </c>
      <c r="P2957" s="2">
        <v>8000000</v>
      </c>
      <c r="Q2957" s="2">
        <v>5.5</v>
      </c>
      <c r="R2957" s="2" t="s">
        <v>5490</v>
      </c>
      <c r="S2957" s="2"/>
      <c r="AC2957" s="2"/>
      <c r="AD2957" t="str">
        <f>IFERROR(__xludf.DUMMYFUNCTION("""COMPUTED_VALUE"""),"Rosewater ")</f>
        <v>Rosewater </v>
      </c>
      <c r="AE2957">
        <f t="shared" si="75"/>
        <v>231316</v>
      </c>
    </row>
    <row r="2958" customHeight="1" spans="1:31">
      <c r="A2958" s="2" t="s">
        <v>1601</v>
      </c>
      <c r="B2958" s="2">
        <v>98</v>
      </c>
      <c r="C2958" s="2">
        <v>117190</v>
      </c>
      <c r="D2958" s="2" t="s">
        <v>635</v>
      </c>
      <c r="E2958" s="2" t="s">
        <v>12</v>
      </c>
      <c r="F2958" t="s">
        <v>24</v>
      </c>
      <c r="N2958" s="2" t="s">
        <v>18</v>
      </c>
      <c r="O2958" s="2" t="s">
        <v>31</v>
      </c>
      <c r="P2958" s="2">
        <v>8000000</v>
      </c>
      <c r="Q2958" s="2">
        <v>6.9</v>
      </c>
      <c r="R2958" s="2" t="s">
        <v>5491</v>
      </c>
      <c r="S2958" s="2"/>
      <c r="AC2958" s="2"/>
      <c r="AD2958" t="str">
        <f>IFERROR(__xludf.DUMMYFUNCTION("""COMPUTED_VALUE"""),"Imaginary Heroes ")</f>
        <v>Imaginary Heroes </v>
      </c>
      <c r="AE2958">
        <f t="shared" si="75"/>
        <v>3093388</v>
      </c>
    </row>
    <row r="2959" customHeight="1" spans="1:31">
      <c r="A2959" s="2" t="s">
        <v>3205</v>
      </c>
      <c r="B2959" s="2">
        <v>95</v>
      </c>
      <c r="C2959" s="2">
        <v>108662</v>
      </c>
      <c r="D2959" s="2" t="s">
        <v>2833</v>
      </c>
      <c r="E2959" s="2" t="s">
        <v>56</v>
      </c>
      <c r="F2959" t="s">
        <v>17</v>
      </c>
      <c r="N2959" s="2" t="s">
        <v>18</v>
      </c>
      <c r="O2959" s="2" t="s">
        <v>19</v>
      </c>
      <c r="P2959" s="2">
        <v>8000000</v>
      </c>
      <c r="Q2959" s="2">
        <v>6</v>
      </c>
      <c r="R2959" s="2" t="s">
        <v>5492</v>
      </c>
      <c r="S2959" s="2"/>
      <c r="AC2959" s="2"/>
      <c r="AD2959" t="str">
        <f>IFERROR(__xludf.DUMMYFUNCTION("""COMPUTED_VALUE"""),"High Heels and Low Lifes ")</f>
        <v>High Heels and Low Lifes </v>
      </c>
      <c r="AE2959">
        <f t="shared" si="75"/>
        <v>228413</v>
      </c>
    </row>
    <row r="2960" customHeight="1" spans="1:31">
      <c r="A2960" s="2" t="s">
        <v>3207</v>
      </c>
      <c r="B2960" s="2">
        <v>107</v>
      </c>
      <c r="C2960" s="2">
        <v>53481</v>
      </c>
      <c r="D2960" s="2" t="s">
        <v>805</v>
      </c>
      <c r="E2960" s="2" t="s">
        <v>56</v>
      </c>
      <c r="F2960" t="s">
        <v>17</v>
      </c>
      <c r="N2960" s="2" t="s">
        <v>18</v>
      </c>
      <c r="O2960" s="2" t="s">
        <v>19</v>
      </c>
      <c r="P2960" s="2">
        <v>8000000</v>
      </c>
      <c r="Q2960" s="2">
        <v>6.4</v>
      </c>
      <c r="R2960" s="2" t="s">
        <v>5493</v>
      </c>
      <c r="S2960" s="2"/>
      <c r="AC2960" s="2"/>
      <c r="AD2960" t="str">
        <f>IFERROR(__xludf.DUMMYFUNCTION("""COMPUTED_VALUE"""),"Severance ")</f>
        <v>Severance </v>
      </c>
      <c r="AE2960">
        <f t="shared" si="75"/>
        <v>226706</v>
      </c>
    </row>
    <row r="2961" customHeight="1" spans="1:31">
      <c r="A2961" s="2" t="s">
        <v>3209</v>
      </c>
      <c r="B2961" s="2">
        <v>102</v>
      </c>
      <c r="C2961" s="2">
        <v>23106</v>
      </c>
      <c r="D2961" s="2" t="s">
        <v>1231</v>
      </c>
      <c r="E2961" s="2" t="s">
        <v>40</v>
      </c>
      <c r="F2961" t="s">
        <v>13</v>
      </c>
      <c r="N2961" s="2" t="s">
        <v>18</v>
      </c>
      <c r="O2961" s="2" t="s">
        <v>3655</v>
      </c>
      <c r="P2961" s="2">
        <v>50000000</v>
      </c>
      <c r="Q2961" s="2">
        <v>6.6</v>
      </c>
      <c r="R2961" s="2" t="s">
        <v>5494</v>
      </c>
      <c r="S2961" s="2"/>
      <c r="AC2961" s="2"/>
      <c r="AD2961" t="str">
        <f>IFERROR(__xludf.DUMMYFUNCTION("""COMPUTED_VALUE"""),"Edmond ")</f>
        <v>Edmond </v>
      </c>
      <c r="AE2961">
        <f t="shared" si="75"/>
        <v>136342</v>
      </c>
    </row>
    <row r="2962" customHeight="1" spans="1:31">
      <c r="A2962" s="2" t="s">
        <v>3211</v>
      </c>
      <c r="B2962" s="2">
        <v>97</v>
      </c>
      <c r="C2962" s="2">
        <v>52961</v>
      </c>
      <c r="D2962" s="2" t="s">
        <v>30</v>
      </c>
      <c r="E2962" s="2" t="s">
        <v>30</v>
      </c>
      <c r="F2962" t="s">
        <v>30</v>
      </c>
      <c r="N2962" s="2" t="s">
        <v>18</v>
      </c>
      <c r="O2962" s="2" t="s">
        <v>1431</v>
      </c>
      <c r="P2962" s="2">
        <v>8000000</v>
      </c>
      <c r="Q2962" s="2">
        <v>5.3</v>
      </c>
      <c r="R2962" s="2" t="s">
        <v>5495</v>
      </c>
      <c r="S2962" s="2"/>
      <c r="AC2962" s="2"/>
      <c r="AD2962" t="str">
        <f>IFERROR(__xludf.DUMMYFUNCTION("""COMPUTED_VALUE"""),"Police Academy: Mission to Moscow ")</f>
        <v>Police Academy: Mission to Moscow </v>
      </c>
      <c r="AE2962">
        <f t="shared" si="75"/>
        <v>131535</v>
      </c>
    </row>
    <row r="2963" customHeight="1" spans="1:31">
      <c r="A2963" s="2" t="s">
        <v>2345</v>
      </c>
      <c r="B2963" s="2">
        <v>124</v>
      </c>
      <c r="C2963" s="2">
        <v>439162</v>
      </c>
      <c r="D2963" s="2" t="s">
        <v>5496</v>
      </c>
      <c r="E2963" s="2" t="s">
        <v>12</v>
      </c>
      <c r="F2963" t="s">
        <v>56</v>
      </c>
      <c r="N2963" s="2" t="s">
        <v>3256</v>
      </c>
      <c r="O2963" s="2" t="s">
        <v>1160</v>
      </c>
      <c r="P2963" s="2">
        <v>1100000000</v>
      </c>
      <c r="Q2963" s="2">
        <v>8.1</v>
      </c>
      <c r="R2963" s="2" t="s">
        <v>5497</v>
      </c>
      <c r="S2963" s="2"/>
      <c r="AC2963" s="2"/>
      <c r="AD2963" t="str">
        <f>IFERROR(__xludf.DUMMYFUNCTION("""COMPUTED_VALUE"""),"Cinco de Mayo, La Batalla ")</f>
        <v>Cinco de Mayo, La Batalla </v>
      </c>
      <c r="AE2963">
        <f t="shared" si="75"/>
        <v>126164</v>
      </c>
    </row>
    <row r="2964" customHeight="1" spans="1:31">
      <c r="A2964" s="2" t="s">
        <v>3214</v>
      </c>
      <c r="B2964" s="2">
        <v>90</v>
      </c>
      <c r="C2964" s="2">
        <v>671240</v>
      </c>
      <c r="D2964" s="2" t="s">
        <v>521</v>
      </c>
      <c r="E2964" s="2" t="s">
        <v>40</v>
      </c>
      <c r="F2964" t="s">
        <v>24</v>
      </c>
      <c r="N2964" s="2" t="s">
        <v>18</v>
      </c>
      <c r="O2964" s="2" t="s">
        <v>31</v>
      </c>
      <c r="P2964" s="2">
        <v>7900000</v>
      </c>
      <c r="Q2964" s="2">
        <v>6.9</v>
      </c>
      <c r="R2964" s="2" t="s">
        <v>5498</v>
      </c>
      <c r="S2964" s="2"/>
      <c r="AC2964" s="2"/>
      <c r="AD2964" t="str">
        <f>IFERROR(__xludf.DUMMYFUNCTION("""COMPUTED_VALUE"""),"An Alan Smithee Film: Burn Hollywood Burn ")</f>
        <v>An Alan Smithee Film: Burn Hollywood Burn </v>
      </c>
      <c r="AE2964">
        <f t="shared" si="75"/>
        <v>169254</v>
      </c>
    </row>
    <row r="2965" customHeight="1" spans="1:31">
      <c r="A2965" s="2" t="s">
        <v>3216</v>
      </c>
      <c r="B2965" s="2">
        <v>90</v>
      </c>
      <c r="C2965" s="2">
        <v>882290</v>
      </c>
      <c r="D2965" s="2" t="s">
        <v>1393</v>
      </c>
      <c r="E2965" s="2" t="s">
        <v>12</v>
      </c>
      <c r="F2965" t="s">
        <v>30</v>
      </c>
      <c r="N2965" s="2" t="s">
        <v>18</v>
      </c>
      <c r="O2965" s="2" t="s">
        <v>159</v>
      </c>
      <c r="P2965" s="2">
        <v>10000000</v>
      </c>
      <c r="Q2965" s="2">
        <v>6.5</v>
      </c>
      <c r="R2965" s="2" t="s">
        <v>5499</v>
      </c>
      <c r="S2965" s="2"/>
      <c r="AC2965" s="2"/>
      <c r="AD2965" t="str">
        <f>IFERROR(__xludf.DUMMYFUNCTION("""COMPUTED_VALUE"""),"The Open Road ")</f>
        <v>The Open Road </v>
      </c>
      <c r="AE2965">
        <f t="shared" si="75"/>
        <v>15361</v>
      </c>
    </row>
    <row r="2966" customHeight="1" spans="1:31">
      <c r="A2966" s="2" t="s">
        <v>1496</v>
      </c>
      <c r="B2966" s="2">
        <v>99</v>
      </c>
      <c r="C2966" s="2">
        <v>106593296</v>
      </c>
      <c r="D2966" s="2" t="s">
        <v>1590</v>
      </c>
      <c r="E2966" s="2" t="s">
        <v>40</v>
      </c>
      <c r="F2966" t="s">
        <v>30</v>
      </c>
      <c r="N2966" s="2" t="s">
        <v>18</v>
      </c>
      <c r="O2966" s="2" t="s">
        <v>19</v>
      </c>
      <c r="P2966" s="2">
        <v>7500000</v>
      </c>
      <c r="Q2966" s="2">
        <v>7.4</v>
      </c>
      <c r="R2966" s="2" t="s">
        <v>5500</v>
      </c>
      <c r="S2966" s="2"/>
      <c r="AC2966" s="2"/>
      <c r="AD2966" t="str">
        <f>IFERROR(__xludf.DUMMYFUNCTION("""COMPUTED_VALUE"""),"The Good Guy ")</f>
        <v>The Good Guy </v>
      </c>
      <c r="AE2966">
        <f t="shared" si="75"/>
        <v>19257</v>
      </c>
    </row>
    <row r="2967" customHeight="1" spans="1:31">
      <c r="A2967" s="2" t="s">
        <v>1718</v>
      </c>
      <c r="B2967" s="2">
        <v>115</v>
      </c>
      <c r="C2967" s="2">
        <v>43490057</v>
      </c>
      <c r="D2967" s="2" t="s">
        <v>975</v>
      </c>
      <c r="E2967" s="2" t="s">
        <v>40</v>
      </c>
      <c r="F2967" t="s">
        <v>56</v>
      </c>
      <c r="N2967" s="2" t="s">
        <v>18</v>
      </c>
      <c r="O2967" s="2" t="s">
        <v>19</v>
      </c>
      <c r="P2967" s="2">
        <v>7500000</v>
      </c>
      <c r="Q2967" s="2">
        <v>6.9</v>
      </c>
      <c r="R2967" s="2" t="s">
        <v>5501</v>
      </c>
      <c r="S2967" s="2"/>
      <c r="AC2967" s="2"/>
      <c r="AD2967" t="str">
        <f>IFERROR(__xludf.DUMMYFUNCTION("""COMPUTED_VALUE"""),"Motherhood ")</f>
        <v>Motherhood </v>
      </c>
      <c r="AE2967">
        <f t="shared" si="75"/>
        <v>100413</v>
      </c>
    </row>
    <row r="2968" customHeight="1" spans="1:31">
      <c r="A2968" s="2" t="s">
        <v>3218</v>
      </c>
      <c r="B2968" s="2">
        <v>89</v>
      </c>
      <c r="C2968" s="2">
        <v>32333860</v>
      </c>
      <c r="D2968" s="2" t="s">
        <v>811</v>
      </c>
      <c r="E2968" s="2" t="s">
        <v>12</v>
      </c>
      <c r="F2968" t="s">
        <v>28</v>
      </c>
      <c r="N2968" s="2" t="s">
        <v>3028</v>
      </c>
      <c r="O2968" s="2" t="s">
        <v>1554</v>
      </c>
      <c r="P2968" s="2">
        <v>7500000</v>
      </c>
      <c r="Q2968" s="2">
        <v>6.7</v>
      </c>
      <c r="R2968" s="2" t="s">
        <v>5502</v>
      </c>
      <c r="S2968" s="2"/>
      <c r="AC2968" s="2"/>
      <c r="AD2968" t="str">
        <f>IFERROR(__xludf.DUMMYFUNCTION("""COMPUTED_VALUE"""),"Blonde Ambition ")</f>
        <v>Blonde Ambition </v>
      </c>
      <c r="AE2968">
        <f t="shared" si="75"/>
        <v>92810</v>
      </c>
    </row>
    <row r="2969" customHeight="1" spans="1:31">
      <c r="A2969" s="2" t="s">
        <v>1794</v>
      </c>
      <c r="B2969" s="2">
        <v>92</v>
      </c>
      <c r="C2969" s="2">
        <v>24792061</v>
      </c>
      <c r="D2969" s="2" t="s">
        <v>975</v>
      </c>
      <c r="E2969" s="2" t="s">
        <v>40</v>
      </c>
      <c r="F2969" t="s">
        <v>30</v>
      </c>
      <c r="N2969" s="2" t="s">
        <v>18</v>
      </c>
      <c r="O2969" s="2" t="s">
        <v>19</v>
      </c>
      <c r="P2969" s="2">
        <v>6500000</v>
      </c>
      <c r="Q2969" s="2">
        <v>7.6</v>
      </c>
      <c r="R2969" s="2" t="s">
        <v>5503</v>
      </c>
      <c r="S2969" s="2"/>
      <c r="AC2969" s="2"/>
      <c r="AD2969" t="str">
        <f>IFERROR(__xludf.DUMMYFUNCTION("""COMPUTED_VALUE"""),"The Oxford Murders ")</f>
        <v>The Oxford Murders </v>
      </c>
      <c r="AE2969">
        <f t="shared" si="75"/>
        <v>5468</v>
      </c>
    </row>
    <row r="2970" customHeight="1" spans="1:31">
      <c r="A2970" s="2" t="s">
        <v>3220</v>
      </c>
      <c r="B2970" s="2">
        <v>94</v>
      </c>
      <c r="C2970" s="2">
        <v>17544812</v>
      </c>
      <c r="D2970" s="2" t="s">
        <v>72</v>
      </c>
      <c r="E2970" s="2" t="s">
        <v>72</v>
      </c>
      <c r="F2970" t="s">
        <v>56</v>
      </c>
      <c r="N2970" s="2" t="s">
        <v>18</v>
      </c>
      <c r="O2970" s="2" t="s">
        <v>19</v>
      </c>
      <c r="P2970" s="2">
        <v>10000000</v>
      </c>
      <c r="Q2970" s="2">
        <v>5.4</v>
      </c>
      <c r="R2970" s="2" t="s">
        <v>5504</v>
      </c>
      <c r="S2970" s="2"/>
      <c r="AC2970" s="2"/>
      <c r="AD2970" t="str">
        <f>IFERROR(__xludf.DUMMYFUNCTION("""COMPUTED_VALUE"""),"Eulogy ")</f>
        <v>Eulogy </v>
      </c>
      <c r="AE2970">
        <f t="shared" si="75"/>
        <v>3503</v>
      </c>
    </row>
    <row r="2971" customHeight="1" spans="1:31">
      <c r="A2971" s="2" t="s">
        <v>2626</v>
      </c>
      <c r="B2971" s="2">
        <v>100</v>
      </c>
      <c r="C2971" s="2">
        <v>12574715</v>
      </c>
      <c r="D2971" s="2" t="s">
        <v>30</v>
      </c>
      <c r="E2971" s="2" t="s">
        <v>30</v>
      </c>
      <c r="F2971" t="s">
        <v>30</v>
      </c>
      <c r="N2971" s="2" t="s">
        <v>18</v>
      </c>
      <c r="O2971" s="2" t="s">
        <v>31</v>
      </c>
      <c r="P2971" s="2">
        <v>4500000</v>
      </c>
      <c r="Q2971" s="2">
        <v>7.3</v>
      </c>
      <c r="R2971" s="2" t="s">
        <v>5505</v>
      </c>
      <c r="S2971" s="2"/>
      <c r="AC2971" s="2"/>
      <c r="AD2971" t="str">
        <f>IFERROR(__xludf.DUMMYFUNCTION("""COMPUTED_VALUE"""),"Of Horses and Men ")</f>
        <v>Of Horses and Men </v>
      </c>
      <c r="AE2971">
        <f t="shared" si="75"/>
        <v>70442</v>
      </c>
    </row>
    <row r="2972" customHeight="1" spans="1:31">
      <c r="A2972" s="2" t="s">
        <v>3223</v>
      </c>
      <c r="B2972" s="2">
        <v>109</v>
      </c>
      <c r="C2972" s="2">
        <v>5100000</v>
      </c>
      <c r="D2972" s="2" t="s">
        <v>521</v>
      </c>
      <c r="E2972" s="2" t="s">
        <v>40</v>
      </c>
      <c r="F2972" t="s">
        <v>56</v>
      </c>
      <c r="N2972" s="2" t="s">
        <v>18</v>
      </c>
      <c r="O2972" s="2" t="s">
        <v>31</v>
      </c>
      <c r="P2972" s="2">
        <v>7500000</v>
      </c>
      <c r="Q2972" s="2">
        <v>6</v>
      </c>
      <c r="R2972" s="2" t="s">
        <v>5506</v>
      </c>
      <c r="S2972" s="2"/>
      <c r="AC2972" s="2"/>
      <c r="AD2972" t="str">
        <f>IFERROR(__xludf.DUMMYFUNCTION("""COMPUTED_VALUE"""),"The Good, the Bad, the Weird ")</f>
        <v>The Good, the Bad, the Weird </v>
      </c>
      <c r="AE2972">
        <f t="shared" si="75"/>
        <v>11754</v>
      </c>
    </row>
    <row r="2973" customHeight="1" spans="1:31">
      <c r="A2973" s="2" t="s">
        <v>2008</v>
      </c>
      <c r="B2973" s="2">
        <v>105</v>
      </c>
      <c r="C2973" s="2">
        <v>10460089</v>
      </c>
      <c r="D2973" s="2" t="s">
        <v>814</v>
      </c>
      <c r="E2973" s="2" t="s">
        <v>56</v>
      </c>
      <c r="F2973" t="s">
        <v>24</v>
      </c>
      <c r="N2973" s="2" t="s">
        <v>18</v>
      </c>
      <c r="O2973" s="2" t="s">
        <v>19</v>
      </c>
      <c r="P2973" s="2">
        <v>7500000</v>
      </c>
      <c r="Q2973" s="2">
        <v>7.2</v>
      </c>
      <c r="R2973" s="2" t="s">
        <v>5507</v>
      </c>
      <c r="S2973" s="2"/>
      <c r="AC2973" s="2"/>
      <c r="AD2973" t="str">
        <f>IFERROR(__xludf.DUMMYFUNCTION("""COMPUTED_VALUE"""),"The Lost City ")</f>
        <v>The Lost City </v>
      </c>
      <c r="AE2973">
        <f t="shared" si="75"/>
        <v>128351</v>
      </c>
    </row>
    <row r="2974" customHeight="1" spans="1:31">
      <c r="A2974" s="2" t="s">
        <v>3226</v>
      </c>
      <c r="B2974" s="2">
        <v>102</v>
      </c>
      <c r="C2974" s="2">
        <v>4239767</v>
      </c>
      <c r="D2974" s="2" t="s">
        <v>1826</v>
      </c>
      <c r="E2974" s="2" t="s">
        <v>40</v>
      </c>
      <c r="F2974" t="s">
        <v>30</v>
      </c>
      <c r="N2974" s="2" t="s">
        <v>18</v>
      </c>
      <c r="O2974" s="2" t="s">
        <v>121</v>
      </c>
      <c r="P2974" s="2">
        <v>7500000</v>
      </c>
      <c r="Q2974" s="2">
        <v>6</v>
      </c>
      <c r="R2974" s="2" t="s">
        <v>5508</v>
      </c>
      <c r="S2974" s="2"/>
      <c r="AC2974" s="2"/>
      <c r="AD2974" t="str">
        <f>IFERROR(__xludf.DUMMYFUNCTION("""COMPUTED_VALUE"""),"Next Friday ")</f>
        <v>Next Friday </v>
      </c>
      <c r="AE2974">
        <f t="shared" si="75"/>
        <v>2483811</v>
      </c>
    </row>
    <row r="2975" customHeight="1" spans="1:31">
      <c r="A2975" s="2" t="s">
        <v>3228</v>
      </c>
      <c r="B2975" s="2">
        <v>97</v>
      </c>
      <c r="C2975" s="2">
        <v>4131640</v>
      </c>
      <c r="D2975" s="2" t="s">
        <v>383</v>
      </c>
      <c r="E2975" s="2" t="s">
        <v>40</v>
      </c>
      <c r="F2975" t="s">
        <v>56</v>
      </c>
      <c r="N2975" s="2" t="s">
        <v>18</v>
      </c>
      <c r="O2975" s="2" t="s">
        <v>19</v>
      </c>
      <c r="P2975" s="2">
        <v>7500000</v>
      </c>
      <c r="Q2975" s="2">
        <v>3.1</v>
      </c>
      <c r="R2975" s="2" t="s">
        <v>5509</v>
      </c>
      <c r="S2975" s="2"/>
      <c r="AC2975" s="2"/>
      <c r="AD2975" t="str">
        <f>IFERROR(__xludf.DUMMYFUNCTION("""COMPUTED_VALUE"""),"You Only Live Twice ")</f>
        <v>You Only Live Twice </v>
      </c>
      <c r="AE2975">
        <f t="shared" si="75"/>
        <v>57176484</v>
      </c>
    </row>
    <row r="2976" customHeight="1" spans="1:31">
      <c r="A2976" s="2" t="s">
        <v>3230</v>
      </c>
      <c r="B2976" s="2">
        <v>118</v>
      </c>
      <c r="C2976" s="2">
        <v>3347439</v>
      </c>
      <c r="D2976" s="2" t="s">
        <v>103</v>
      </c>
      <c r="E2976" s="2" t="s">
        <v>30</v>
      </c>
      <c r="F2976" t="s">
        <v>56</v>
      </c>
      <c r="N2976" s="2" t="s">
        <v>18</v>
      </c>
      <c r="O2976" s="2" t="s">
        <v>19</v>
      </c>
      <c r="P2976" s="2">
        <v>7500000</v>
      </c>
      <c r="Q2976" s="2">
        <v>6.9</v>
      </c>
      <c r="R2976" s="2" t="s">
        <v>5510</v>
      </c>
      <c r="S2976" s="2"/>
      <c r="AC2976" s="2"/>
      <c r="AD2976" t="str">
        <f>IFERROR(__xludf.DUMMYFUNCTION("""COMPUTED_VALUE"""),"Amour ")</f>
        <v>Amour </v>
      </c>
      <c r="AE2976">
        <f t="shared" si="75"/>
        <v>43099883</v>
      </c>
    </row>
    <row r="2977" customHeight="1" spans="1:31">
      <c r="A2977" s="2" t="s">
        <v>2823</v>
      </c>
      <c r="B2977" s="2">
        <v>92</v>
      </c>
      <c r="C2977" s="2">
        <v>10814185</v>
      </c>
      <c r="D2977" s="2" t="s">
        <v>1733</v>
      </c>
      <c r="E2977" s="2" t="s">
        <v>40</v>
      </c>
      <c r="F2977" t="s">
        <v>72</v>
      </c>
      <c r="N2977" s="2" t="s">
        <v>18</v>
      </c>
      <c r="O2977" s="2" t="s">
        <v>19</v>
      </c>
      <c r="P2977" s="2">
        <v>8000000</v>
      </c>
      <c r="Q2977" s="2">
        <v>6.2</v>
      </c>
      <c r="R2977" s="2" t="s">
        <v>5511</v>
      </c>
      <c r="S2977" s="2"/>
      <c r="AC2977" s="2"/>
      <c r="AD2977" t="str">
        <f>IFERROR(__xludf.DUMMYFUNCTION("""COMPUTED_VALUE"""),"Poltergeist III ")</f>
        <v>Poltergeist III </v>
      </c>
      <c r="AE2977">
        <f t="shared" si="75"/>
        <v>225250</v>
      </c>
    </row>
    <row r="2978" customHeight="1" spans="1:31">
      <c r="A2978" s="2" t="s">
        <v>3232</v>
      </c>
      <c r="B2978" s="2">
        <v>103</v>
      </c>
      <c r="C2978" s="2">
        <v>206400</v>
      </c>
      <c r="D2978" s="2" t="s">
        <v>5451</v>
      </c>
      <c r="E2978" s="2" t="s">
        <v>40</v>
      </c>
      <c r="F2978" t="s">
        <v>28</v>
      </c>
      <c r="N2978" s="2" t="s">
        <v>1125</v>
      </c>
      <c r="O2978" s="2" t="s">
        <v>707</v>
      </c>
      <c r="P2978" s="2">
        <v>50000000</v>
      </c>
      <c r="Q2978" s="2">
        <v>6.9</v>
      </c>
      <c r="R2978" s="2" t="s">
        <v>5512</v>
      </c>
      <c r="S2978" s="2"/>
      <c r="AC2978" s="2"/>
      <c r="AD2978" t="str">
        <f>IFERROR(__xludf.DUMMYFUNCTION("""COMPUTED_VALUE"""),"It's a Mad, Mad, Mad, Mad World ")</f>
        <v>It's a Mad, Mad, Mad, Mad World </v>
      </c>
      <c r="AE2978">
        <f t="shared" si="75"/>
        <v>14114390</v>
      </c>
    </row>
    <row r="2979" customHeight="1" spans="1:31">
      <c r="A2979" s="2" t="s">
        <v>2643</v>
      </c>
      <c r="B2979" s="2">
        <v>93</v>
      </c>
      <c r="C2979" s="2">
        <v>197148</v>
      </c>
      <c r="D2979" s="2" t="s">
        <v>5513</v>
      </c>
      <c r="E2979" s="2" t="s">
        <v>30</v>
      </c>
      <c r="F2979" t="s">
        <v>56</v>
      </c>
      <c r="N2979" s="2" t="s">
        <v>18</v>
      </c>
      <c r="O2979" s="2" t="s">
        <v>31</v>
      </c>
      <c r="P2979" s="2">
        <v>7500000</v>
      </c>
      <c r="Q2979" s="2">
        <v>6.3</v>
      </c>
      <c r="R2979" s="2" t="s">
        <v>5514</v>
      </c>
      <c r="S2979" s="2"/>
      <c r="AC2979" s="2"/>
      <c r="AD2979" t="str">
        <f>IFERROR(__xludf.DUMMYFUNCTION("""COMPUTED_VALUE"""),"Richard III ")</f>
        <v>Richard III </v>
      </c>
      <c r="AE2979">
        <f t="shared" si="75"/>
        <v>46299803</v>
      </c>
    </row>
    <row r="2980" customHeight="1" spans="1:31">
      <c r="A2980" s="2" t="s">
        <v>3234</v>
      </c>
      <c r="B2980" s="2">
        <v>113</v>
      </c>
      <c r="C2980" s="2">
        <v>3014541</v>
      </c>
      <c r="D2980" s="2" t="s">
        <v>30</v>
      </c>
      <c r="E2980" s="2" t="s">
        <v>30</v>
      </c>
      <c r="F2980" t="s">
        <v>30</v>
      </c>
      <c r="N2980" s="2" t="s">
        <v>18</v>
      </c>
      <c r="O2980" s="2" t="s">
        <v>31</v>
      </c>
      <c r="P2980" s="2">
        <v>8000000</v>
      </c>
      <c r="Q2980" s="2">
        <v>6.7</v>
      </c>
      <c r="R2980" s="2" t="s">
        <v>5515</v>
      </c>
      <c r="S2980" s="2"/>
      <c r="AC2980" s="2"/>
      <c r="AD2980" t="str">
        <f>IFERROR(__xludf.DUMMYFUNCTION("""COMPUTED_VALUE"""),"Kites ")</f>
        <v>Kites </v>
      </c>
      <c r="AE2980">
        <f t="shared" si="75"/>
        <v>2599896</v>
      </c>
    </row>
    <row r="2981" customHeight="1" spans="1:31">
      <c r="A2981" s="2" t="s">
        <v>3237</v>
      </c>
      <c r="B2981" s="2">
        <v>153</v>
      </c>
      <c r="C2981" s="2">
        <v>872643</v>
      </c>
      <c r="D2981" s="2" t="s">
        <v>1061</v>
      </c>
      <c r="E2981" s="2" t="s">
        <v>40</v>
      </c>
      <c r="F2981" t="s">
        <v>17</v>
      </c>
      <c r="N2981" s="2" t="s">
        <v>5227</v>
      </c>
      <c r="O2981" s="2" t="s">
        <v>19</v>
      </c>
      <c r="P2981" s="2">
        <v>6000000</v>
      </c>
      <c r="Q2981" s="2">
        <v>5.4</v>
      </c>
      <c r="R2981" s="2" t="s">
        <v>5516</v>
      </c>
      <c r="S2981" s="2"/>
      <c r="AC2981" s="2"/>
      <c r="AD2981" t="str">
        <f>IFERROR(__xludf.DUMMYFUNCTION("""COMPUTED_VALUE"""),"Melancholia ")</f>
        <v>Melancholia </v>
      </c>
      <c r="AE2981">
        <f t="shared" si="75"/>
        <v>1602376</v>
      </c>
    </row>
    <row r="2982" customHeight="1" spans="1:31">
      <c r="A2982" s="2" t="s">
        <v>3239</v>
      </c>
      <c r="B2982" s="2">
        <v>89</v>
      </c>
      <c r="C2982" s="2">
        <v>4443403</v>
      </c>
      <c r="D2982" s="2" t="s">
        <v>5517</v>
      </c>
      <c r="E2982" s="2" t="s">
        <v>35</v>
      </c>
      <c r="F2982" t="s">
        <v>24</v>
      </c>
      <c r="N2982" s="2" t="s">
        <v>1125</v>
      </c>
      <c r="O2982" s="2" t="s">
        <v>707</v>
      </c>
      <c r="P2982" s="2">
        <v>7300000</v>
      </c>
      <c r="Q2982" s="2">
        <v>8</v>
      </c>
      <c r="R2982" s="2" t="s">
        <v>5518</v>
      </c>
      <c r="S2982" s="2"/>
      <c r="AC2982" s="2"/>
      <c r="AD2982" t="str">
        <f>IFERROR(__xludf.DUMMYFUNCTION("""COMPUTED_VALUE"""),"Jab Tak Hai Jaan ")</f>
        <v>Jab Tak Hai Jaan </v>
      </c>
      <c r="AE2982">
        <f t="shared" si="75"/>
        <v>3029740</v>
      </c>
    </row>
    <row r="2983" customHeight="1" spans="1:31">
      <c r="A2983" s="2" t="s">
        <v>2580</v>
      </c>
      <c r="B2983" s="2">
        <v>118</v>
      </c>
      <c r="C2983" s="2">
        <v>1330827</v>
      </c>
      <c r="D2983" s="2" t="s">
        <v>2781</v>
      </c>
      <c r="E2983" s="2" t="s">
        <v>72</v>
      </c>
      <c r="F2983" t="s">
        <v>24</v>
      </c>
      <c r="N2983" s="2" t="s">
        <v>18</v>
      </c>
      <c r="O2983" s="2" t="s">
        <v>707</v>
      </c>
      <c r="P2983" s="2">
        <v>7000000</v>
      </c>
      <c r="Q2983" s="2">
        <v>7</v>
      </c>
      <c r="R2983" s="2" t="s">
        <v>5519</v>
      </c>
      <c r="S2983" s="2"/>
      <c r="AC2983" s="2"/>
      <c r="AD2983" t="str">
        <f>IFERROR(__xludf.DUMMYFUNCTION("""COMPUTED_VALUE"""),"Alien ")</f>
        <v>Alien </v>
      </c>
      <c r="AE2983">
        <f t="shared" si="75"/>
        <v>3047363</v>
      </c>
    </row>
    <row r="2984" customHeight="1" spans="1:31">
      <c r="A2984" s="2" t="s">
        <v>3242</v>
      </c>
      <c r="B2984" s="2">
        <v>97</v>
      </c>
      <c r="C2984" s="2">
        <v>1818681</v>
      </c>
      <c r="D2984" s="2" t="s">
        <v>186</v>
      </c>
      <c r="E2984" s="2" t="s">
        <v>12</v>
      </c>
      <c r="F2984" t="s">
        <v>17</v>
      </c>
      <c r="N2984" s="2" t="s">
        <v>18</v>
      </c>
      <c r="O2984" s="2" t="s">
        <v>31</v>
      </c>
      <c r="P2984" s="2">
        <v>7300000</v>
      </c>
      <c r="Q2984" s="2">
        <v>7.2</v>
      </c>
      <c r="R2984" s="2" t="s">
        <v>5520</v>
      </c>
      <c r="S2984" s="2"/>
      <c r="AC2984" s="2"/>
      <c r="AD2984" t="str">
        <f>IFERROR(__xludf.DUMMYFUNCTION("""COMPUTED_VALUE"""),"The Texas Chain Saw Massacre ")</f>
        <v>The Texas Chain Saw Massacre </v>
      </c>
      <c r="AE2984">
        <f t="shared" si="75"/>
        <v>78899884</v>
      </c>
    </row>
    <row r="2985" customHeight="1" spans="1:31">
      <c r="A2985" s="2" t="s">
        <v>3244</v>
      </c>
      <c r="B2985" s="2">
        <v>100</v>
      </c>
      <c r="C2985" s="2">
        <v>12610552</v>
      </c>
      <c r="D2985" s="2" t="s">
        <v>120</v>
      </c>
      <c r="E2985" s="2" t="s">
        <v>12</v>
      </c>
      <c r="F2985" t="s">
        <v>30</v>
      </c>
      <c r="N2985" s="2" t="s">
        <v>18</v>
      </c>
      <c r="O2985" s="2" t="s">
        <v>19</v>
      </c>
      <c r="P2985" s="2">
        <v>7500000</v>
      </c>
      <c r="Q2985" s="2">
        <v>3.5</v>
      </c>
      <c r="R2985" s="2" t="s">
        <v>5521</v>
      </c>
      <c r="S2985" s="2"/>
      <c r="AC2985" s="2"/>
      <c r="AD2985" t="str">
        <f>IFERROR(__xludf.DUMMYFUNCTION("""COMPUTED_VALUE"""),"The Runaways ")</f>
        <v>The Runaways </v>
      </c>
      <c r="AE2985">
        <f t="shared" si="75"/>
        <v>30858912</v>
      </c>
    </row>
    <row r="2986" customHeight="1" spans="1:31">
      <c r="A2986" s="2" t="s">
        <v>1794</v>
      </c>
      <c r="B2986" s="2">
        <v>96</v>
      </c>
      <c r="C2986" s="2">
        <v>143492840</v>
      </c>
      <c r="D2986" s="2" t="s">
        <v>521</v>
      </c>
      <c r="E2986" s="2" t="s">
        <v>40</v>
      </c>
      <c r="F2986" t="s">
        <v>30</v>
      </c>
      <c r="N2986" s="2" t="s">
        <v>18</v>
      </c>
      <c r="O2986" s="2" t="s">
        <v>19</v>
      </c>
      <c r="P2986" s="2">
        <v>7500000</v>
      </c>
      <c r="Q2986" s="2">
        <v>7.5</v>
      </c>
      <c r="R2986" s="2" t="s">
        <v>5522</v>
      </c>
      <c r="S2986" s="2"/>
      <c r="AC2986" s="2"/>
      <c r="AD2986" t="str">
        <f>IFERROR(__xludf.DUMMYFUNCTION("""COMPUTED_VALUE"""),"Fiddler on the Roof ")</f>
        <v>Fiddler on the Roof </v>
      </c>
      <c r="AE2986">
        <f t="shared" si="75"/>
        <v>3571629</v>
      </c>
    </row>
    <row r="2987" customHeight="1" spans="1:31">
      <c r="A2987" s="2" t="s">
        <v>3246</v>
      </c>
      <c r="B2987" s="2">
        <v>120</v>
      </c>
      <c r="C2987" s="2">
        <v>43800000</v>
      </c>
      <c r="D2987" s="2" t="s">
        <v>27</v>
      </c>
      <c r="E2987" s="2" t="s">
        <v>12</v>
      </c>
      <c r="F2987" t="s">
        <v>30</v>
      </c>
      <c r="N2987" s="2" t="s">
        <v>18</v>
      </c>
      <c r="O2987" s="2" t="s">
        <v>31</v>
      </c>
      <c r="P2987" s="2">
        <v>7200000</v>
      </c>
      <c r="Q2987" s="2">
        <v>6.7</v>
      </c>
      <c r="R2987" s="2" t="s">
        <v>5523</v>
      </c>
      <c r="S2987" s="2"/>
      <c r="AC2987" s="2"/>
      <c r="AD2987" t="str">
        <f>IFERROR(__xludf.DUMMYFUNCTION("""COMPUTED_VALUE"""),"Thunderball ")</f>
        <v>Thunderball </v>
      </c>
      <c r="AE2987">
        <f t="shared" si="75"/>
        <v>49999819</v>
      </c>
    </row>
    <row r="2988" customHeight="1" spans="1:31">
      <c r="A2988" s="2" t="s">
        <v>1218</v>
      </c>
      <c r="B2988" s="2">
        <v>175</v>
      </c>
      <c r="C2988" s="2">
        <v>134821952</v>
      </c>
      <c r="D2988" s="2" t="s">
        <v>718</v>
      </c>
      <c r="E2988" s="2" t="s">
        <v>56</v>
      </c>
      <c r="F2988" t="s">
        <v>30</v>
      </c>
      <c r="N2988" s="2" t="s">
        <v>18</v>
      </c>
      <c r="O2988" s="2" t="s">
        <v>19</v>
      </c>
      <c r="P2988" s="2">
        <v>6000000</v>
      </c>
      <c r="Q2988" s="2">
        <v>9.2</v>
      </c>
      <c r="R2988" s="2" t="s">
        <v>5524</v>
      </c>
      <c r="S2988" s="2"/>
      <c r="AC2988" s="2"/>
      <c r="AD2988" t="str">
        <f>IFERROR(__xludf.DUMMYFUNCTION("""COMPUTED_VALUE"""),"Set It Off ")</f>
        <v>Set It Off </v>
      </c>
      <c r="AE2988">
        <f t="shared" si="75"/>
        <v>63599870</v>
      </c>
    </row>
    <row r="2989" customHeight="1" spans="1:31">
      <c r="A2989" s="2" t="s">
        <v>1291</v>
      </c>
      <c r="B2989" s="2">
        <v>95</v>
      </c>
      <c r="C2989" s="2">
        <v>94900000</v>
      </c>
      <c r="D2989" s="2" t="s">
        <v>3280</v>
      </c>
      <c r="E2989" s="2" t="s">
        <v>30</v>
      </c>
      <c r="F2989" t="s">
        <v>24</v>
      </c>
      <c r="N2989" s="2" t="s">
        <v>18</v>
      </c>
      <c r="O2989" s="2" t="s">
        <v>19</v>
      </c>
      <c r="P2989" s="2">
        <v>4000000</v>
      </c>
      <c r="Q2989" s="2">
        <v>6.1</v>
      </c>
      <c r="R2989" s="2" t="s">
        <v>5525</v>
      </c>
      <c r="S2989" s="2"/>
      <c r="AC2989" s="2"/>
      <c r="AD2989" t="str">
        <f>IFERROR(__xludf.DUMMYFUNCTION("""COMPUTED_VALUE"""),"The Best Man ")</f>
        <v>The Best Man </v>
      </c>
      <c r="AE2989">
        <f t="shared" si="75"/>
        <v>36048985</v>
      </c>
    </row>
    <row r="2990" customHeight="1" spans="1:31">
      <c r="A2990" s="2" t="s">
        <v>92</v>
      </c>
      <c r="B2990" s="2">
        <v>95</v>
      </c>
      <c r="C2990" s="2">
        <v>32391374</v>
      </c>
      <c r="D2990" s="2" t="s">
        <v>521</v>
      </c>
      <c r="E2990" s="2" t="s">
        <v>40</v>
      </c>
      <c r="F2990" t="s">
        <v>72</v>
      </c>
      <c r="N2990" s="2" t="s">
        <v>18</v>
      </c>
      <c r="O2990" s="2" t="s">
        <v>19</v>
      </c>
      <c r="P2990" s="2">
        <v>7500000</v>
      </c>
      <c r="Q2990" s="2">
        <v>7.7</v>
      </c>
      <c r="R2990" s="2" t="s">
        <v>5526</v>
      </c>
      <c r="S2990" s="2"/>
      <c r="AC2990" s="2"/>
      <c r="AD2990" t="str">
        <f>IFERROR(__xludf.DUMMYFUNCTION("""COMPUTED_VALUE"""),"Child's Play ")</f>
        <v>Child's Play </v>
      </c>
      <c r="AE2990">
        <f t="shared" si="75"/>
        <v>34074775</v>
      </c>
    </row>
    <row r="2991" customHeight="1" spans="1:31">
      <c r="A2991" s="2" t="s">
        <v>2865</v>
      </c>
      <c r="B2991" s="2">
        <v>121</v>
      </c>
      <c r="C2991" s="2">
        <v>40158000</v>
      </c>
      <c r="D2991" s="2" t="s">
        <v>3280</v>
      </c>
      <c r="E2991" s="2" t="s">
        <v>30</v>
      </c>
      <c r="F2991" t="s">
        <v>72</v>
      </c>
      <c r="N2991" s="2" t="s">
        <v>18</v>
      </c>
      <c r="O2991" s="2" t="s">
        <v>90</v>
      </c>
      <c r="P2991" s="2">
        <v>7000000</v>
      </c>
      <c r="Q2991" s="2">
        <v>7.6</v>
      </c>
      <c r="R2991" s="2" t="s">
        <v>5527</v>
      </c>
      <c r="S2991" s="2"/>
      <c r="AC2991" s="2"/>
      <c r="AD2991" t="str">
        <f>IFERROR(__xludf.DUMMYFUNCTION("""COMPUTED_VALUE"""),"Sicko ")</f>
        <v>Sicko </v>
      </c>
      <c r="AE2991">
        <f t="shared" si="75"/>
        <v>33244597</v>
      </c>
    </row>
    <row r="2992" customHeight="1" spans="1:31">
      <c r="A2992" s="2" t="s">
        <v>556</v>
      </c>
      <c r="B2992" s="2">
        <v>110</v>
      </c>
      <c r="C2992" s="2">
        <v>113709992</v>
      </c>
      <c r="D2992" s="2" t="s">
        <v>975</v>
      </c>
      <c r="E2992" s="2" t="s">
        <v>40</v>
      </c>
      <c r="F2992" t="s">
        <v>30</v>
      </c>
      <c r="N2992" s="2" t="s">
        <v>18</v>
      </c>
      <c r="O2992" s="2" t="s">
        <v>19</v>
      </c>
      <c r="P2992" s="2">
        <v>7000000</v>
      </c>
      <c r="Q2992" s="2">
        <v>6.1</v>
      </c>
      <c r="R2992" s="2" t="s">
        <v>5528</v>
      </c>
      <c r="S2992" s="2"/>
      <c r="AC2992" s="2"/>
      <c r="AD2992" t="str">
        <f>IFERROR(__xludf.DUMMYFUNCTION("""COMPUTED_VALUE"""),"The Purge: Anarchy ")</f>
        <v>The Purge: Anarchy </v>
      </c>
      <c r="AE2992">
        <f t="shared" si="75"/>
        <v>24530390</v>
      </c>
    </row>
    <row r="2993" customHeight="1" spans="1:31">
      <c r="A2993" s="2" t="s">
        <v>338</v>
      </c>
      <c r="B2993" s="2">
        <v>96</v>
      </c>
      <c r="C2993" s="2">
        <v>32131483</v>
      </c>
      <c r="D2993" s="2" t="s">
        <v>1189</v>
      </c>
      <c r="E2993" s="2" t="s">
        <v>72</v>
      </c>
      <c r="F2993" t="s">
        <v>30</v>
      </c>
      <c r="N2993" s="2" t="s">
        <v>18</v>
      </c>
      <c r="O2993" s="2" t="s">
        <v>19</v>
      </c>
      <c r="P2993" s="2">
        <v>11000000</v>
      </c>
      <c r="Q2993" s="2">
        <v>4.9</v>
      </c>
      <c r="R2993" s="2" t="s">
        <v>5529</v>
      </c>
      <c r="S2993" s="2"/>
      <c r="AC2993" s="2"/>
      <c r="AD2993" t="str">
        <f>IFERROR(__xludf.DUMMYFUNCTION("""COMPUTED_VALUE"""),"Down to You ")</f>
        <v>Down to You </v>
      </c>
      <c r="AE2993">
        <f t="shared" si="75"/>
        <v>71519127</v>
      </c>
    </row>
    <row r="2994" customHeight="1" spans="1:31">
      <c r="A2994" s="2" t="s">
        <v>3246</v>
      </c>
      <c r="B2994" s="2">
        <v>121</v>
      </c>
      <c r="C2994" s="2">
        <v>35400000</v>
      </c>
      <c r="D2994" s="2" t="s">
        <v>27</v>
      </c>
      <c r="E2994" s="2" t="s">
        <v>12</v>
      </c>
      <c r="F2994" t="s">
        <v>30</v>
      </c>
      <c r="N2994" s="2" t="s">
        <v>18</v>
      </c>
      <c r="O2994" s="2" t="s">
        <v>31</v>
      </c>
      <c r="P2994" s="2">
        <v>7000000</v>
      </c>
      <c r="Q2994" s="2">
        <v>6.8</v>
      </c>
      <c r="R2994" s="2" t="s">
        <v>5530</v>
      </c>
      <c r="S2994" s="2"/>
      <c r="AC2994" s="2"/>
      <c r="AD2994" t="str">
        <f>IFERROR(__xludf.DUMMYFUNCTION("""COMPUTED_VALUE"""),"Harold &amp; Kumar Go to White Castle ")</f>
        <v>Harold &amp; Kumar Go to White Castle </v>
      </c>
      <c r="AE2994">
        <f t="shared" si="75"/>
        <v>20035219</v>
      </c>
    </row>
    <row r="2995" customHeight="1" spans="1:31">
      <c r="A2995" s="2" t="s">
        <v>1063</v>
      </c>
      <c r="B2995" s="2">
        <v>95</v>
      </c>
      <c r="C2995" s="2">
        <v>34099640</v>
      </c>
      <c r="D2995" s="2" t="s">
        <v>3339</v>
      </c>
      <c r="E2995" s="2" t="s">
        <v>30</v>
      </c>
      <c r="F2995" t="s">
        <v>30</v>
      </c>
      <c r="N2995" s="2" t="s">
        <v>18</v>
      </c>
      <c r="O2995" s="2" t="s">
        <v>19</v>
      </c>
      <c r="P2995" s="2">
        <v>5000000</v>
      </c>
      <c r="Q2995" s="2">
        <v>7</v>
      </c>
      <c r="R2995" s="2" t="s">
        <v>5531</v>
      </c>
      <c r="S2995" s="2"/>
      <c r="AC2995" s="2"/>
      <c r="AD2995" t="str">
        <f>IFERROR(__xludf.DUMMYFUNCTION("""COMPUTED_VALUE"""),"The Contender ")</f>
        <v>The Contender </v>
      </c>
      <c r="AE2995">
        <f t="shared" si="75"/>
        <v>18225077</v>
      </c>
    </row>
    <row r="2996" customHeight="1" spans="1:31">
      <c r="A2996" s="2" t="s">
        <v>2983</v>
      </c>
      <c r="B2996" s="2">
        <v>112</v>
      </c>
      <c r="C2996" s="2">
        <v>37295394</v>
      </c>
      <c r="D2996" s="2" t="s">
        <v>975</v>
      </c>
      <c r="E2996" s="2" t="s">
        <v>40</v>
      </c>
      <c r="F2996" t="s">
        <v>16</v>
      </c>
      <c r="N2996" s="2" t="s">
        <v>18</v>
      </c>
      <c r="O2996" s="2" t="s">
        <v>19</v>
      </c>
      <c r="P2996" s="2">
        <v>6600000</v>
      </c>
      <c r="Q2996" s="2">
        <v>5.7</v>
      </c>
      <c r="R2996" s="2" t="s">
        <v>5532</v>
      </c>
      <c r="S2996" s="2"/>
      <c r="AC2996" s="2"/>
      <c r="AD2996" t="str">
        <f>IFERROR(__xludf.DUMMYFUNCTION("""COMPUTED_VALUE"""),"Boiler Room ")</f>
        <v>Boiler Room </v>
      </c>
      <c r="AE2996">
        <f t="shared" si="75"/>
        <v>17804147</v>
      </c>
    </row>
    <row r="2997" customHeight="1" spans="1:31">
      <c r="A2997" s="2" t="s">
        <v>936</v>
      </c>
      <c r="B2997" s="2">
        <v>93</v>
      </c>
      <c r="C2997" s="2">
        <v>31501218</v>
      </c>
      <c r="D2997" s="2" t="s">
        <v>2457</v>
      </c>
      <c r="E2997" s="2" t="s">
        <v>59</v>
      </c>
      <c r="F2997" t="s">
        <v>15</v>
      </c>
      <c r="N2997" s="2" t="s">
        <v>18</v>
      </c>
      <c r="O2997" s="2" t="s">
        <v>19</v>
      </c>
      <c r="P2997" s="2">
        <v>7500000</v>
      </c>
      <c r="Q2997" s="2">
        <v>7.5</v>
      </c>
      <c r="R2997" s="2" t="s">
        <v>5533</v>
      </c>
      <c r="S2997" s="2"/>
      <c r="AC2997" s="2"/>
      <c r="AD2997" t="str">
        <f>IFERROR(__xludf.DUMMYFUNCTION("""COMPUTED_VALUE"""),"Black Christmas ")</f>
        <v>Black Christmas </v>
      </c>
      <c r="AE2997">
        <f t="shared" si="75"/>
        <v>16938059</v>
      </c>
    </row>
    <row r="2998" customHeight="1" spans="1:31">
      <c r="A2998" s="2" t="s">
        <v>1271</v>
      </c>
      <c r="B2998" s="2">
        <v>110</v>
      </c>
      <c r="C2998" s="2">
        <v>28747570</v>
      </c>
      <c r="D2998" s="2" t="s">
        <v>625</v>
      </c>
      <c r="E2998" s="2" t="s">
        <v>59</v>
      </c>
      <c r="F2998" t="s">
        <v>30</v>
      </c>
      <c r="N2998" s="2" t="s">
        <v>18</v>
      </c>
      <c r="O2998" s="2" t="s">
        <v>121</v>
      </c>
      <c r="P2998" s="2">
        <v>7000000</v>
      </c>
      <c r="Q2998" s="2">
        <v>7.4</v>
      </c>
      <c r="R2998" s="2" t="s">
        <v>5534</v>
      </c>
      <c r="S2998" s="2"/>
      <c r="AC2998" s="2"/>
      <c r="AD2998" t="str">
        <f>IFERROR(__xludf.DUMMYFUNCTION("""COMPUTED_VALUE"""),"Henry V ")</f>
        <v>Henry V </v>
      </c>
      <c r="AE2998">
        <f t="shared" si="75"/>
        <v>16235199</v>
      </c>
    </row>
    <row r="2999" customHeight="1" spans="1:31">
      <c r="A2999" s="2" t="s">
        <v>1225</v>
      </c>
      <c r="B2999" s="2">
        <v>104</v>
      </c>
      <c r="C2999" s="2">
        <v>25625110</v>
      </c>
      <c r="D2999" s="2" t="s">
        <v>150</v>
      </c>
      <c r="E2999" s="2" t="s">
        <v>12</v>
      </c>
      <c r="F2999" t="s">
        <v>56</v>
      </c>
      <c r="N2999" s="2" t="s">
        <v>18</v>
      </c>
      <c r="O2999" s="2" t="s">
        <v>19</v>
      </c>
      <c r="P2999" s="2">
        <v>7000000</v>
      </c>
      <c r="Q2999" s="2">
        <v>7.2</v>
      </c>
      <c r="R2999" s="2" t="s">
        <v>5535</v>
      </c>
      <c r="S2999" s="2"/>
      <c r="AC2999" s="2"/>
      <c r="AD2999" t="str">
        <f>IFERROR(__xludf.DUMMYFUNCTION("""COMPUTED_VALUE"""),"The Way of the Gun ")</f>
        <v>The Way of the Gun </v>
      </c>
      <c r="AE2999">
        <f t="shared" ref="AE2999:AE3062" si="76">C2883-B2883</f>
        <v>10160962</v>
      </c>
    </row>
    <row r="3000" customHeight="1" spans="1:31">
      <c r="A3000" s="2" t="s">
        <v>3248</v>
      </c>
      <c r="B3000" s="2">
        <v>119</v>
      </c>
      <c r="C3000" s="2">
        <v>25000000</v>
      </c>
      <c r="D3000" s="2" t="s">
        <v>38</v>
      </c>
      <c r="E3000" s="2" t="s">
        <v>12</v>
      </c>
      <c r="F3000" t="s">
        <v>30</v>
      </c>
      <c r="N3000" s="2" t="s">
        <v>18</v>
      </c>
      <c r="O3000" s="2" t="s">
        <v>19</v>
      </c>
      <c r="P3000" s="2">
        <v>9000000</v>
      </c>
      <c r="Q3000" s="2">
        <v>6.8</v>
      </c>
      <c r="R3000" s="2" t="s">
        <v>5536</v>
      </c>
      <c r="S3000" s="2"/>
      <c r="AC3000" s="2"/>
      <c r="AD3000" t="str">
        <f>IFERROR(__xludf.DUMMYFUNCTION("""COMPUTED_VALUE"""),"Igby Goes Down ")</f>
        <v>Igby Goes Down </v>
      </c>
      <c r="AE3000">
        <f t="shared" si="76"/>
        <v>6047737</v>
      </c>
    </row>
    <row r="3001" customHeight="1" spans="1:31">
      <c r="A3001" s="2" t="s">
        <v>3246</v>
      </c>
      <c r="B3001" s="2">
        <v>125</v>
      </c>
      <c r="C3001" s="2">
        <v>21000000</v>
      </c>
      <c r="D3001" s="2" t="s">
        <v>27</v>
      </c>
      <c r="E3001" s="2" t="s">
        <v>12</v>
      </c>
      <c r="F3001" t="s">
        <v>30</v>
      </c>
      <c r="N3001" s="2" t="s">
        <v>18</v>
      </c>
      <c r="O3001" s="2" t="s">
        <v>31</v>
      </c>
      <c r="P3001" s="2">
        <v>13000000</v>
      </c>
      <c r="Q3001" s="2">
        <v>6.8</v>
      </c>
      <c r="R3001" s="2" t="s">
        <v>5537</v>
      </c>
      <c r="S3001" s="2"/>
      <c r="AC3001" s="2"/>
      <c r="AD3001" t="str">
        <f>IFERROR(__xludf.DUMMYFUNCTION("""COMPUTED_VALUE"""),"PCU ")</f>
        <v>PCU </v>
      </c>
      <c r="AE3001">
        <f t="shared" si="76"/>
        <v>4681404</v>
      </c>
    </row>
    <row r="3002" customHeight="1" spans="1:31">
      <c r="A3002" s="2" t="s">
        <v>2088</v>
      </c>
      <c r="B3002" s="2">
        <v>96</v>
      </c>
      <c r="C3002" s="2">
        <v>20257000</v>
      </c>
      <c r="D3002" s="2" t="s">
        <v>174</v>
      </c>
      <c r="E3002" s="2" t="s">
        <v>12</v>
      </c>
      <c r="F3002" t="s">
        <v>56</v>
      </c>
      <c r="N3002" s="2" t="s">
        <v>18</v>
      </c>
      <c r="O3002" s="2" t="s">
        <v>19</v>
      </c>
      <c r="P3002" s="2">
        <v>7000000</v>
      </c>
      <c r="Q3002" s="2">
        <v>5.2</v>
      </c>
      <c r="R3002" s="2" t="s">
        <v>5538</v>
      </c>
      <c r="S3002" s="2"/>
      <c r="AC3002" s="2"/>
      <c r="AD3002" t="str">
        <f>IFERROR(__xludf.DUMMYFUNCTION("""COMPUTED_VALUE"""),"Gracie ")</f>
        <v>Gracie </v>
      </c>
      <c r="AE3002">
        <f t="shared" si="76"/>
        <v>4350695</v>
      </c>
    </row>
    <row r="3003" customHeight="1" spans="1:31">
      <c r="A3003" s="2" t="s">
        <v>1744</v>
      </c>
      <c r="B3003" s="2">
        <v>100</v>
      </c>
      <c r="C3003" s="2">
        <v>26005908</v>
      </c>
      <c r="D3003" s="2" t="s">
        <v>3619</v>
      </c>
      <c r="E3003" s="2" t="s">
        <v>13</v>
      </c>
      <c r="F3003" t="s">
        <v>72</v>
      </c>
      <c r="N3003" s="2" t="s">
        <v>18</v>
      </c>
      <c r="O3003" s="2" t="s">
        <v>31</v>
      </c>
      <c r="P3003" s="2">
        <v>3500000</v>
      </c>
      <c r="Q3003" s="2">
        <v>7.2</v>
      </c>
      <c r="R3003" s="2" t="s">
        <v>5539</v>
      </c>
      <c r="S3003" s="2"/>
      <c r="AC3003" s="2"/>
      <c r="AD3003" t="str">
        <f>IFERROR(__xludf.DUMMYFUNCTION("""COMPUTED_VALUE"""),"Trust the Man ")</f>
        <v>Trust the Man </v>
      </c>
      <c r="AE3003">
        <f t="shared" si="76"/>
        <v>2954944</v>
      </c>
    </row>
    <row r="3004" customHeight="1" spans="1:31">
      <c r="A3004" s="2" t="s">
        <v>3250</v>
      </c>
      <c r="B3004" s="2">
        <v>89</v>
      </c>
      <c r="C3004" s="2">
        <v>15818967</v>
      </c>
      <c r="D3004" s="2" t="s">
        <v>2613</v>
      </c>
      <c r="E3004" s="2" t="s">
        <v>72</v>
      </c>
      <c r="F3004" t="s">
        <v>13</v>
      </c>
      <c r="N3004" s="2" t="s">
        <v>18</v>
      </c>
      <c r="O3004" s="2" t="s">
        <v>19</v>
      </c>
      <c r="P3004" s="2">
        <v>7000000</v>
      </c>
      <c r="Q3004" s="2">
        <v>4</v>
      </c>
      <c r="R3004" s="2" t="s">
        <v>5540</v>
      </c>
      <c r="S3004" s="2"/>
      <c r="AC3004" s="2"/>
      <c r="AD3004" t="str">
        <f>IFERROR(__xludf.DUMMYFUNCTION("""COMPUTED_VALUE"""),"Hamlet 2 ")</f>
        <v>Hamlet 2 </v>
      </c>
      <c r="AE3004">
        <f t="shared" si="76"/>
        <v>1530432</v>
      </c>
    </row>
    <row r="3005" customHeight="1" spans="1:31">
      <c r="A3005" s="2" t="s">
        <v>1091</v>
      </c>
      <c r="B3005" s="2">
        <v>92</v>
      </c>
      <c r="C3005" s="2">
        <v>14891000</v>
      </c>
      <c r="D3005" s="2" t="s">
        <v>40</v>
      </c>
      <c r="E3005" s="2" t="s">
        <v>40</v>
      </c>
      <c r="F3005" t="s">
        <v>56</v>
      </c>
      <c r="N3005" s="2" t="s">
        <v>18</v>
      </c>
      <c r="O3005" s="2" t="s">
        <v>19</v>
      </c>
      <c r="P3005" s="2">
        <v>7000000</v>
      </c>
      <c r="Q3005" s="2">
        <v>6.8</v>
      </c>
      <c r="R3005" s="2" t="s">
        <v>5541</v>
      </c>
      <c r="S3005" s="2"/>
      <c r="AC3005" s="2"/>
      <c r="AD3005" t="str">
        <f>IFERROR(__xludf.DUMMYFUNCTION("""COMPUTED_VALUE"""),"Glee: The 3D Concert Movie ")</f>
        <v>Glee: The 3D Concert Movie </v>
      </c>
      <c r="AE3005">
        <f t="shared" si="76"/>
        <v>4881775</v>
      </c>
    </row>
    <row r="3006" customHeight="1" spans="1:31">
      <c r="A3006" s="2" t="s">
        <v>2571</v>
      </c>
      <c r="B3006" s="2">
        <v>109</v>
      </c>
      <c r="C3006" s="2">
        <v>16901126</v>
      </c>
      <c r="D3006" s="2" t="s">
        <v>5542</v>
      </c>
      <c r="E3006" s="2" t="s">
        <v>56</v>
      </c>
      <c r="F3006" t="s">
        <v>23</v>
      </c>
      <c r="N3006" s="2" t="s">
        <v>18</v>
      </c>
      <c r="O3006" s="2" t="s">
        <v>19</v>
      </c>
      <c r="P3006" s="2">
        <v>7000000</v>
      </c>
      <c r="Q3006" s="2">
        <v>6.9</v>
      </c>
      <c r="R3006" s="2" t="s">
        <v>5543</v>
      </c>
      <c r="S3006" s="2"/>
      <c r="AC3006" s="2"/>
      <c r="AD3006" t="str">
        <f>IFERROR(__xludf.DUMMYFUNCTION("""COMPUTED_VALUE"""),"The Legend of Suriyothai ")</f>
        <v>The Legend of Suriyothai </v>
      </c>
      <c r="AE3006">
        <f t="shared" si="76"/>
        <v>11860755</v>
      </c>
    </row>
    <row r="3007" customHeight="1" spans="1:31">
      <c r="A3007" s="2" t="s">
        <v>2705</v>
      </c>
      <c r="B3007" s="2">
        <v>103</v>
      </c>
      <c r="C3007" s="2">
        <v>17474107</v>
      </c>
      <c r="D3007" s="2" t="s">
        <v>3855</v>
      </c>
      <c r="E3007" s="2" t="s">
        <v>40</v>
      </c>
      <c r="F3007" t="s">
        <v>30</v>
      </c>
      <c r="N3007" s="2" t="s">
        <v>18</v>
      </c>
      <c r="O3007" s="2" t="s">
        <v>19</v>
      </c>
      <c r="P3007" s="2">
        <v>7000000</v>
      </c>
      <c r="Q3007" s="2">
        <v>7.3</v>
      </c>
      <c r="R3007" s="2" t="s">
        <v>5544</v>
      </c>
      <c r="S3007" s="2"/>
      <c r="AC3007" s="2"/>
      <c r="AD3007" t="str">
        <f>IFERROR(__xludf.DUMMYFUNCTION("""COMPUTED_VALUE"""),"Two Evil Eyes ")</f>
        <v>Two Evil Eyes </v>
      </c>
      <c r="AE3007">
        <f t="shared" si="76"/>
        <v>453955</v>
      </c>
    </row>
    <row r="3008" customHeight="1" spans="1:31">
      <c r="A3008" s="2" t="s">
        <v>1679</v>
      </c>
      <c r="B3008" s="2">
        <v>95</v>
      </c>
      <c r="C3008" s="2">
        <v>14003141</v>
      </c>
      <c r="D3008" s="2" t="s">
        <v>805</v>
      </c>
      <c r="E3008" s="2" t="s">
        <v>56</v>
      </c>
      <c r="F3008" t="s">
        <v>24</v>
      </c>
      <c r="N3008" s="2" t="s">
        <v>18</v>
      </c>
      <c r="O3008" s="2" t="s">
        <v>19</v>
      </c>
      <c r="P3008" s="2">
        <v>7000000</v>
      </c>
      <c r="Q3008" s="2">
        <v>6.1</v>
      </c>
      <c r="R3008" s="2" t="s">
        <v>5545</v>
      </c>
      <c r="S3008" s="2"/>
      <c r="AC3008" s="2"/>
      <c r="AD3008" t="str">
        <f>IFERROR(__xludf.DUMMYFUNCTION("""COMPUTED_VALUE"""),"All or Nothing ")</f>
        <v>All or Nothing </v>
      </c>
      <c r="AE3008">
        <f t="shared" si="76"/>
        <v>349498</v>
      </c>
    </row>
    <row r="3009" customHeight="1" spans="1:31">
      <c r="A3009" s="2" t="s">
        <v>2571</v>
      </c>
      <c r="B3009" s="2">
        <v>105</v>
      </c>
      <c r="C3009" s="2">
        <v>12583510</v>
      </c>
      <c r="D3009" s="2" t="s">
        <v>72</v>
      </c>
      <c r="E3009" s="2" t="s">
        <v>72</v>
      </c>
      <c r="F3009" t="s">
        <v>30</v>
      </c>
      <c r="N3009" s="2" t="s">
        <v>18</v>
      </c>
      <c r="O3009" s="2" t="s">
        <v>19</v>
      </c>
      <c r="P3009" s="2">
        <v>7000000</v>
      </c>
      <c r="Q3009" s="2">
        <v>6</v>
      </c>
      <c r="R3009" s="2" t="s">
        <v>5546</v>
      </c>
      <c r="S3009" s="2"/>
      <c r="AC3009" s="2"/>
      <c r="AD3009" t="str">
        <f>IFERROR(__xludf.DUMMYFUNCTION("""COMPUTED_VALUE"""),"Princess Kaiulani ")</f>
        <v>Princess Kaiulani </v>
      </c>
      <c r="AE3009">
        <f t="shared" si="76"/>
        <v>112814</v>
      </c>
    </row>
    <row r="3010" customHeight="1" spans="1:31">
      <c r="A3010" s="2" t="s">
        <v>1628</v>
      </c>
      <c r="B3010" s="2">
        <v>106</v>
      </c>
      <c r="C3010" s="2">
        <v>9190525</v>
      </c>
      <c r="D3010" s="2" t="s">
        <v>975</v>
      </c>
      <c r="E3010" s="2" t="s">
        <v>40</v>
      </c>
      <c r="F3010" t="s">
        <v>17</v>
      </c>
      <c r="N3010" s="2" t="s">
        <v>18</v>
      </c>
      <c r="O3010" s="2" t="s">
        <v>19</v>
      </c>
      <c r="P3010" s="2">
        <v>7000000</v>
      </c>
      <c r="Q3010" s="2">
        <v>7</v>
      </c>
      <c r="R3010" s="2" t="s">
        <v>5547</v>
      </c>
      <c r="S3010" s="2"/>
      <c r="AC3010" s="2"/>
      <c r="AD3010" t="str">
        <f>IFERROR(__xludf.DUMMYFUNCTION("""COMPUTED_VALUE"""),"Opal Dream ")</f>
        <v>Opal Dream </v>
      </c>
      <c r="AE3010">
        <f t="shared" si="76"/>
        <v>883790</v>
      </c>
    </row>
    <row r="3011" customHeight="1" spans="1:31">
      <c r="A3011" s="2" t="s">
        <v>3253</v>
      </c>
      <c r="B3011" s="2">
        <v>100</v>
      </c>
      <c r="C3011" s="2">
        <v>9176553</v>
      </c>
      <c r="D3011" s="2" t="s">
        <v>3388</v>
      </c>
      <c r="E3011" s="2" t="s">
        <v>30</v>
      </c>
      <c r="F3011" t="s">
        <v>23</v>
      </c>
      <c r="N3011" s="2" t="s">
        <v>18</v>
      </c>
      <c r="O3011" s="2" t="s">
        <v>19</v>
      </c>
      <c r="P3011" s="2">
        <v>7500000</v>
      </c>
      <c r="Q3011" s="2">
        <v>7.1</v>
      </c>
      <c r="R3011" s="2" t="s">
        <v>5548</v>
      </c>
      <c r="S3011" s="2"/>
      <c r="AC3011" s="2"/>
      <c r="AD3011" t="str">
        <f>IFERROR(__xludf.DUMMYFUNCTION("""COMPUTED_VALUE"""),"Flame and Citron ")</f>
        <v>Flame and Citron </v>
      </c>
      <c r="AE3011">
        <f t="shared" si="76"/>
        <v>13665</v>
      </c>
    </row>
    <row r="3012" customHeight="1" spans="1:31">
      <c r="A3012" s="2" t="s">
        <v>1618</v>
      </c>
      <c r="B3012" s="2">
        <v>103</v>
      </c>
      <c r="C3012" s="2">
        <v>9094451</v>
      </c>
      <c r="D3012" s="2" t="s">
        <v>3756</v>
      </c>
      <c r="E3012" s="2" t="s">
        <v>12</v>
      </c>
      <c r="F3012" t="s">
        <v>17</v>
      </c>
      <c r="N3012" s="2" t="s">
        <v>18</v>
      </c>
      <c r="O3012" s="2" t="s">
        <v>19</v>
      </c>
      <c r="P3012" s="2">
        <v>7000000</v>
      </c>
      <c r="Q3012" s="2">
        <v>6.2</v>
      </c>
      <c r="R3012" s="2" t="s">
        <v>5549</v>
      </c>
      <c r="S3012" s="2"/>
      <c r="AC3012" s="2"/>
      <c r="AD3012" t="str">
        <f>IFERROR(__xludf.DUMMYFUNCTION("""COMPUTED_VALUE"""),"Undiscovered ")</f>
        <v>Undiscovered </v>
      </c>
      <c r="AE3012">
        <f t="shared" si="76"/>
        <v>145064</v>
      </c>
    </row>
    <row r="3013" customHeight="1" spans="1:31">
      <c r="A3013" s="2" t="s">
        <v>2586</v>
      </c>
      <c r="B3013" s="2">
        <v>116</v>
      </c>
      <c r="C3013" s="2">
        <v>14612840</v>
      </c>
      <c r="D3013" s="2" t="s">
        <v>2565</v>
      </c>
      <c r="E3013" s="2" t="s">
        <v>30</v>
      </c>
      <c r="F3013" t="s">
        <v>72</v>
      </c>
      <c r="N3013" s="2" t="s">
        <v>18</v>
      </c>
      <c r="O3013" s="2" t="s">
        <v>19</v>
      </c>
      <c r="P3013" s="2">
        <v>7000000</v>
      </c>
      <c r="Q3013" s="2">
        <v>6.9</v>
      </c>
      <c r="R3013" s="2" t="s">
        <v>5550</v>
      </c>
      <c r="S3013" s="2"/>
      <c r="AC3013" s="2"/>
      <c r="AD3013" t="str">
        <f>IFERROR(__xludf.DUMMYFUNCTION("""COMPUTED_VALUE"""),"Crocodile Dundee ")</f>
        <v>Crocodile Dundee </v>
      </c>
      <c r="AE3013">
        <f t="shared" si="76"/>
        <v>1046069</v>
      </c>
    </row>
    <row r="3014" customHeight="1" spans="1:31">
      <c r="A3014" s="2" t="s">
        <v>3255</v>
      </c>
      <c r="B3014" s="2">
        <v>99</v>
      </c>
      <c r="C3014" s="2">
        <v>9166863</v>
      </c>
      <c r="D3014" s="2" t="s">
        <v>103</v>
      </c>
      <c r="E3014" s="2" t="s">
        <v>30</v>
      </c>
      <c r="F3014" t="s">
        <v>17</v>
      </c>
      <c r="N3014" s="2" t="s">
        <v>18</v>
      </c>
      <c r="O3014" s="2" t="s">
        <v>19</v>
      </c>
      <c r="P3014" s="2">
        <v>7000000</v>
      </c>
      <c r="Q3014" s="2">
        <v>7.6</v>
      </c>
      <c r="R3014" s="2" t="s">
        <v>5551</v>
      </c>
      <c r="S3014" s="2"/>
      <c r="AC3014" s="2"/>
      <c r="AD3014" t="str">
        <f>IFERROR(__xludf.DUMMYFUNCTION("""COMPUTED_VALUE"""),"Awake ")</f>
        <v>Awake </v>
      </c>
      <c r="AE3014">
        <f t="shared" si="76"/>
        <v>174634907</v>
      </c>
    </row>
    <row r="3015" customHeight="1" spans="1:31">
      <c r="A3015" s="2" t="s">
        <v>196</v>
      </c>
      <c r="B3015" s="2">
        <v>164</v>
      </c>
      <c r="C3015" s="2">
        <v>8373585</v>
      </c>
      <c r="D3015" s="2" t="s">
        <v>30</v>
      </c>
      <c r="E3015" s="2" t="s">
        <v>30</v>
      </c>
      <c r="F3015" t="s">
        <v>24</v>
      </c>
      <c r="N3015" s="2" t="s">
        <v>18</v>
      </c>
      <c r="O3015" s="2" t="s">
        <v>19</v>
      </c>
      <c r="P3015" s="2">
        <v>7000000</v>
      </c>
      <c r="Q3015" s="2">
        <v>7.6</v>
      </c>
      <c r="R3015" s="2" t="s">
        <v>5552</v>
      </c>
      <c r="S3015" s="2"/>
      <c r="AC3015" s="2"/>
      <c r="AD3015" t="str">
        <f>IFERROR(__xludf.DUMMYFUNCTION("""COMPUTED_VALUE"""),"Skin Trade ")</f>
        <v>Skin Trade </v>
      </c>
      <c r="AE3015">
        <f t="shared" si="76"/>
        <v>14373741</v>
      </c>
    </row>
    <row r="3016" customHeight="1" spans="1:31">
      <c r="A3016" s="2" t="s">
        <v>3195</v>
      </c>
      <c r="B3016" s="2">
        <v>96</v>
      </c>
      <c r="C3016" s="2">
        <v>7292175</v>
      </c>
      <c r="D3016" s="2" t="s">
        <v>521</v>
      </c>
      <c r="E3016" s="2" t="s">
        <v>40</v>
      </c>
      <c r="F3016" t="s">
        <v>30</v>
      </c>
      <c r="N3016" s="2" t="s">
        <v>18</v>
      </c>
      <c r="O3016" s="2" t="s">
        <v>19</v>
      </c>
      <c r="P3016" s="2">
        <v>7000000</v>
      </c>
      <c r="Q3016" s="2">
        <v>6.4</v>
      </c>
      <c r="R3016" s="2" t="s">
        <v>5553</v>
      </c>
      <c r="S3016" s="2"/>
      <c r="AC3016" s="2"/>
      <c r="AD3016" t="str">
        <f>IFERROR(__xludf.DUMMYFUNCTION("""COMPUTED_VALUE"""),"Crazy Heart ")</f>
        <v>Crazy Heart </v>
      </c>
      <c r="AE3016">
        <f t="shared" si="76"/>
        <v>66</v>
      </c>
    </row>
    <row r="3017" customHeight="1" spans="1:31">
      <c r="A3017" s="2" t="s">
        <v>3258</v>
      </c>
      <c r="B3017" s="2">
        <v>122</v>
      </c>
      <c r="C3017" s="2">
        <v>6601079</v>
      </c>
      <c r="D3017" s="2" t="s">
        <v>1386</v>
      </c>
      <c r="E3017" s="2" t="s">
        <v>40</v>
      </c>
      <c r="F3017" t="s">
        <v>15</v>
      </c>
      <c r="N3017" s="2" t="s">
        <v>18</v>
      </c>
      <c r="O3017" s="2" t="s">
        <v>31</v>
      </c>
      <c r="P3017" s="2">
        <v>7000000</v>
      </c>
      <c r="Q3017" s="2">
        <v>6.2</v>
      </c>
      <c r="R3017" s="2" t="s">
        <v>5554</v>
      </c>
      <c r="S3017" s="2"/>
      <c r="AC3017" s="2"/>
      <c r="AD3017" t="str">
        <f>IFERROR(__xludf.DUMMYFUNCTION("""COMPUTED_VALUE"""),"The Rose ")</f>
        <v>The Rose </v>
      </c>
      <c r="AE3017">
        <f t="shared" si="76"/>
        <v>39462326</v>
      </c>
    </row>
    <row r="3018" customHeight="1" spans="1:31">
      <c r="A3018" s="2" t="s">
        <v>447</v>
      </c>
      <c r="B3018" s="2">
        <v>94</v>
      </c>
      <c r="C3018" s="2">
        <v>6165429</v>
      </c>
      <c r="D3018" s="2" t="s">
        <v>5555</v>
      </c>
      <c r="E3018" s="2" t="s">
        <v>13</v>
      </c>
      <c r="F3018" t="s">
        <v>72</v>
      </c>
      <c r="N3018" s="2" t="s">
        <v>847</v>
      </c>
      <c r="O3018" s="2" t="s">
        <v>159</v>
      </c>
      <c r="P3018" s="2">
        <v>6000000</v>
      </c>
      <c r="Q3018" s="2">
        <v>7.5</v>
      </c>
      <c r="R3018" s="2" t="s">
        <v>5556</v>
      </c>
      <c r="S3018" s="2"/>
      <c r="AC3018" s="2"/>
      <c r="AD3018" t="str">
        <f>IFERROR(__xludf.DUMMYFUNCTION("""COMPUTED_VALUE"""),"Baggage Claim ")</f>
        <v>Baggage Claim </v>
      </c>
      <c r="AE3018">
        <f t="shared" si="76"/>
        <v>29199875</v>
      </c>
    </row>
    <row r="3019" customHeight="1" spans="1:31">
      <c r="A3019" s="2" t="s">
        <v>2061</v>
      </c>
      <c r="B3019" s="2">
        <v>93</v>
      </c>
      <c r="C3019" s="2">
        <v>5694308</v>
      </c>
      <c r="D3019" s="2" t="s">
        <v>1581</v>
      </c>
      <c r="E3019" s="2" t="s">
        <v>40</v>
      </c>
      <c r="F3019" t="s">
        <v>56</v>
      </c>
      <c r="N3019" s="2" t="s">
        <v>18</v>
      </c>
      <c r="O3019" s="2" t="s">
        <v>19</v>
      </c>
      <c r="P3019" s="2">
        <v>7000000</v>
      </c>
      <c r="Q3019" s="2">
        <v>2</v>
      </c>
      <c r="R3019" s="2" t="s">
        <v>5557</v>
      </c>
      <c r="S3019" s="2"/>
      <c r="AC3019" s="2"/>
      <c r="AD3019" t="str">
        <f>IFERROR(__xludf.DUMMYFUNCTION("""COMPUTED_VALUE"""),"Election ")</f>
        <v>Election </v>
      </c>
      <c r="AE3019">
        <f t="shared" si="76"/>
        <v>21564520</v>
      </c>
    </row>
    <row r="3020" customHeight="1" spans="1:31">
      <c r="A3020" s="2" t="s">
        <v>3260</v>
      </c>
      <c r="B3020" s="2">
        <v>96</v>
      </c>
      <c r="C3020" s="2">
        <v>5430822</v>
      </c>
      <c r="D3020" s="2" t="s">
        <v>5558</v>
      </c>
      <c r="E3020" s="2" t="s">
        <v>12</v>
      </c>
      <c r="F3020" t="s">
        <v>30</v>
      </c>
      <c r="N3020" s="2" t="s">
        <v>18</v>
      </c>
      <c r="O3020" s="2" t="s">
        <v>31</v>
      </c>
      <c r="P3020" s="2">
        <v>7000000</v>
      </c>
      <c r="Q3020" s="2">
        <v>6.2</v>
      </c>
      <c r="R3020" s="2" t="s">
        <v>5559</v>
      </c>
      <c r="S3020" s="2"/>
      <c r="AC3020" s="2"/>
      <c r="AD3020" t="str">
        <f>IFERROR(__xludf.DUMMYFUNCTION("""COMPUTED_VALUE"""),"The DUFF ")</f>
        <v>The DUFF </v>
      </c>
      <c r="AE3020">
        <f t="shared" si="76"/>
        <v>14879453</v>
      </c>
    </row>
    <row r="3021" customHeight="1" spans="1:31">
      <c r="A3021" s="2" t="s">
        <v>3262</v>
      </c>
      <c r="B3021" s="2">
        <v>113</v>
      </c>
      <c r="C3021" s="2">
        <v>4720371</v>
      </c>
      <c r="D3021" s="2" t="s">
        <v>4464</v>
      </c>
      <c r="E3021" s="2" t="s">
        <v>13</v>
      </c>
      <c r="F3021" t="s">
        <v>28</v>
      </c>
      <c r="N3021" s="2" t="s">
        <v>18</v>
      </c>
      <c r="O3021" s="2" t="s">
        <v>19</v>
      </c>
      <c r="P3021" s="2">
        <v>7000000</v>
      </c>
      <c r="Q3021" s="2">
        <v>6.5</v>
      </c>
      <c r="R3021" s="2" t="s">
        <v>5560</v>
      </c>
      <c r="S3021" s="2"/>
      <c r="AC3021" s="2"/>
      <c r="AD3021" t="str">
        <f>IFERROR(__xludf.DUMMYFUNCTION("""COMPUTED_VALUE"""),"Glitter ")</f>
        <v>Glitter </v>
      </c>
      <c r="AE3021">
        <f t="shared" si="76"/>
        <v>34017753</v>
      </c>
    </row>
    <row r="3022" customHeight="1" spans="1:31">
      <c r="A3022" s="2" t="s">
        <v>3109</v>
      </c>
      <c r="B3022" s="2">
        <v>192</v>
      </c>
      <c r="C3022" s="2">
        <v>2921738</v>
      </c>
      <c r="D3022" s="2" t="s">
        <v>1109</v>
      </c>
      <c r="E3022" s="2" t="s">
        <v>30</v>
      </c>
      <c r="F3022" t="s">
        <v>28</v>
      </c>
      <c r="N3022" s="2" t="s">
        <v>5227</v>
      </c>
      <c r="O3022" s="2" t="s">
        <v>2888</v>
      </c>
      <c r="P3022" s="2">
        <v>7000000</v>
      </c>
      <c r="Q3022" s="2">
        <v>7.9</v>
      </c>
      <c r="R3022" s="2" t="s">
        <v>5561</v>
      </c>
      <c r="S3022" s="2"/>
      <c r="AC3022" s="2"/>
      <c r="AD3022" t="str">
        <f>IFERROR(__xludf.DUMMYFUNCTION("""COMPUTED_VALUE"""),"Bright Star ")</f>
        <v>Bright Star </v>
      </c>
      <c r="AE3022">
        <f t="shared" si="76"/>
        <v>4273268</v>
      </c>
    </row>
    <row r="3023" customHeight="1" spans="1:31">
      <c r="A3023" s="2" t="s">
        <v>671</v>
      </c>
      <c r="B3023" s="2">
        <v>99</v>
      </c>
      <c r="C3023" s="2">
        <v>2344847</v>
      </c>
      <c r="D3023" s="2" t="s">
        <v>1527</v>
      </c>
      <c r="E3023" s="2" t="s">
        <v>30</v>
      </c>
      <c r="F3023" t="s">
        <v>14</v>
      </c>
      <c r="N3023" s="2" t="s">
        <v>18</v>
      </c>
      <c r="O3023" s="2" t="s">
        <v>19</v>
      </c>
      <c r="P3023" s="2">
        <v>7000000</v>
      </c>
      <c r="Q3023" s="2">
        <v>6.8</v>
      </c>
      <c r="R3023" s="2" t="s">
        <v>5562</v>
      </c>
      <c r="S3023" s="2"/>
      <c r="AC3023" s="2"/>
      <c r="AD3023" t="str">
        <f>IFERROR(__xludf.DUMMYFUNCTION("""COMPUTED_VALUE"""),"My Name Is Khan ")</f>
        <v>My Name Is Khan </v>
      </c>
      <c r="AE3023">
        <f t="shared" si="76"/>
        <v>4439936</v>
      </c>
    </row>
    <row r="3024" customHeight="1" spans="1:31">
      <c r="A3024" s="2" t="s">
        <v>3034</v>
      </c>
      <c r="B3024" s="2">
        <v>91</v>
      </c>
      <c r="C3024" s="2">
        <v>7455447</v>
      </c>
      <c r="D3024" s="2" t="s">
        <v>521</v>
      </c>
      <c r="E3024" s="2" t="s">
        <v>40</v>
      </c>
      <c r="F3024" t="s">
        <v>30</v>
      </c>
      <c r="N3024" s="2" t="s">
        <v>18</v>
      </c>
      <c r="O3024" s="2" t="s">
        <v>19</v>
      </c>
      <c r="P3024" s="2">
        <v>7000000</v>
      </c>
      <c r="Q3024" s="2">
        <v>6.3</v>
      </c>
      <c r="R3024" s="2" t="s">
        <v>5563</v>
      </c>
      <c r="S3024" s="2"/>
      <c r="AC3024" s="2"/>
      <c r="AD3024" t="str">
        <f>IFERROR(__xludf.DUMMYFUNCTION("""COMPUTED_VALUE"""),"All Is Lost ")</f>
        <v>All Is Lost </v>
      </c>
      <c r="AE3024">
        <f t="shared" si="76"/>
        <v>4018567</v>
      </c>
    </row>
    <row r="3025" customHeight="1" spans="1:31">
      <c r="A3025" s="2" t="s">
        <v>3264</v>
      </c>
      <c r="B3025" s="2">
        <v>100</v>
      </c>
      <c r="C3025" s="2">
        <v>2148212</v>
      </c>
      <c r="D3025" s="2" t="s">
        <v>2984</v>
      </c>
      <c r="E3025" s="2" t="s">
        <v>30</v>
      </c>
      <c r="F3025" t="s">
        <v>14</v>
      </c>
      <c r="N3025" s="2" t="s">
        <v>18</v>
      </c>
      <c r="O3025" s="2" t="s">
        <v>19</v>
      </c>
      <c r="P3025" s="2">
        <v>7000000</v>
      </c>
      <c r="Q3025" s="2">
        <v>6.3</v>
      </c>
      <c r="R3025" s="2" t="s">
        <v>5564</v>
      </c>
      <c r="S3025" s="2"/>
      <c r="AC3025" s="2"/>
      <c r="AD3025" t="str">
        <f>IFERROR(__xludf.DUMMYFUNCTION("""COMPUTED_VALUE"""),"Limbo ")</f>
        <v>Limbo </v>
      </c>
      <c r="AE3025">
        <f t="shared" si="76"/>
        <v>6262836</v>
      </c>
    </row>
    <row r="3026" customHeight="1" spans="1:31">
      <c r="A3026" s="2" t="s">
        <v>3266</v>
      </c>
      <c r="B3026" s="2">
        <v>105</v>
      </c>
      <c r="C3026" s="2">
        <v>2062066</v>
      </c>
      <c r="D3026" s="2" t="s">
        <v>625</v>
      </c>
      <c r="E3026" s="2" t="s">
        <v>59</v>
      </c>
      <c r="F3026" t="s">
        <v>30</v>
      </c>
      <c r="N3026" s="2" t="s">
        <v>18</v>
      </c>
      <c r="O3026" s="2" t="s">
        <v>19</v>
      </c>
      <c r="P3026" s="2">
        <v>7000000</v>
      </c>
      <c r="Q3026" s="2">
        <v>6.6</v>
      </c>
      <c r="R3026" s="2" t="s">
        <v>5565</v>
      </c>
      <c r="S3026" s="2"/>
      <c r="AC3026" s="2"/>
      <c r="AD3026" t="str">
        <f>IFERROR(__xludf.DUMMYFUNCTION("""COMPUTED_VALUE"""),"Repo! The Genetic Opera ")</f>
        <v>Repo! The Genetic Opera </v>
      </c>
      <c r="AE3026">
        <f t="shared" si="76"/>
        <v>1997681</v>
      </c>
    </row>
    <row r="3027" customHeight="1" spans="1:31">
      <c r="A3027" s="2" t="s">
        <v>2808</v>
      </c>
      <c r="B3027" s="2">
        <v>99</v>
      </c>
      <c r="C3027" s="2">
        <v>1654367</v>
      </c>
      <c r="D3027" s="2" t="s">
        <v>562</v>
      </c>
      <c r="E3027" s="2" t="s">
        <v>59</v>
      </c>
      <c r="F3027" t="s">
        <v>56</v>
      </c>
      <c r="N3027" s="2" t="s">
        <v>18</v>
      </c>
      <c r="O3027" s="2" t="s">
        <v>19</v>
      </c>
      <c r="P3027" s="2">
        <v>7000000</v>
      </c>
      <c r="Q3027" s="2">
        <v>6.4</v>
      </c>
      <c r="R3027" s="2" t="s">
        <v>5566</v>
      </c>
      <c r="S3027" s="2"/>
      <c r="AC3027" s="2"/>
      <c r="AD3027" t="str">
        <f>IFERROR(__xludf.DUMMYFUNCTION("""COMPUTED_VALUE"""),"Pulp Fiction ")</f>
        <v>Pulp Fiction </v>
      </c>
      <c r="AE3027">
        <f t="shared" si="76"/>
        <v>140094</v>
      </c>
    </row>
    <row r="3028" customHeight="1" spans="1:31">
      <c r="A3028" s="2" t="s">
        <v>3268</v>
      </c>
      <c r="B3028" s="2">
        <v>112</v>
      </c>
      <c r="C3028" s="2">
        <v>1738692</v>
      </c>
      <c r="D3028" s="2" t="s">
        <v>1655</v>
      </c>
      <c r="E3028" s="2" t="s">
        <v>30</v>
      </c>
      <c r="F3028" t="s">
        <v>30</v>
      </c>
      <c r="N3028" s="2" t="s">
        <v>18</v>
      </c>
      <c r="O3028" s="2" t="s">
        <v>31</v>
      </c>
      <c r="P3028" s="2">
        <v>7000000</v>
      </c>
      <c r="Q3028" s="2">
        <v>7.5</v>
      </c>
      <c r="R3028" s="2" t="s">
        <v>5567</v>
      </c>
      <c r="S3028" s="2"/>
      <c r="AC3028" s="2"/>
      <c r="AD3028" t="str">
        <f>IFERROR(__xludf.DUMMYFUNCTION("""COMPUTED_VALUE"""),"Nightcrawler ")</f>
        <v>Nightcrawler </v>
      </c>
      <c r="AE3028">
        <f t="shared" si="76"/>
        <v>107929822</v>
      </c>
    </row>
    <row r="3029" customHeight="1" spans="1:31">
      <c r="A3029" s="2" t="s">
        <v>3270</v>
      </c>
      <c r="B3029" s="2">
        <v>99</v>
      </c>
      <c r="C3029" s="2">
        <v>1889522</v>
      </c>
      <c r="D3029" s="2" t="s">
        <v>1527</v>
      </c>
      <c r="E3029" s="2" t="s">
        <v>30</v>
      </c>
      <c r="F3029" t="s">
        <v>14</v>
      </c>
      <c r="N3029" s="2" t="s">
        <v>18</v>
      </c>
      <c r="O3029" s="2" t="s">
        <v>19</v>
      </c>
      <c r="P3029" s="2">
        <v>7000000</v>
      </c>
      <c r="Q3029" s="2">
        <v>6.5</v>
      </c>
      <c r="R3029" s="2" t="s">
        <v>5568</v>
      </c>
      <c r="S3029" s="2"/>
      <c r="AC3029" s="2"/>
      <c r="AD3029" t="str">
        <f>IFERROR(__xludf.DUMMYFUNCTION("""COMPUTED_VALUE"""),"Club Dread ")</f>
        <v>Club Dread </v>
      </c>
      <c r="AE3029">
        <f t="shared" si="76"/>
        <v>32279838</v>
      </c>
    </row>
    <row r="3030" customHeight="1" spans="1:31">
      <c r="A3030" s="2" t="s">
        <v>3234</v>
      </c>
      <c r="B3030" s="2">
        <v>125</v>
      </c>
      <c r="C3030" s="2">
        <v>1110286</v>
      </c>
      <c r="D3030" s="2" t="s">
        <v>103</v>
      </c>
      <c r="E3030" s="2" t="s">
        <v>30</v>
      </c>
      <c r="F3030" t="s">
        <v>83</v>
      </c>
      <c r="N3030" s="2" t="s">
        <v>18</v>
      </c>
      <c r="O3030" s="2" t="s">
        <v>19</v>
      </c>
      <c r="P3030" s="2">
        <v>4825000</v>
      </c>
      <c r="Q3030" s="2">
        <v>7.2</v>
      </c>
      <c r="R3030" s="2" t="s">
        <v>5569</v>
      </c>
      <c r="S3030" s="2"/>
      <c r="AC3030" s="2"/>
      <c r="AD3030" t="str">
        <f>IFERROR(__xludf.DUMMYFUNCTION("""COMPUTED_VALUE"""),"The Sound of Music ")</f>
        <v>The Sound of Music </v>
      </c>
      <c r="AE3030">
        <f t="shared" si="76"/>
        <v>4992040</v>
      </c>
    </row>
    <row r="3031" customHeight="1" spans="1:31">
      <c r="A3031" s="2" t="s">
        <v>3272</v>
      </c>
      <c r="B3031" s="2">
        <v>107</v>
      </c>
      <c r="C3031" s="2">
        <v>1000000</v>
      </c>
      <c r="D3031" s="2" t="s">
        <v>456</v>
      </c>
      <c r="E3031" s="2" t="s">
        <v>13</v>
      </c>
      <c r="F3031" t="s">
        <v>14</v>
      </c>
      <c r="N3031" s="2" t="s">
        <v>18</v>
      </c>
      <c r="O3031" s="2" t="s">
        <v>31</v>
      </c>
      <c r="P3031" s="2">
        <v>9000000</v>
      </c>
      <c r="Q3031" s="2">
        <v>6.3</v>
      </c>
      <c r="R3031" s="2" t="s">
        <v>5570</v>
      </c>
      <c r="S3031" s="2"/>
      <c r="AC3031" s="2"/>
      <c r="AD3031" t="str">
        <f>IFERROR(__xludf.DUMMYFUNCTION("""COMPUTED_VALUE"""),"Splash ")</f>
        <v>Splash </v>
      </c>
      <c r="AE3031">
        <f t="shared" si="76"/>
        <v>163214112</v>
      </c>
    </row>
    <row r="3032" customHeight="1" spans="1:31">
      <c r="A3032" s="2" t="s">
        <v>1583</v>
      </c>
      <c r="B3032" s="2">
        <v>107</v>
      </c>
      <c r="C3032" s="2">
        <v>700000</v>
      </c>
      <c r="D3032" s="2" t="s">
        <v>2851</v>
      </c>
      <c r="E3032" s="2" t="s">
        <v>40</v>
      </c>
      <c r="F3032" t="s">
        <v>24</v>
      </c>
      <c r="N3032" s="2" t="s">
        <v>1125</v>
      </c>
      <c r="O3032" s="2" t="s">
        <v>707</v>
      </c>
      <c r="P3032" s="2">
        <v>50000000</v>
      </c>
      <c r="Q3032" s="2">
        <v>7</v>
      </c>
      <c r="R3032" s="2" t="s">
        <v>5571</v>
      </c>
      <c r="S3032" s="2"/>
      <c r="AC3032" s="2"/>
      <c r="AD3032" t="str">
        <f>IFERROR(__xludf.DUMMYFUNCTION("""COMPUTED_VALUE"""),"Little Miss Sunshine ")</f>
        <v>Little Miss Sunshine </v>
      </c>
      <c r="AE3032">
        <f t="shared" si="76"/>
        <v>69799889</v>
      </c>
    </row>
    <row r="3033" customHeight="1" spans="1:31">
      <c r="A3033" s="2" t="s">
        <v>1556</v>
      </c>
      <c r="B3033" s="2">
        <v>97</v>
      </c>
      <c r="C3033" s="2">
        <v>1768416</v>
      </c>
      <c r="D3033" s="2" t="s">
        <v>975</v>
      </c>
      <c r="E3033" s="2" t="s">
        <v>40</v>
      </c>
      <c r="F3033" t="s">
        <v>56</v>
      </c>
      <c r="N3033" s="2" t="s">
        <v>18</v>
      </c>
      <c r="O3033" s="2" t="s">
        <v>19</v>
      </c>
      <c r="P3033" s="2">
        <v>7000000</v>
      </c>
      <c r="Q3033" s="2">
        <v>6.3</v>
      </c>
      <c r="R3033" s="2" t="s">
        <v>5572</v>
      </c>
      <c r="S3033" s="2"/>
      <c r="AC3033" s="2"/>
      <c r="AD3033" t="str">
        <f>IFERROR(__xludf.DUMMYFUNCTION("""COMPUTED_VALUE"""),"Stand by Me ")</f>
        <v>Stand by Me </v>
      </c>
      <c r="AE3033">
        <f t="shared" si="76"/>
        <v>59889847</v>
      </c>
    </row>
    <row r="3034" customHeight="1" spans="1:31">
      <c r="A3034" s="2" t="s">
        <v>3274</v>
      </c>
      <c r="B3034" s="2">
        <v>95</v>
      </c>
      <c r="C3034" s="2">
        <v>306715</v>
      </c>
      <c r="D3034" s="2" t="s">
        <v>40</v>
      </c>
      <c r="E3034" s="2" t="s">
        <v>40</v>
      </c>
      <c r="F3034" t="s">
        <v>30</v>
      </c>
      <c r="N3034" s="2" t="s">
        <v>18</v>
      </c>
      <c r="O3034" s="2" t="s">
        <v>19</v>
      </c>
      <c r="P3034" s="2">
        <v>10000000</v>
      </c>
      <c r="Q3034" s="2">
        <v>2.3</v>
      </c>
      <c r="R3034" s="2" t="s">
        <v>5573</v>
      </c>
      <c r="S3034" s="2"/>
      <c r="AC3034" s="2"/>
      <c r="AD3034" t="str">
        <f>IFERROR(__xludf.DUMMYFUNCTION("""COMPUTED_VALUE"""),"28 Days Later... ")</f>
        <v>28 Days Later... </v>
      </c>
      <c r="AE3034">
        <f t="shared" si="76"/>
        <v>52287325</v>
      </c>
    </row>
    <row r="3035" customHeight="1" spans="1:31">
      <c r="A3035" s="2" t="s">
        <v>3277</v>
      </c>
      <c r="B3035" s="2">
        <v>106</v>
      </c>
      <c r="C3035" s="2">
        <v>382946</v>
      </c>
      <c r="D3035" s="2" t="s">
        <v>30</v>
      </c>
      <c r="E3035" s="2" t="s">
        <v>30</v>
      </c>
      <c r="F3035" t="s">
        <v>72</v>
      </c>
      <c r="N3035" s="2" t="s">
        <v>18</v>
      </c>
      <c r="O3035" s="2" t="s">
        <v>19</v>
      </c>
      <c r="P3035" s="2">
        <v>7000000</v>
      </c>
      <c r="Q3035" s="2">
        <v>7.1</v>
      </c>
      <c r="R3035" s="2" t="s">
        <v>5574</v>
      </c>
      <c r="S3035" s="2"/>
      <c r="AC3035" s="2"/>
      <c r="AD3035" t="str">
        <f>IFERROR(__xludf.DUMMYFUNCTION("""COMPUTED_VALUE"""),"You Got Served ")</f>
        <v>You Got Served </v>
      </c>
      <c r="AE3035">
        <f t="shared" si="76"/>
        <v>45063776</v>
      </c>
    </row>
    <row r="3036" customHeight="1" spans="1:31">
      <c r="A3036" s="2" t="s">
        <v>1453</v>
      </c>
      <c r="B3036" s="2">
        <v>103</v>
      </c>
      <c r="C3036" s="2">
        <v>236266</v>
      </c>
      <c r="D3036" s="2" t="s">
        <v>2756</v>
      </c>
      <c r="E3036" s="2" t="s">
        <v>13</v>
      </c>
      <c r="F3036" t="s">
        <v>30</v>
      </c>
      <c r="N3036" s="2" t="s">
        <v>18</v>
      </c>
      <c r="O3036" s="2" t="s">
        <v>19</v>
      </c>
      <c r="P3036" s="2">
        <v>3500000</v>
      </c>
      <c r="Q3036" s="2">
        <v>6.2</v>
      </c>
      <c r="R3036" s="2" t="s">
        <v>5575</v>
      </c>
      <c r="S3036" s="2"/>
      <c r="AC3036" s="2"/>
      <c r="AD3036" t="str">
        <f>IFERROR(__xludf.DUMMYFUNCTION("""COMPUTED_VALUE"""),"Escape from Alcatraz ")</f>
        <v>Escape from Alcatraz </v>
      </c>
      <c r="AE3036">
        <f t="shared" si="76"/>
        <v>40066402</v>
      </c>
    </row>
    <row r="3037" customHeight="1" spans="1:31">
      <c r="A3037" s="2" t="s">
        <v>3279</v>
      </c>
      <c r="B3037" s="2">
        <v>96</v>
      </c>
      <c r="C3037" s="2">
        <v>196067</v>
      </c>
      <c r="D3037" s="2" t="s">
        <v>103</v>
      </c>
      <c r="E3037" s="2" t="s">
        <v>30</v>
      </c>
      <c r="F3037" t="s">
        <v>17</v>
      </c>
      <c r="N3037" s="2" t="s">
        <v>18</v>
      </c>
      <c r="O3037" s="2" t="s">
        <v>31</v>
      </c>
      <c r="P3037" s="2">
        <v>7000000</v>
      </c>
      <c r="Q3037" s="2">
        <v>6.7</v>
      </c>
      <c r="R3037" s="2" t="s">
        <v>5576</v>
      </c>
      <c r="S3037" s="2"/>
      <c r="AC3037" s="2"/>
      <c r="AD3037" t="str">
        <f>IFERROR(__xludf.DUMMYFUNCTION("""COMPUTED_VALUE"""),"Brown Sugar ")</f>
        <v>Brown Sugar </v>
      </c>
      <c r="AE3037">
        <f t="shared" si="76"/>
        <v>36499888</v>
      </c>
    </row>
    <row r="3038" customHeight="1" spans="1:31">
      <c r="A3038" s="2" t="s">
        <v>2972</v>
      </c>
      <c r="B3038" s="2">
        <v>103</v>
      </c>
      <c r="C3038" s="2">
        <v>532988</v>
      </c>
      <c r="D3038" s="2" t="s">
        <v>2624</v>
      </c>
      <c r="E3038" s="2" t="s">
        <v>59</v>
      </c>
      <c r="F3038" t="s">
        <v>17</v>
      </c>
      <c r="N3038" s="2" t="s">
        <v>18</v>
      </c>
      <c r="O3038" s="2" t="s">
        <v>19</v>
      </c>
      <c r="P3038" s="2">
        <v>7000000</v>
      </c>
      <c r="Q3038" s="2">
        <v>6.5</v>
      </c>
      <c r="R3038" s="2" t="s">
        <v>5577</v>
      </c>
      <c r="S3038" s="2"/>
      <c r="AC3038" s="2"/>
      <c r="AD3038" t="str">
        <f>IFERROR(__xludf.DUMMYFUNCTION("""COMPUTED_VALUE"""),"A Thin Line Between Love and Hate ")</f>
        <v>A Thin Line Between Love and Hate </v>
      </c>
      <c r="AE3038">
        <f t="shared" si="76"/>
        <v>27362603</v>
      </c>
    </row>
    <row r="3039" customHeight="1" spans="1:31">
      <c r="A3039" s="2" t="s">
        <v>3282</v>
      </c>
      <c r="B3039" s="2">
        <v>108</v>
      </c>
      <c r="C3039" s="2">
        <v>453079</v>
      </c>
      <c r="D3039" s="2" t="s">
        <v>40</v>
      </c>
      <c r="E3039" s="2" t="s">
        <v>40</v>
      </c>
      <c r="F3039" t="s">
        <v>30</v>
      </c>
      <c r="N3039" s="2" t="s">
        <v>18</v>
      </c>
      <c r="O3039" s="2" t="s">
        <v>19</v>
      </c>
      <c r="P3039" s="2">
        <v>7000000</v>
      </c>
      <c r="Q3039" s="2">
        <v>5.9</v>
      </c>
      <c r="R3039" s="2" t="s">
        <v>5578</v>
      </c>
      <c r="S3039" s="2"/>
      <c r="AC3039" s="2"/>
      <c r="AD3039" t="str">
        <f>IFERROR(__xludf.DUMMYFUNCTION("""COMPUTED_VALUE"""),"50/50 ")</f>
        <v>50/50 </v>
      </c>
      <c r="AE3039">
        <f t="shared" si="76"/>
        <v>34746001</v>
      </c>
    </row>
    <row r="3040" customHeight="1" spans="1:31">
      <c r="A3040" s="2" t="s">
        <v>3285</v>
      </c>
      <c r="B3040" s="2">
        <v>118</v>
      </c>
      <c r="C3040" s="2">
        <v>46451</v>
      </c>
      <c r="D3040" s="2" t="s">
        <v>2471</v>
      </c>
      <c r="E3040" s="2" t="s">
        <v>40</v>
      </c>
      <c r="F3040" t="s">
        <v>72</v>
      </c>
      <c r="N3040" s="2" t="s">
        <v>18</v>
      </c>
      <c r="O3040" s="2" t="s">
        <v>19</v>
      </c>
      <c r="P3040" s="2">
        <v>7000000</v>
      </c>
      <c r="Q3040" s="2">
        <v>6</v>
      </c>
      <c r="R3040" s="2" t="s">
        <v>5579</v>
      </c>
      <c r="S3040" s="2"/>
      <c r="AC3040" s="2"/>
      <c r="AD3040" t="str">
        <f>IFERROR(__xludf.DUMMYFUNCTION("""COMPUTED_VALUE"""),"Shutter ")</f>
        <v>Shutter </v>
      </c>
      <c r="AE3040">
        <f t="shared" si="76"/>
        <v>34963867</v>
      </c>
    </row>
    <row r="3041" customHeight="1" spans="1:31">
      <c r="A3041" s="2" t="s">
        <v>3288</v>
      </c>
      <c r="B3041" s="2">
        <v>97</v>
      </c>
      <c r="C3041" s="2">
        <v>233103</v>
      </c>
      <c r="D3041" s="2" t="s">
        <v>30</v>
      </c>
      <c r="E3041" s="2" t="s">
        <v>30</v>
      </c>
      <c r="F3041" t="s">
        <v>30</v>
      </c>
      <c r="N3041" s="2" t="s">
        <v>18</v>
      </c>
      <c r="O3041" s="2" t="s">
        <v>31</v>
      </c>
      <c r="P3041" s="2">
        <v>7000000</v>
      </c>
      <c r="Q3041" s="2">
        <v>6.9</v>
      </c>
      <c r="R3041" s="2" t="s">
        <v>5580</v>
      </c>
      <c r="S3041" s="2"/>
      <c r="AC3041" s="2"/>
      <c r="AD3041" t="str">
        <f>IFERROR(__xludf.DUMMYFUNCTION("""COMPUTED_VALUE"""),"That Awkward Moment ")</f>
        <v>That Awkward Moment </v>
      </c>
      <c r="AE3041">
        <f t="shared" si="76"/>
        <v>25926453</v>
      </c>
    </row>
    <row r="3042" customHeight="1" spans="1:31">
      <c r="A3042" s="2" t="s">
        <v>1000</v>
      </c>
      <c r="B3042" s="2">
        <v>115</v>
      </c>
      <c r="C3042" s="2">
        <v>41400000</v>
      </c>
      <c r="D3042" s="2" t="s">
        <v>71</v>
      </c>
      <c r="E3042" s="2" t="s">
        <v>71</v>
      </c>
      <c r="F3042" t="s">
        <v>28</v>
      </c>
      <c r="N3042" s="2" t="s">
        <v>18</v>
      </c>
      <c r="O3042" s="2" t="s">
        <v>19</v>
      </c>
      <c r="P3042" s="2">
        <v>6900000</v>
      </c>
      <c r="Q3042" s="2">
        <v>7.3</v>
      </c>
      <c r="R3042" s="2" t="s">
        <v>5581</v>
      </c>
      <c r="S3042" s="2"/>
      <c r="AC3042" s="2"/>
      <c r="AD3042" t="str">
        <f>IFERROR(__xludf.DUMMYFUNCTION("""COMPUTED_VALUE"""),"Much Ado About Nothing ")</f>
        <v>Much Ado About Nothing </v>
      </c>
      <c r="AE3042">
        <f t="shared" si="76"/>
        <v>26048988</v>
      </c>
    </row>
    <row r="3043" customHeight="1" spans="1:31">
      <c r="A3043" s="2" t="s">
        <v>1971</v>
      </c>
      <c r="B3043" s="2">
        <v>102</v>
      </c>
      <c r="C3043" s="2">
        <v>7993039</v>
      </c>
      <c r="D3043" s="2" t="s">
        <v>40</v>
      </c>
      <c r="E3043" s="2" t="s">
        <v>40</v>
      </c>
      <c r="F3043" t="s">
        <v>55</v>
      </c>
      <c r="N3043" s="2" t="s">
        <v>18</v>
      </c>
      <c r="O3043" s="2" t="s">
        <v>19</v>
      </c>
      <c r="P3043" s="2">
        <v>6900000</v>
      </c>
      <c r="Q3043" s="2">
        <v>7.7</v>
      </c>
      <c r="R3043" s="2" t="s">
        <v>5582</v>
      </c>
      <c r="S3043" s="2"/>
      <c r="AC3043" s="2"/>
      <c r="AD3043" t="str">
        <f>IFERROR(__xludf.DUMMYFUNCTION("""COMPUTED_VALUE"""),"On Her Majesty's Secret Service ")</f>
        <v>On Her Majesty's Secret Service </v>
      </c>
      <c r="AE3043">
        <f t="shared" si="76"/>
        <v>22550889</v>
      </c>
    </row>
    <row r="3044" customHeight="1" spans="1:31">
      <c r="A3044" s="2" t="s">
        <v>3290</v>
      </c>
      <c r="B3044" s="2">
        <v>125</v>
      </c>
      <c r="C3044" s="2">
        <v>927107</v>
      </c>
      <c r="D3044" s="2" t="s">
        <v>4674</v>
      </c>
      <c r="E3044" s="2" t="s">
        <v>59</v>
      </c>
      <c r="F3044" t="s">
        <v>30</v>
      </c>
      <c r="N3044" s="2" t="s">
        <v>4574</v>
      </c>
      <c r="O3044" s="2" t="s">
        <v>293</v>
      </c>
      <c r="P3044" s="2">
        <v>15000000</v>
      </c>
      <c r="Q3044" s="2">
        <v>7.3</v>
      </c>
      <c r="R3044" s="2" t="s">
        <v>5583</v>
      </c>
      <c r="S3044" s="2"/>
      <c r="AC3044" s="2"/>
      <c r="AD3044" t="str">
        <f>IFERROR(__xludf.DUMMYFUNCTION("""COMPUTED_VALUE"""),"New Nightmare ")</f>
        <v>New Nightmare </v>
      </c>
      <c r="AE3044">
        <f t="shared" si="76"/>
        <v>22799858</v>
      </c>
    </row>
    <row r="3045" customHeight="1" spans="1:31">
      <c r="A3045" s="2" t="s">
        <v>3292</v>
      </c>
      <c r="B3045" s="2">
        <v>108</v>
      </c>
      <c r="C3045" s="2">
        <v>49526</v>
      </c>
      <c r="D3045" s="2" t="s">
        <v>975</v>
      </c>
      <c r="E3045" s="2" t="s">
        <v>40</v>
      </c>
      <c r="F3045" t="s">
        <v>29</v>
      </c>
      <c r="N3045" s="2" t="s">
        <v>18</v>
      </c>
      <c r="O3045" s="2" t="s">
        <v>19</v>
      </c>
      <c r="P3045" s="2">
        <v>6800000</v>
      </c>
      <c r="Q3045" s="2">
        <v>7</v>
      </c>
      <c r="R3045" s="2" t="s">
        <v>5584</v>
      </c>
      <c r="S3045" s="2"/>
      <c r="AC3045" s="2"/>
      <c r="AD3045" t="str">
        <f>IFERROR(__xludf.DUMMYFUNCTION("""COMPUTED_VALUE"""),"Drive Me Crazy ")</f>
        <v>Drive Me Crazy </v>
      </c>
      <c r="AE3045">
        <f t="shared" si="76"/>
        <v>18090074</v>
      </c>
    </row>
    <row r="3046" customHeight="1" spans="1:31">
      <c r="A3046" s="2" t="s">
        <v>3294</v>
      </c>
      <c r="B3046" s="2">
        <v>101</v>
      </c>
      <c r="C3046" s="2">
        <v>10696</v>
      </c>
      <c r="D3046" s="2" t="s">
        <v>557</v>
      </c>
      <c r="E3046" s="2" t="s">
        <v>56</v>
      </c>
      <c r="F3046" t="s">
        <v>40</v>
      </c>
      <c r="N3046" s="2" t="s">
        <v>18</v>
      </c>
      <c r="O3046" s="2" t="s">
        <v>19</v>
      </c>
      <c r="P3046" s="2">
        <v>6800000</v>
      </c>
      <c r="Q3046" s="2">
        <v>6.4</v>
      </c>
      <c r="R3046" s="2" t="s">
        <v>5585</v>
      </c>
      <c r="S3046" s="2"/>
      <c r="AC3046" s="2"/>
      <c r="AD3046" t="str">
        <f>IFERROR(__xludf.DUMMYFUNCTION("""COMPUTED_VALUE"""),"Half Baked ")</f>
        <v>Half Baked </v>
      </c>
      <c r="AE3046">
        <f t="shared" si="76"/>
        <v>17843288</v>
      </c>
    </row>
    <row r="3047" customHeight="1" spans="1:31">
      <c r="A3047" s="2" t="s">
        <v>3296</v>
      </c>
      <c r="B3047" s="2">
        <v>101</v>
      </c>
      <c r="C3047" s="2">
        <v>31607598</v>
      </c>
      <c r="D3047" s="2" t="s">
        <v>1788</v>
      </c>
      <c r="E3047" s="2" t="s">
        <v>30</v>
      </c>
      <c r="F3047" t="s">
        <v>56</v>
      </c>
      <c r="N3047" s="2" t="s">
        <v>18</v>
      </c>
      <c r="O3047" s="2" t="s">
        <v>121</v>
      </c>
      <c r="P3047" s="2">
        <v>6900000</v>
      </c>
      <c r="Q3047" s="2">
        <v>5.6</v>
      </c>
      <c r="R3047" s="2" t="s">
        <v>5586</v>
      </c>
      <c r="S3047" s="2"/>
      <c r="AC3047" s="2"/>
      <c r="AD3047" t="str">
        <f>IFERROR(__xludf.DUMMYFUNCTION("""COMPUTED_VALUE"""),"New in Town ")</f>
        <v>New in Town </v>
      </c>
      <c r="AE3047">
        <f t="shared" si="76"/>
        <v>17278898</v>
      </c>
    </row>
    <row r="3048" customHeight="1" spans="1:31">
      <c r="A3048" s="2" t="s">
        <v>1388</v>
      </c>
      <c r="B3048" s="2">
        <v>139</v>
      </c>
      <c r="C3048" s="2">
        <v>6857096</v>
      </c>
      <c r="D3048" s="2" t="s">
        <v>5587</v>
      </c>
      <c r="E3048" s="2" t="s">
        <v>30</v>
      </c>
      <c r="F3048" t="s">
        <v>40</v>
      </c>
      <c r="N3048" s="2" t="s">
        <v>1125</v>
      </c>
      <c r="O3048" s="2" t="s">
        <v>121</v>
      </c>
      <c r="P3048" s="2">
        <v>6800000</v>
      </c>
      <c r="Q3048" s="2">
        <v>8.2</v>
      </c>
      <c r="R3048" s="2" t="s">
        <v>5588</v>
      </c>
      <c r="S3048" s="2"/>
      <c r="AC3048" s="2"/>
      <c r="AD3048" t="str">
        <f>IFERROR(__xludf.DUMMYFUNCTION("""COMPUTED_VALUE"""),"American Psycho ")</f>
        <v>American Psycho </v>
      </c>
      <c r="AE3048">
        <f t="shared" si="76"/>
        <v>16699587</v>
      </c>
    </row>
    <row r="3049" customHeight="1" spans="1:31">
      <c r="A3049" s="2" t="s">
        <v>1179</v>
      </c>
      <c r="B3049" s="2">
        <v>125</v>
      </c>
      <c r="C3049" s="2">
        <v>223878</v>
      </c>
      <c r="D3049" s="2" t="s">
        <v>521</v>
      </c>
      <c r="E3049" s="2" t="s">
        <v>40</v>
      </c>
      <c r="F3049" t="s">
        <v>30</v>
      </c>
      <c r="N3049" s="2" t="s">
        <v>4119</v>
      </c>
      <c r="O3049" s="2" t="s">
        <v>3655</v>
      </c>
      <c r="P3049" s="2">
        <v>5000000</v>
      </c>
      <c r="Q3049" s="2">
        <v>6.5</v>
      </c>
      <c r="R3049" s="2" t="s">
        <v>5589</v>
      </c>
      <c r="S3049" s="2"/>
      <c r="AC3049" s="2"/>
      <c r="AD3049" t="str">
        <f>IFERROR(__xludf.DUMMYFUNCTION("""COMPUTED_VALUE"""),"The Good Girl ")</f>
        <v>The Good Girl </v>
      </c>
      <c r="AE3049">
        <f t="shared" si="76"/>
        <v>15047317</v>
      </c>
    </row>
    <row r="3050" customHeight="1" spans="1:31">
      <c r="A3050" s="2" t="s">
        <v>515</v>
      </c>
      <c r="B3050" s="2">
        <v>115</v>
      </c>
      <c r="C3050" s="2">
        <v>8060</v>
      </c>
      <c r="D3050" s="2" t="s">
        <v>186</v>
      </c>
      <c r="E3050" s="2" t="s">
        <v>12</v>
      </c>
      <c r="F3050" t="s">
        <v>30</v>
      </c>
      <c r="N3050" s="2" t="s">
        <v>5590</v>
      </c>
      <c r="O3050" s="2" t="s">
        <v>5591</v>
      </c>
      <c r="P3050" s="2">
        <v>4000000</v>
      </c>
      <c r="Q3050" s="2">
        <v>8.1</v>
      </c>
      <c r="R3050" s="2" t="s">
        <v>5592</v>
      </c>
      <c r="S3050" s="2"/>
      <c r="AC3050" s="2"/>
      <c r="AD3050" t="str">
        <f>IFERROR(__xludf.DUMMYFUNCTION("""COMPUTED_VALUE"""),"The Boondock Saints II: All Saints Day ")</f>
        <v>The Boondock Saints II: All Saints Day </v>
      </c>
      <c r="AE3050">
        <f t="shared" si="76"/>
        <v>14015693</v>
      </c>
    </row>
    <row r="3051" customHeight="1" spans="1:31">
      <c r="A3051" s="2" t="s">
        <v>1838</v>
      </c>
      <c r="B3051" s="2">
        <v>99</v>
      </c>
      <c r="C3051" s="2">
        <v>84263837</v>
      </c>
      <c r="D3051" s="2" t="s">
        <v>2613</v>
      </c>
      <c r="E3051" s="2" t="s">
        <v>72</v>
      </c>
      <c r="F3051" t="s">
        <v>30</v>
      </c>
      <c r="N3051" s="2" t="s">
        <v>18</v>
      </c>
      <c r="O3051" s="2" t="s">
        <v>19</v>
      </c>
      <c r="P3051" s="2">
        <v>6500000</v>
      </c>
      <c r="Q3051" s="2">
        <v>5.4</v>
      </c>
      <c r="R3051" s="2" t="s">
        <v>5593</v>
      </c>
      <c r="S3051" s="2"/>
      <c r="AC3051" s="2"/>
      <c r="AD3051" t="str">
        <f>IFERROR(__xludf.DUMMYFUNCTION("""COMPUTED_VALUE"""),"Enough Said ")</f>
        <v>Enough Said </v>
      </c>
      <c r="AE3051">
        <f t="shared" si="76"/>
        <v>10269169</v>
      </c>
    </row>
    <row r="3052" customHeight="1" spans="1:31">
      <c r="A3052" s="2" t="s">
        <v>3298</v>
      </c>
      <c r="B3052" s="2">
        <v>88</v>
      </c>
      <c r="C3052" s="2">
        <v>110029</v>
      </c>
      <c r="D3052" s="2" t="s">
        <v>5594</v>
      </c>
      <c r="E3052" s="2" t="s">
        <v>40</v>
      </c>
      <c r="F3052" t="s">
        <v>30</v>
      </c>
      <c r="N3052" s="2" t="s">
        <v>18</v>
      </c>
      <c r="O3052" s="2" t="s">
        <v>159</v>
      </c>
      <c r="P3052" s="2">
        <v>6500000</v>
      </c>
      <c r="Q3052" s="2">
        <v>6.3</v>
      </c>
      <c r="R3052" s="2" t="s">
        <v>5595</v>
      </c>
      <c r="S3052" s="2"/>
      <c r="AC3052" s="2"/>
      <c r="AD3052" t="str">
        <f>IFERROR(__xludf.DUMMYFUNCTION("""COMPUTED_VALUE"""),"Easy A ")</f>
        <v>Easy A </v>
      </c>
      <c r="AE3052">
        <f t="shared" si="76"/>
        <v>17536695</v>
      </c>
    </row>
    <row r="3053" customHeight="1" spans="1:31">
      <c r="A3053" s="2" t="s">
        <v>859</v>
      </c>
      <c r="B3053" s="2">
        <v>112</v>
      </c>
      <c r="C3053" s="2">
        <v>57504069</v>
      </c>
      <c r="D3053" s="2" t="s">
        <v>718</v>
      </c>
      <c r="E3053" s="2" t="s">
        <v>56</v>
      </c>
      <c r="F3053" t="s">
        <v>14</v>
      </c>
      <c r="N3053" s="2" t="s">
        <v>18</v>
      </c>
      <c r="O3053" s="2" t="s">
        <v>19</v>
      </c>
      <c r="P3053" s="2">
        <v>6000000</v>
      </c>
      <c r="Q3053" s="2">
        <v>7.8</v>
      </c>
      <c r="R3053" s="2" t="s">
        <v>5596</v>
      </c>
      <c r="S3053" s="2"/>
      <c r="AC3053" s="2"/>
      <c r="AD3053" t="str">
        <f>IFERROR(__xludf.DUMMYFUNCTION("""COMPUTED_VALUE"""),"Shadow of the Vampire ")</f>
        <v>Shadow of the Vampire </v>
      </c>
      <c r="AE3053">
        <f t="shared" si="76"/>
        <v>58401372</v>
      </c>
    </row>
    <row r="3054" customHeight="1" spans="1:31">
      <c r="A3054" s="2" t="s">
        <v>3300</v>
      </c>
      <c r="B3054" s="2">
        <v>108</v>
      </c>
      <c r="C3054" s="2">
        <v>54215416</v>
      </c>
      <c r="D3054" s="2" t="s">
        <v>1747</v>
      </c>
      <c r="E3054" s="2" t="s">
        <v>59</v>
      </c>
      <c r="F3054" t="s">
        <v>28</v>
      </c>
      <c r="N3054" s="2" t="s">
        <v>18</v>
      </c>
      <c r="O3054" s="2" t="s">
        <v>19</v>
      </c>
      <c r="P3054" s="2">
        <v>6500000</v>
      </c>
      <c r="Q3054" s="2">
        <v>6.8</v>
      </c>
      <c r="R3054" s="2" t="s">
        <v>5597</v>
      </c>
      <c r="S3054" s="2"/>
      <c r="AC3054" s="2"/>
      <c r="AD3054" t="str">
        <f>IFERROR(__xludf.DUMMYFUNCTION("""COMPUTED_VALUE"""),"Prom ")</f>
        <v>Prom </v>
      </c>
      <c r="AE3054">
        <f t="shared" si="76"/>
        <v>8278925</v>
      </c>
    </row>
    <row r="3055" customHeight="1" spans="1:31">
      <c r="A3055" s="2" t="s">
        <v>733</v>
      </c>
      <c r="B3055" s="2">
        <v>104</v>
      </c>
      <c r="C3055" s="2">
        <v>31899000</v>
      </c>
      <c r="D3055" s="2" t="s">
        <v>5598</v>
      </c>
      <c r="E3055" s="2" t="s">
        <v>28</v>
      </c>
      <c r="F3055" t="s">
        <v>30</v>
      </c>
      <c r="N3055" s="2" t="s">
        <v>18</v>
      </c>
      <c r="O3055" s="2" t="s">
        <v>19</v>
      </c>
      <c r="P3055" s="2">
        <v>6500000</v>
      </c>
      <c r="Q3055" s="2">
        <v>7.1</v>
      </c>
      <c r="R3055" s="2" t="s">
        <v>5599</v>
      </c>
      <c r="S3055" s="2"/>
      <c r="AC3055" s="2"/>
      <c r="AD3055" t="str">
        <f>IFERROR(__xludf.DUMMYFUNCTION("""COMPUTED_VALUE"""),"Held Up ")</f>
        <v>Held Up </v>
      </c>
      <c r="AE3055">
        <f t="shared" si="76"/>
        <v>10106129</v>
      </c>
    </row>
    <row r="3056" customHeight="1" spans="1:31">
      <c r="A3056" s="2" t="s">
        <v>220</v>
      </c>
      <c r="B3056" s="2">
        <v>108</v>
      </c>
      <c r="C3056" s="2">
        <v>24103594</v>
      </c>
      <c r="D3056" s="2" t="s">
        <v>5600</v>
      </c>
      <c r="E3056" s="2" t="s">
        <v>13</v>
      </c>
      <c r="F3056" t="s">
        <v>30</v>
      </c>
      <c r="N3056" s="2" t="s">
        <v>18</v>
      </c>
      <c r="O3056" s="2" t="s">
        <v>19</v>
      </c>
      <c r="P3056" s="2">
        <v>6500000</v>
      </c>
      <c r="Q3056" s="2">
        <v>6.2</v>
      </c>
      <c r="R3056" s="2" t="s">
        <v>5601</v>
      </c>
      <c r="S3056" s="2"/>
      <c r="AC3056" s="2"/>
      <c r="AD3056" t="str">
        <f>IFERROR(__xludf.DUMMYFUNCTION("""COMPUTED_VALUE"""),"Woman on Top ")</f>
        <v>Woman on Top </v>
      </c>
      <c r="AE3056">
        <f t="shared" si="76"/>
        <v>4692725</v>
      </c>
    </row>
    <row r="3057" customHeight="1" spans="1:31">
      <c r="A3057" s="2" t="s">
        <v>216</v>
      </c>
      <c r="B3057" s="2">
        <v>102</v>
      </c>
      <c r="C3057" s="2">
        <v>16842303</v>
      </c>
      <c r="D3057" s="2" t="s">
        <v>383</v>
      </c>
      <c r="E3057" s="2" t="s">
        <v>40</v>
      </c>
      <c r="F3057" t="s">
        <v>28</v>
      </c>
      <c r="N3057" s="2" t="s">
        <v>18</v>
      </c>
      <c r="O3057" s="2" t="s">
        <v>19</v>
      </c>
      <c r="P3057" s="2">
        <v>6500000</v>
      </c>
      <c r="Q3057" s="2">
        <v>7.3</v>
      </c>
      <c r="R3057" s="2" t="s">
        <v>5602</v>
      </c>
      <c r="S3057" s="2"/>
      <c r="AC3057" s="2"/>
      <c r="AD3057" t="str">
        <f>IFERROR(__xludf.DUMMYFUNCTION("""COMPUTED_VALUE"""),"Anomalisa ")</f>
        <v>Anomalisa </v>
      </c>
      <c r="AE3057">
        <f t="shared" si="76"/>
        <v>5018358</v>
      </c>
    </row>
    <row r="3058" customHeight="1" spans="1:31">
      <c r="A3058" s="2" t="s">
        <v>3175</v>
      </c>
      <c r="B3058" s="2">
        <v>88</v>
      </c>
      <c r="C3058" s="2">
        <v>13367101</v>
      </c>
      <c r="D3058" s="2" t="s">
        <v>521</v>
      </c>
      <c r="E3058" s="2" t="s">
        <v>40</v>
      </c>
      <c r="F3058" t="s">
        <v>14</v>
      </c>
      <c r="N3058" s="2" t="s">
        <v>18</v>
      </c>
      <c r="O3058" s="2" t="s">
        <v>19</v>
      </c>
      <c r="P3058" s="2">
        <v>6500000</v>
      </c>
      <c r="Q3058" s="2">
        <v>5.9</v>
      </c>
      <c r="R3058" s="2" t="s">
        <v>5603</v>
      </c>
      <c r="S3058" s="2"/>
      <c r="AC3058" s="2"/>
      <c r="AD3058" t="str">
        <f>IFERROR(__xludf.DUMMYFUNCTION("""COMPUTED_VALUE"""),"Another Year ")</f>
        <v>Another Year </v>
      </c>
      <c r="AE3058">
        <f t="shared" si="76"/>
        <v>3442730</v>
      </c>
    </row>
    <row r="3059" customHeight="1" spans="1:31">
      <c r="A3059" s="2" t="s">
        <v>3302</v>
      </c>
      <c r="B3059" s="2">
        <v>91</v>
      </c>
      <c r="C3059" s="2">
        <v>10149779</v>
      </c>
      <c r="D3059" s="2" t="s">
        <v>1764</v>
      </c>
      <c r="E3059" s="2" t="s">
        <v>72</v>
      </c>
      <c r="F3059" t="s">
        <v>13</v>
      </c>
      <c r="N3059" s="2" t="s">
        <v>18</v>
      </c>
      <c r="O3059" s="2" t="s">
        <v>19</v>
      </c>
      <c r="P3059" s="2">
        <v>6500000</v>
      </c>
      <c r="Q3059" s="2">
        <v>3.6</v>
      </c>
      <c r="R3059" s="2" t="s">
        <v>5604</v>
      </c>
      <c r="S3059" s="2"/>
      <c r="AC3059" s="2"/>
      <c r="AD3059" t="str">
        <f>IFERROR(__xludf.DUMMYFUNCTION("""COMPUTED_VALUE"""),"8 Women ")</f>
        <v>8 Women </v>
      </c>
      <c r="AE3059">
        <f t="shared" si="76"/>
        <v>3205115</v>
      </c>
    </row>
    <row r="3060" customHeight="1" spans="1:31">
      <c r="A3060" s="2" t="s">
        <v>3304</v>
      </c>
      <c r="B3060" s="2">
        <v>141</v>
      </c>
      <c r="C3060" s="2">
        <v>6173485</v>
      </c>
      <c r="D3060" s="2" t="s">
        <v>562</v>
      </c>
      <c r="E3060" s="2" t="s">
        <v>59</v>
      </c>
      <c r="F3060" t="s">
        <v>55</v>
      </c>
      <c r="N3060" s="2" t="s">
        <v>18</v>
      </c>
      <c r="O3060" s="2" t="s">
        <v>293</v>
      </c>
      <c r="P3060" s="2">
        <v>7000000</v>
      </c>
      <c r="Q3060" s="2">
        <v>7.7</v>
      </c>
      <c r="R3060" s="2" t="s">
        <v>5605</v>
      </c>
      <c r="S3060" s="2"/>
      <c r="AC3060" s="2"/>
      <c r="AD3060" t="str">
        <f>IFERROR(__xludf.DUMMYFUNCTION("""COMPUTED_VALUE"""),"Showdown in Little Tokyo ")</f>
        <v>Showdown in Little Tokyo </v>
      </c>
      <c r="AE3060">
        <f t="shared" si="76"/>
        <v>3076314</v>
      </c>
    </row>
    <row r="3061" customHeight="1" spans="1:31">
      <c r="A3061" s="2" t="s">
        <v>2209</v>
      </c>
      <c r="B3061" s="2">
        <v>101</v>
      </c>
      <c r="C3061" s="2">
        <v>4000304</v>
      </c>
      <c r="D3061" s="2" t="s">
        <v>30</v>
      </c>
      <c r="E3061" s="2" t="s">
        <v>30</v>
      </c>
      <c r="F3061" t="s">
        <v>30</v>
      </c>
      <c r="N3061" s="2" t="s">
        <v>18</v>
      </c>
      <c r="O3061" s="2" t="s">
        <v>31</v>
      </c>
      <c r="P3061" s="2">
        <v>6500000</v>
      </c>
      <c r="Q3061" s="2">
        <v>7.3</v>
      </c>
      <c r="R3061" s="2" t="s">
        <v>5606</v>
      </c>
      <c r="S3061" s="2"/>
      <c r="AC3061" s="2"/>
      <c r="AD3061" t="str">
        <f>IFERROR(__xludf.DUMMYFUNCTION("""COMPUTED_VALUE"""),"Clay Pigeons ")</f>
        <v>Clay Pigeons </v>
      </c>
      <c r="AE3061">
        <f t="shared" si="76"/>
        <v>2275478</v>
      </c>
    </row>
    <row r="3062" customHeight="1" spans="1:31">
      <c r="A3062" s="2" t="s">
        <v>268</v>
      </c>
      <c r="B3062" s="2">
        <v>105</v>
      </c>
      <c r="C3062" s="2">
        <v>2338695</v>
      </c>
      <c r="D3062" s="2" t="s">
        <v>805</v>
      </c>
      <c r="E3062" s="2" t="s">
        <v>56</v>
      </c>
      <c r="F3062" t="s">
        <v>17</v>
      </c>
      <c r="N3062" s="2" t="s">
        <v>18</v>
      </c>
      <c r="O3062" s="2" t="s">
        <v>31</v>
      </c>
      <c r="P3062" s="2">
        <v>4000000</v>
      </c>
      <c r="Q3062" s="2">
        <v>7.4</v>
      </c>
      <c r="R3062" s="2" t="s">
        <v>5607</v>
      </c>
      <c r="S3062" s="2"/>
      <c r="AC3062" s="2"/>
      <c r="AD3062" t="str">
        <f>IFERROR(__xludf.DUMMYFUNCTION("""COMPUTED_VALUE"""),"It's Kind of a Funny Story ")</f>
        <v>It's Kind of a Funny Story </v>
      </c>
      <c r="AE3062">
        <f t="shared" si="76"/>
        <v>1789788</v>
      </c>
    </row>
    <row r="3063" customHeight="1" spans="1:31">
      <c r="A3063" s="2" t="s">
        <v>3306</v>
      </c>
      <c r="B3063" s="2">
        <v>100</v>
      </c>
      <c r="C3063" s="2">
        <v>2024854</v>
      </c>
      <c r="D3063" s="2" t="s">
        <v>641</v>
      </c>
      <c r="E3063" s="2" t="s">
        <v>30</v>
      </c>
      <c r="F3063" t="s">
        <v>30</v>
      </c>
      <c r="N3063" s="2" t="s">
        <v>18</v>
      </c>
      <c r="O3063" s="2" t="s">
        <v>19</v>
      </c>
      <c r="P3063" s="2">
        <v>6500000</v>
      </c>
      <c r="Q3063" s="2">
        <v>6.6</v>
      </c>
      <c r="R3063" s="2" t="s">
        <v>5608</v>
      </c>
      <c r="S3063" s="2"/>
      <c r="AC3063" s="2"/>
      <c r="AD3063" t="str">
        <f>IFERROR(__xludf.DUMMYFUNCTION("""COMPUTED_VALUE"""),"Made in Dagenham ")</f>
        <v>Made in Dagenham </v>
      </c>
      <c r="AE3063">
        <f t="shared" ref="AE3063:AE3126" si="77">C2947-B2947</f>
        <v>6349957</v>
      </c>
    </row>
    <row r="3064" customHeight="1" spans="1:31">
      <c r="A3064" s="2" t="s">
        <v>3309</v>
      </c>
      <c r="B3064" s="2">
        <v>116</v>
      </c>
      <c r="C3064" s="2">
        <v>2268296</v>
      </c>
      <c r="D3064" s="2" t="s">
        <v>1655</v>
      </c>
      <c r="E3064" s="2" t="s">
        <v>30</v>
      </c>
      <c r="F3064" t="s">
        <v>40</v>
      </c>
      <c r="N3064" s="2" t="s">
        <v>18</v>
      </c>
      <c r="O3064" s="2" t="s">
        <v>31</v>
      </c>
      <c r="P3064" s="2">
        <v>6500000</v>
      </c>
      <c r="Q3064" s="2">
        <v>6.9</v>
      </c>
      <c r="R3064" s="2" t="s">
        <v>5609</v>
      </c>
      <c r="S3064" s="2"/>
      <c r="AC3064" s="2"/>
      <c r="AD3064" t="str">
        <f>IFERROR(__xludf.DUMMYFUNCTION("""COMPUTED_VALUE"""),"When Did You Last See Your Father? ")</f>
        <v>When Did You Last See Your Father? </v>
      </c>
      <c r="AE3064">
        <f t="shared" si="77"/>
        <v>1094685</v>
      </c>
    </row>
    <row r="3065" customHeight="1" spans="1:31">
      <c r="A3065" s="2" t="s">
        <v>2594</v>
      </c>
      <c r="B3065" s="2">
        <v>97</v>
      </c>
      <c r="C3065" s="2">
        <v>1029017</v>
      </c>
      <c r="D3065" s="2" t="s">
        <v>103</v>
      </c>
      <c r="E3065" s="2" t="s">
        <v>30</v>
      </c>
      <c r="F3065" t="s">
        <v>59</v>
      </c>
      <c r="N3065" s="2" t="s">
        <v>18</v>
      </c>
      <c r="O3065" s="2" t="s">
        <v>19</v>
      </c>
      <c r="P3065" s="2">
        <v>6500000</v>
      </c>
      <c r="Q3065" s="2">
        <v>6.8</v>
      </c>
      <c r="R3065" s="2" t="s">
        <v>5610</v>
      </c>
      <c r="S3065" s="2"/>
      <c r="AC3065" s="2"/>
      <c r="AD3065" t="str">
        <f>IFERROR(__xludf.DUMMYFUNCTION("""COMPUTED_VALUE"""),"Prefontaine ")</f>
        <v>Prefontaine </v>
      </c>
      <c r="AE3065">
        <f t="shared" si="77"/>
        <v>1071148</v>
      </c>
    </row>
    <row r="3066" customHeight="1" spans="1:31">
      <c r="A3066" s="2" t="s">
        <v>3312</v>
      </c>
      <c r="B3066" s="2">
        <v>106</v>
      </c>
      <c r="C3066" s="2">
        <v>64148</v>
      </c>
      <c r="D3066" s="2" t="s">
        <v>30</v>
      </c>
      <c r="E3066" s="2" t="s">
        <v>30</v>
      </c>
      <c r="F3066" t="s">
        <v>30</v>
      </c>
      <c r="N3066" s="2" t="s">
        <v>18</v>
      </c>
      <c r="O3066" s="2" t="s">
        <v>31</v>
      </c>
      <c r="P3066" s="2">
        <v>6500000</v>
      </c>
      <c r="Q3066" s="2">
        <v>7.3</v>
      </c>
      <c r="R3066" s="2" t="s">
        <v>5611</v>
      </c>
      <c r="S3066" s="2"/>
      <c r="AC3066" s="2"/>
      <c r="AD3066" t="str">
        <f>IFERROR(__xludf.DUMMYFUNCTION("""COMPUTED_VALUE"""),"The Secret of Kells ")</f>
        <v>The Secret of Kells </v>
      </c>
      <c r="AE3066">
        <f t="shared" si="77"/>
        <v>532084</v>
      </c>
    </row>
    <row r="3067" customHeight="1" spans="1:31">
      <c r="A3067" s="2" t="s">
        <v>3315</v>
      </c>
      <c r="B3067" s="2">
        <v>105</v>
      </c>
      <c r="C3067" s="2">
        <v>66637</v>
      </c>
      <c r="D3067" s="2" t="s">
        <v>3062</v>
      </c>
      <c r="E3067" s="2" t="s">
        <v>30</v>
      </c>
      <c r="F3067" t="s">
        <v>30</v>
      </c>
      <c r="N3067" s="2" t="s">
        <v>18</v>
      </c>
      <c r="O3067" s="2" t="s">
        <v>19</v>
      </c>
      <c r="P3067" s="2">
        <v>6500000</v>
      </c>
      <c r="Q3067" s="2">
        <v>7.2</v>
      </c>
      <c r="R3067" s="2" t="s">
        <v>5612</v>
      </c>
      <c r="S3067" s="2"/>
      <c r="AC3067" s="2"/>
      <c r="AD3067" t="str">
        <f>IFERROR(__xludf.DUMMYFUNCTION("""COMPUTED_VALUE"""),"Begin Again ")</f>
        <v>Begin Again </v>
      </c>
      <c r="AE3067">
        <f t="shared" si="77"/>
        <v>686308</v>
      </c>
    </row>
    <row r="3068" customHeight="1" spans="1:31">
      <c r="A3068" s="2" t="s">
        <v>2234</v>
      </c>
      <c r="B3068" s="2">
        <v>122</v>
      </c>
      <c r="C3068" s="2">
        <v>871577</v>
      </c>
      <c r="D3068" s="2" t="s">
        <v>1747</v>
      </c>
      <c r="E3068" s="2" t="s">
        <v>59</v>
      </c>
      <c r="F3068" t="s">
        <v>83</v>
      </c>
      <c r="N3068" s="2" t="s">
        <v>18</v>
      </c>
      <c r="O3068" s="2" t="s">
        <v>31</v>
      </c>
      <c r="P3068" s="2">
        <v>4500000</v>
      </c>
      <c r="Q3068" s="2">
        <v>7.7</v>
      </c>
      <c r="R3068" s="2" t="s">
        <v>5613</v>
      </c>
      <c r="S3068" s="2"/>
      <c r="AC3068" s="2"/>
      <c r="AD3068" t="str">
        <f>IFERROR(__xludf.DUMMYFUNCTION("""COMPUTED_VALUE"""),"Down in the Valley ")</f>
        <v>Down in the Valley </v>
      </c>
      <c r="AE3068">
        <f t="shared" si="77"/>
        <v>16168637</v>
      </c>
    </row>
    <row r="3069" customHeight="1" spans="1:31">
      <c r="A3069" s="2" t="s">
        <v>10</v>
      </c>
      <c r="B3069" s="2">
        <v>107</v>
      </c>
      <c r="C3069" s="2">
        <v>38400000</v>
      </c>
      <c r="D3069" s="2" t="s">
        <v>256</v>
      </c>
      <c r="E3069" s="2" t="s">
        <v>12</v>
      </c>
      <c r="F3069" t="s">
        <v>30</v>
      </c>
      <c r="N3069" s="2" t="s">
        <v>18</v>
      </c>
      <c r="O3069" s="2" t="s">
        <v>31</v>
      </c>
      <c r="P3069" s="2">
        <v>6500000</v>
      </c>
      <c r="Q3069" s="2">
        <v>8.1</v>
      </c>
      <c r="R3069" s="2" t="s">
        <v>5614</v>
      </c>
      <c r="S3069" s="2"/>
      <c r="AC3069" s="2"/>
      <c r="AD3069" t="str">
        <f>IFERROR(__xludf.DUMMYFUNCTION("""COMPUTED_VALUE"""),"Brooklyn Rules ")</f>
        <v>Brooklyn Rules </v>
      </c>
      <c r="AE3069">
        <f t="shared" si="77"/>
        <v>568587</v>
      </c>
    </row>
    <row r="3070" customHeight="1" spans="1:31">
      <c r="A3070" s="2" t="s">
        <v>3317</v>
      </c>
      <c r="B3070" s="2">
        <v>121</v>
      </c>
      <c r="C3070" s="2">
        <v>4063859</v>
      </c>
      <c r="D3070" s="2" t="s">
        <v>103</v>
      </c>
      <c r="E3070" s="2" t="s">
        <v>30</v>
      </c>
      <c r="F3070" t="s">
        <v>83</v>
      </c>
      <c r="N3070" s="2" t="s">
        <v>4574</v>
      </c>
      <c r="O3070" s="2" t="s">
        <v>293</v>
      </c>
      <c r="P3070" s="2">
        <v>4800000</v>
      </c>
      <c r="Q3070" s="2">
        <v>7.7</v>
      </c>
      <c r="R3070" s="2" t="s">
        <v>5615</v>
      </c>
      <c r="S3070" s="2"/>
      <c r="AC3070" s="2"/>
      <c r="AD3070" t="str">
        <f>IFERROR(__xludf.DUMMYFUNCTION("""COMPUTED_VALUE"""),"The Singing Detective ")</f>
        <v>The Singing Detective </v>
      </c>
      <c r="AE3070">
        <f t="shared" si="77"/>
        <v>398321</v>
      </c>
    </row>
    <row r="3071" customHeight="1" spans="1:31">
      <c r="A3071" s="2" t="s">
        <v>992</v>
      </c>
      <c r="B3071" s="2">
        <v>98</v>
      </c>
      <c r="C3071" s="2">
        <v>449558</v>
      </c>
      <c r="D3071" s="2" t="s">
        <v>592</v>
      </c>
      <c r="E3071" s="2" t="s">
        <v>59</v>
      </c>
      <c r="F3071" t="s">
        <v>17</v>
      </c>
      <c r="N3071" s="2" t="s">
        <v>18</v>
      </c>
      <c r="O3071" s="2" t="s">
        <v>31</v>
      </c>
      <c r="P3071" s="2">
        <v>10000000</v>
      </c>
      <c r="Q3071" s="2">
        <v>7.6</v>
      </c>
      <c r="R3071" s="2" t="s">
        <v>5616</v>
      </c>
      <c r="S3071" s="2"/>
      <c r="AC3071" s="2"/>
      <c r="AD3071" t="str">
        <f>IFERROR(__xludf.DUMMYFUNCTION("""COMPUTED_VALUE"""),"Fido ")</f>
        <v>Fido </v>
      </c>
      <c r="AE3071">
        <f t="shared" si="77"/>
        <v>336347</v>
      </c>
    </row>
    <row r="3072" customHeight="1" spans="1:31">
      <c r="A3072" s="2" t="s">
        <v>1632</v>
      </c>
      <c r="B3072" s="2">
        <v>123</v>
      </c>
      <c r="C3072" s="2">
        <v>2122561</v>
      </c>
      <c r="D3072" s="2" t="s">
        <v>607</v>
      </c>
      <c r="E3072" s="2" t="s">
        <v>40</v>
      </c>
      <c r="F3072" t="s">
        <v>17</v>
      </c>
      <c r="N3072" s="2" t="s">
        <v>18</v>
      </c>
      <c r="O3072" s="2" t="s">
        <v>19</v>
      </c>
      <c r="P3072" s="2">
        <v>6000000</v>
      </c>
      <c r="Q3072" s="2">
        <v>7.2</v>
      </c>
      <c r="R3072" s="2" t="s">
        <v>5617</v>
      </c>
      <c r="S3072" s="2"/>
      <c r="AC3072" s="2"/>
      <c r="AD3072" t="str">
        <f>IFERROR(__xludf.DUMMYFUNCTION("""COMPUTED_VALUE"""),"The Wendell Baker Story ")</f>
        <v>The Wendell Baker Story </v>
      </c>
      <c r="AE3072">
        <f t="shared" si="77"/>
        <v>298017</v>
      </c>
    </row>
    <row r="3073" customHeight="1" spans="1:31">
      <c r="A3073" s="2" t="s">
        <v>2703</v>
      </c>
      <c r="B3073" s="2">
        <v>110</v>
      </c>
      <c r="C3073" s="2">
        <v>181360000</v>
      </c>
      <c r="D3073" s="2" t="s">
        <v>5618</v>
      </c>
      <c r="E3073" s="2" t="s">
        <v>16</v>
      </c>
      <c r="F3073" t="s">
        <v>30</v>
      </c>
      <c r="N3073" s="2" t="s">
        <v>18</v>
      </c>
      <c r="O3073" s="2" t="s">
        <v>19</v>
      </c>
      <c r="P3073" s="2">
        <v>6000000</v>
      </c>
      <c r="Q3073" s="2">
        <v>7.2</v>
      </c>
      <c r="R3073" s="2" t="s">
        <v>5619</v>
      </c>
      <c r="S3073" s="2"/>
      <c r="AC3073" s="2"/>
      <c r="AD3073" t="str">
        <f>IFERROR(__xludf.DUMMYFUNCTION("""COMPUTED_VALUE"""),"Wild Target ")</f>
        <v>Wild Target </v>
      </c>
      <c r="AE3073">
        <f t="shared" si="77"/>
        <v>127045</v>
      </c>
    </row>
    <row r="3074" customHeight="1" spans="1:31">
      <c r="A3074" s="2" t="s">
        <v>291</v>
      </c>
      <c r="B3074" s="2">
        <v>120</v>
      </c>
      <c r="C3074" s="2">
        <v>137963328</v>
      </c>
      <c r="D3074" s="2" t="s">
        <v>1354</v>
      </c>
      <c r="E3074" s="2" t="s">
        <v>30</v>
      </c>
      <c r="F3074" t="s">
        <v>30</v>
      </c>
      <c r="N3074" s="2" t="s">
        <v>18</v>
      </c>
      <c r="O3074" s="2" t="s">
        <v>31</v>
      </c>
      <c r="P3074" s="2">
        <v>6000000</v>
      </c>
      <c r="Q3074" s="2">
        <v>8.1</v>
      </c>
      <c r="R3074" s="2" t="s">
        <v>5620</v>
      </c>
      <c r="S3074" s="2"/>
      <c r="AC3074" s="2"/>
      <c r="AD3074" t="str">
        <f>IFERROR(__xludf.DUMMYFUNCTION("""COMPUTED_VALUE"""),"Pathology ")</f>
        <v>Pathology </v>
      </c>
      <c r="AE3074">
        <f t="shared" si="77"/>
        <v>117092</v>
      </c>
    </row>
    <row r="3075" customHeight="1" spans="1:31">
      <c r="A3075" s="2" t="s">
        <v>3116</v>
      </c>
      <c r="B3075" s="2">
        <v>122</v>
      </c>
      <c r="C3075" s="2">
        <v>119078393</v>
      </c>
      <c r="D3075" s="2" t="s">
        <v>5621</v>
      </c>
      <c r="E3075" s="2" t="s">
        <v>65</v>
      </c>
      <c r="F3075" t="s">
        <v>13</v>
      </c>
      <c r="N3075" s="2" t="s">
        <v>18</v>
      </c>
      <c r="O3075" s="2" t="s">
        <v>19</v>
      </c>
      <c r="P3075" s="2">
        <v>6000000</v>
      </c>
      <c r="Q3075" s="2">
        <v>7.5</v>
      </c>
      <c r="R3075" s="2" t="s">
        <v>5622</v>
      </c>
      <c r="S3075" s="2"/>
      <c r="AC3075" s="2"/>
      <c r="AD3075" t="str">
        <f>IFERROR(__xludf.DUMMYFUNCTION("""COMPUTED_VALUE"""),"10th &amp; Wolf ")</f>
        <v>10th &amp; Wolf </v>
      </c>
      <c r="AE3075">
        <f t="shared" si="77"/>
        <v>108567</v>
      </c>
    </row>
    <row r="3076" customHeight="1" spans="1:31">
      <c r="A3076" s="2" t="s">
        <v>3319</v>
      </c>
      <c r="B3076" s="2">
        <v>110</v>
      </c>
      <c r="C3076" s="2">
        <v>102308900</v>
      </c>
      <c r="D3076" s="2" t="s">
        <v>5623</v>
      </c>
      <c r="E3076" s="2" t="s">
        <v>59</v>
      </c>
      <c r="F3076" t="s">
        <v>65</v>
      </c>
      <c r="N3076" s="2" t="s">
        <v>18</v>
      </c>
      <c r="O3076" s="2" t="s">
        <v>19</v>
      </c>
      <c r="P3076" s="2">
        <v>6000000</v>
      </c>
      <c r="Q3076" s="2">
        <v>8.1</v>
      </c>
      <c r="R3076" s="2" t="s">
        <v>5624</v>
      </c>
      <c r="S3076" s="2"/>
      <c r="AC3076" s="2"/>
      <c r="AD3076" t="str">
        <f>IFERROR(__xludf.DUMMYFUNCTION("""COMPUTED_VALUE"""),"Dear Wendy ")</f>
        <v>Dear Wendy </v>
      </c>
      <c r="AE3076">
        <f t="shared" si="77"/>
        <v>53374</v>
      </c>
    </row>
    <row r="3077" customHeight="1" spans="1:31">
      <c r="A3077" s="2" t="s">
        <v>3321</v>
      </c>
      <c r="B3077" s="2">
        <v>139</v>
      </c>
      <c r="C3077" s="2">
        <v>102300000</v>
      </c>
      <c r="D3077" s="2" t="s">
        <v>5625</v>
      </c>
      <c r="E3077" s="2" t="s">
        <v>40</v>
      </c>
      <c r="F3077" t="s">
        <v>65</v>
      </c>
      <c r="N3077" s="2" t="s">
        <v>18</v>
      </c>
      <c r="O3077" s="2" t="s">
        <v>19</v>
      </c>
      <c r="P3077" s="2">
        <v>6000000</v>
      </c>
      <c r="Q3077" s="2">
        <v>7.8</v>
      </c>
      <c r="R3077" s="2" t="s">
        <v>5626</v>
      </c>
      <c r="S3077" s="2"/>
      <c r="AC3077" s="2"/>
      <c r="AD3077" t="str">
        <f>IFERROR(__xludf.DUMMYFUNCTION("""COMPUTED_VALUE"""),"Aloft ")</f>
        <v>Aloft </v>
      </c>
      <c r="AE3077">
        <f t="shared" si="77"/>
        <v>23004</v>
      </c>
    </row>
    <row r="3078" customHeight="1" spans="1:31">
      <c r="A3078" s="2" t="s">
        <v>1060</v>
      </c>
      <c r="B3078" s="2">
        <v>124</v>
      </c>
      <c r="C3078" s="2">
        <v>54800000</v>
      </c>
      <c r="D3078" s="2" t="s">
        <v>30</v>
      </c>
      <c r="E3078" s="2" t="s">
        <v>30</v>
      </c>
      <c r="F3078" t="s">
        <v>72</v>
      </c>
      <c r="N3078" s="2" t="s">
        <v>18</v>
      </c>
      <c r="O3078" s="2" t="s">
        <v>19</v>
      </c>
      <c r="P3078" s="2">
        <v>6000000</v>
      </c>
      <c r="Q3078" s="2">
        <v>7.8</v>
      </c>
      <c r="R3078" s="2" t="s">
        <v>5627</v>
      </c>
      <c r="S3078" s="2"/>
      <c r="AC3078" s="2"/>
      <c r="AD3078" t="str">
        <f>IFERROR(__xludf.DUMMYFUNCTION("""COMPUTED_VALUE"""),"Akira ")</f>
        <v>Akira </v>
      </c>
      <c r="AE3078">
        <f t="shared" si="77"/>
        <v>52864</v>
      </c>
    </row>
    <row r="3079" customHeight="1" spans="1:31">
      <c r="A3079" s="2" t="s">
        <v>3323</v>
      </c>
      <c r="B3079" s="2">
        <v>152</v>
      </c>
      <c r="C3079" s="2">
        <v>43650000</v>
      </c>
      <c r="D3079" s="2" t="s">
        <v>5628</v>
      </c>
      <c r="E3079" s="2" t="s">
        <v>56</v>
      </c>
      <c r="F3079" t="s">
        <v>17</v>
      </c>
      <c r="N3079" s="2" t="s">
        <v>18</v>
      </c>
      <c r="O3079" s="2" t="s">
        <v>19</v>
      </c>
      <c r="P3079" s="2">
        <v>6000000</v>
      </c>
      <c r="Q3079" s="2">
        <v>7.6</v>
      </c>
      <c r="R3079" s="2" t="s">
        <v>5629</v>
      </c>
      <c r="S3079" s="2"/>
      <c r="AC3079" s="2"/>
      <c r="AD3079" t="str">
        <f>IFERROR(__xludf.DUMMYFUNCTION("""COMPUTED_VALUE"""),"Imagine Me &amp; You ")</f>
        <v>Imagine Me &amp; You </v>
      </c>
      <c r="AE3079">
        <f t="shared" si="77"/>
        <v>439038</v>
      </c>
    </row>
    <row r="3080" customHeight="1" spans="1:31">
      <c r="A3080" s="2" t="s">
        <v>1108</v>
      </c>
      <c r="B3080" s="2">
        <v>98</v>
      </c>
      <c r="C3080" s="2">
        <v>39800000</v>
      </c>
      <c r="D3080" s="2" t="s">
        <v>1581</v>
      </c>
      <c r="E3080" s="2" t="s">
        <v>40</v>
      </c>
      <c r="F3080" t="s">
        <v>15</v>
      </c>
      <c r="N3080" s="2" t="s">
        <v>18</v>
      </c>
      <c r="O3080" s="2" t="s">
        <v>19</v>
      </c>
      <c r="P3080" s="2">
        <v>6000000</v>
      </c>
      <c r="Q3080" s="2">
        <v>7.4</v>
      </c>
      <c r="R3080" s="2" t="s">
        <v>5630</v>
      </c>
      <c r="S3080" s="2"/>
      <c r="AC3080" s="2"/>
      <c r="AD3080" t="str">
        <f>IFERROR(__xludf.DUMMYFUNCTION("""COMPUTED_VALUE"""),"The Blood of Heroes ")</f>
        <v>The Blood of Heroes </v>
      </c>
      <c r="AE3080">
        <f t="shared" si="77"/>
        <v>671150</v>
      </c>
    </row>
    <row r="3081" customHeight="1" spans="1:31">
      <c r="A3081" s="2" t="s">
        <v>3325</v>
      </c>
      <c r="B3081" s="2">
        <v>106</v>
      </c>
      <c r="C3081" s="2">
        <v>27457409</v>
      </c>
      <c r="D3081" s="2" t="s">
        <v>975</v>
      </c>
      <c r="E3081" s="2" t="s">
        <v>40</v>
      </c>
      <c r="F3081" t="s">
        <v>28</v>
      </c>
      <c r="N3081" s="2" t="s">
        <v>18</v>
      </c>
      <c r="O3081" s="2" t="s">
        <v>19</v>
      </c>
      <c r="P3081" s="2">
        <v>6000000</v>
      </c>
      <c r="Q3081" s="2">
        <v>6.3</v>
      </c>
      <c r="R3081" s="2" t="s">
        <v>5631</v>
      </c>
      <c r="S3081" s="2"/>
      <c r="AC3081" s="2"/>
      <c r="AD3081" t="str">
        <f>IFERROR(__xludf.DUMMYFUNCTION("""COMPUTED_VALUE"""),"Driving Miss Daisy ")</f>
        <v>Driving Miss Daisy </v>
      </c>
      <c r="AE3081">
        <f t="shared" si="77"/>
        <v>882200</v>
      </c>
    </row>
    <row r="3082" customHeight="1" spans="1:31">
      <c r="A3082" s="2" t="s">
        <v>2705</v>
      </c>
      <c r="B3082" s="2">
        <v>106</v>
      </c>
      <c r="C3082" s="2">
        <v>25047631</v>
      </c>
      <c r="D3082" s="2" t="s">
        <v>521</v>
      </c>
      <c r="E3082" s="2" t="s">
        <v>40</v>
      </c>
      <c r="F3082" t="s">
        <v>40</v>
      </c>
      <c r="N3082" s="2" t="s">
        <v>18</v>
      </c>
      <c r="O3082" s="2" t="s">
        <v>19</v>
      </c>
      <c r="P3082" s="2">
        <v>6000000</v>
      </c>
      <c r="Q3082" s="2">
        <v>6.9</v>
      </c>
      <c r="R3082" s="2" t="s">
        <v>5632</v>
      </c>
      <c r="S3082" s="2"/>
      <c r="AC3082" s="2"/>
      <c r="AD3082" t="str">
        <f>IFERROR(__xludf.DUMMYFUNCTION("""COMPUTED_VALUE"""),"Soul Food ")</f>
        <v>Soul Food </v>
      </c>
      <c r="AE3082">
        <f t="shared" si="77"/>
        <v>106593197</v>
      </c>
    </row>
    <row r="3083" customHeight="1" spans="1:31">
      <c r="A3083" s="2" t="s">
        <v>67</v>
      </c>
      <c r="B3083" s="2">
        <v>106</v>
      </c>
      <c r="C3083" s="2">
        <v>23272306</v>
      </c>
      <c r="D3083" s="2" t="s">
        <v>814</v>
      </c>
      <c r="E3083" s="2" t="s">
        <v>56</v>
      </c>
      <c r="F3083" t="s">
        <v>30</v>
      </c>
      <c r="N3083" s="2" t="s">
        <v>18</v>
      </c>
      <c r="O3083" s="2" t="s">
        <v>19</v>
      </c>
      <c r="P3083" s="2">
        <v>6000000</v>
      </c>
      <c r="Q3083" s="2">
        <v>8.6</v>
      </c>
      <c r="R3083" s="2" t="s">
        <v>5633</v>
      </c>
      <c r="S3083" s="2"/>
      <c r="AC3083" s="2"/>
      <c r="AD3083" t="str">
        <f>IFERROR(__xludf.DUMMYFUNCTION("""COMPUTED_VALUE"""),"Rumble in the Bronx ")</f>
        <v>Rumble in the Bronx </v>
      </c>
      <c r="AE3083">
        <f t="shared" si="77"/>
        <v>43489942</v>
      </c>
    </row>
    <row r="3084" customHeight="1" spans="1:31">
      <c r="A3084" s="2" t="s">
        <v>823</v>
      </c>
      <c r="B3084" s="2">
        <v>89</v>
      </c>
      <c r="C3084" s="2">
        <v>22168359</v>
      </c>
      <c r="D3084" s="2" t="s">
        <v>5634</v>
      </c>
      <c r="E3084" s="2" t="s">
        <v>14</v>
      </c>
      <c r="F3084" t="s">
        <v>24</v>
      </c>
      <c r="N3084" s="2" t="s">
        <v>18</v>
      </c>
      <c r="O3084" s="2" t="s">
        <v>19</v>
      </c>
      <c r="P3084" s="2">
        <v>8000000</v>
      </c>
      <c r="Q3084" s="2">
        <v>5.1</v>
      </c>
      <c r="R3084" s="2" t="s">
        <v>5635</v>
      </c>
      <c r="S3084" s="2"/>
      <c r="AC3084" s="2"/>
      <c r="AD3084" t="str">
        <f>IFERROR(__xludf.DUMMYFUNCTION("""COMPUTED_VALUE"""),"Thank You for Smoking ")</f>
        <v>Thank You for Smoking </v>
      </c>
      <c r="AE3084">
        <f t="shared" si="77"/>
        <v>32333771</v>
      </c>
    </row>
    <row r="3085" customHeight="1" spans="1:31">
      <c r="A3085" s="2" t="s">
        <v>720</v>
      </c>
      <c r="B3085" s="2">
        <v>94</v>
      </c>
      <c r="C3085" s="2">
        <v>21005329</v>
      </c>
      <c r="D3085" s="2" t="s">
        <v>607</v>
      </c>
      <c r="E3085" s="2" t="s">
        <v>40</v>
      </c>
      <c r="F3085" t="s">
        <v>30</v>
      </c>
      <c r="N3085" s="2" t="s">
        <v>18</v>
      </c>
      <c r="O3085" s="2" t="s">
        <v>293</v>
      </c>
      <c r="P3085" s="2">
        <v>6000000</v>
      </c>
      <c r="Q3085" s="2">
        <v>6.4</v>
      </c>
      <c r="R3085" s="2" t="s">
        <v>5636</v>
      </c>
      <c r="S3085" s="2"/>
      <c r="AC3085" s="2"/>
      <c r="AD3085" t="str">
        <f>IFERROR(__xludf.DUMMYFUNCTION("""COMPUTED_VALUE"""),"Hostel: Part II ")</f>
        <v>Hostel: Part II </v>
      </c>
      <c r="AE3085">
        <f t="shared" si="77"/>
        <v>24791969</v>
      </c>
    </row>
    <row r="3086" customHeight="1" spans="1:31">
      <c r="A3086" s="2" t="s">
        <v>450</v>
      </c>
      <c r="B3086" s="2">
        <v>109</v>
      </c>
      <c r="C3086" s="2">
        <v>26236603</v>
      </c>
      <c r="D3086" s="2" t="s">
        <v>1527</v>
      </c>
      <c r="E3086" s="2" t="s">
        <v>30</v>
      </c>
      <c r="F3086" t="s">
        <v>40</v>
      </c>
      <c r="N3086" s="2" t="s">
        <v>18</v>
      </c>
      <c r="O3086" s="2" t="s">
        <v>19</v>
      </c>
      <c r="P3086" s="2">
        <v>6000000</v>
      </c>
      <c r="Q3086" s="2">
        <v>7.9</v>
      </c>
      <c r="R3086" s="2" t="s">
        <v>5637</v>
      </c>
      <c r="S3086" s="2"/>
      <c r="AC3086" s="2"/>
      <c r="AD3086" t="str">
        <f>IFERROR(__xludf.DUMMYFUNCTION("""COMPUTED_VALUE"""),"An Education ")</f>
        <v>An Education </v>
      </c>
      <c r="AE3086">
        <f t="shared" si="77"/>
        <v>17544718</v>
      </c>
    </row>
    <row r="3087" customHeight="1" spans="1:31">
      <c r="A3087" s="2" t="s">
        <v>3327</v>
      </c>
      <c r="B3087" s="2">
        <v>144</v>
      </c>
      <c r="C3087" s="2">
        <v>20400000</v>
      </c>
      <c r="D3087" s="2" t="s">
        <v>1639</v>
      </c>
      <c r="E3087" s="2" t="s">
        <v>30</v>
      </c>
      <c r="F3087" t="s">
        <v>72</v>
      </c>
      <c r="N3087" s="2" t="s">
        <v>18</v>
      </c>
      <c r="O3087" s="2" t="s">
        <v>19</v>
      </c>
      <c r="P3087" s="2">
        <v>8000000</v>
      </c>
      <c r="Q3087" s="2">
        <v>6.9</v>
      </c>
      <c r="R3087" s="2" t="s">
        <v>5638</v>
      </c>
      <c r="S3087" s="2"/>
      <c r="AC3087" s="2"/>
      <c r="AD3087" t="str">
        <f>IFERROR(__xludf.DUMMYFUNCTION("""COMPUTED_VALUE"""),"The Hotel New Hampshire ")</f>
        <v>The Hotel New Hampshire </v>
      </c>
      <c r="AE3087">
        <f t="shared" si="77"/>
        <v>12574615</v>
      </c>
    </row>
    <row r="3088" customHeight="1" spans="1:31">
      <c r="A3088" s="2" t="s">
        <v>2862</v>
      </c>
      <c r="B3088" s="2">
        <v>90</v>
      </c>
      <c r="C3088" s="2">
        <v>18621249</v>
      </c>
      <c r="D3088" s="2" t="s">
        <v>40</v>
      </c>
      <c r="E3088" s="2" t="s">
        <v>40</v>
      </c>
      <c r="F3088" t="s">
        <v>65</v>
      </c>
      <c r="N3088" s="2" t="s">
        <v>18</v>
      </c>
      <c r="O3088" s="2" t="s">
        <v>19</v>
      </c>
      <c r="P3088" s="2">
        <v>6000000</v>
      </c>
      <c r="Q3088" s="2">
        <v>7.5</v>
      </c>
      <c r="R3088" s="2" t="s">
        <v>5639</v>
      </c>
      <c r="S3088" s="2"/>
      <c r="AC3088" s="2"/>
      <c r="AD3088" t="str">
        <f>IFERROR(__xludf.DUMMYFUNCTION("""COMPUTED_VALUE"""),"Narc ")</f>
        <v>Narc </v>
      </c>
      <c r="AE3088">
        <f t="shared" si="77"/>
        <v>5099891</v>
      </c>
    </row>
    <row r="3089" customHeight="1" spans="1:31">
      <c r="A3089" s="2" t="s">
        <v>1335</v>
      </c>
      <c r="B3089" s="2">
        <v>106</v>
      </c>
      <c r="C3089" s="2">
        <v>25244700</v>
      </c>
      <c r="D3089" s="2" t="s">
        <v>256</v>
      </c>
      <c r="E3089" s="2" t="s">
        <v>12</v>
      </c>
      <c r="F3089" t="s">
        <v>40</v>
      </c>
      <c r="N3089" s="2" t="s">
        <v>18</v>
      </c>
      <c r="O3089" s="2" t="s">
        <v>31</v>
      </c>
      <c r="P3089" s="2">
        <v>6000000</v>
      </c>
      <c r="Q3089" s="2">
        <v>7.2</v>
      </c>
      <c r="R3089" s="2" t="s">
        <v>5640</v>
      </c>
      <c r="S3089" s="2"/>
      <c r="AC3089" s="2"/>
      <c r="AD3089" t="str">
        <f>IFERROR(__xludf.DUMMYFUNCTION("""COMPUTED_VALUE"""),"Men with Brooms ")</f>
        <v>Men with Brooms </v>
      </c>
      <c r="AE3089">
        <f t="shared" si="77"/>
        <v>10459984</v>
      </c>
    </row>
    <row r="3090" customHeight="1" spans="1:31">
      <c r="A3090" s="2" t="s">
        <v>1259</v>
      </c>
      <c r="B3090" s="2">
        <v>121</v>
      </c>
      <c r="C3090" s="2">
        <v>14545844</v>
      </c>
      <c r="D3090" s="2" t="s">
        <v>5594</v>
      </c>
      <c r="E3090" s="2" t="s">
        <v>40</v>
      </c>
      <c r="F3090" t="s">
        <v>17</v>
      </c>
      <c r="N3090" s="2" t="s">
        <v>18</v>
      </c>
      <c r="O3090" s="2" t="s">
        <v>19</v>
      </c>
      <c r="P3090" s="2">
        <v>6500000</v>
      </c>
      <c r="Q3090" s="2">
        <v>5.8</v>
      </c>
      <c r="R3090" s="2" t="s">
        <v>5641</v>
      </c>
      <c r="S3090" s="2"/>
      <c r="AC3090" s="2"/>
      <c r="AD3090" t="str">
        <f>IFERROR(__xludf.DUMMYFUNCTION("""COMPUTED_VALUE"""),"Witless Protection ")</f>
        <v>Witless Protection </v>
      </c>
      <c r="AE3090">
        <f t="shared" si="77"/>
        <v>4239665</v>
      </c>
    </row>
    <row r="3091" customHeight="1" spans="1:31">
      <c r="A3091" s="2" t="s">
        <v>3329</v>
      </c>
      <c r="B3091" s="2">
        <v>89</v>
      </c>
      <c r="C3091" s="2">
        <v>13235267</v>
      </c>
      <c r="D3091" s="2" t="s">
        <v>1201</v>
      </c>
      <c r="E3091" s="2" t="s">
        <v>40</v>
      </c>
      <c r="F3091" t="s">
        <v>14</v>
      </c>
      <c r="N3091" s="2" t="s">
        <v>18</v>
      </c>
      <c r="O3091" s="2" t="s">
        <v>19</v>
      </c>
      <c r="P3091" s="2">
        <v>6000000</v>
      </c>
      <c r="Q3091" s="2">
        <v>2.9</v>
      </c>
      <c r="R3091" s="2" t="s">
        <v>5642</v>
      </c>
      <c r="S3091" s="2"/>
      <c r="AC3091" s="2"/>
      <c r="AD3091" t="str">
        <f>IFERROR(__xludf.DUMMYFUNCTION("""COMPUTED_VALUE"""),"The Work and the Glory ")</f>
        <v>The Work and the Glory </v>
      </c>
      <c r="AE3091">
        <f t="shared" si="77"/>
        <v>4131543</v>
      </c>
    </row>
    <row r="3092" customHeight="1" spans="1:31">
      <c r="A3092" s="2" t="s">
        <v>1111</v>
      </c>
      <c r="B3092" s="2">
        <v>104</v>
      </c>
      <c r="C3092" s="2">
        <v>12793213</v>
      </c>
      <c r="D3092" s="2" t="s">
        <v>521</v>
      </c>
      <c r="E3092" s="2" t="s">
        <v>40</v>
      </c>
      <c r="F3092" t="s">
        <v>14</v>
      </c>
      <c r="N3092" s="2" t="s">
        <v>18</v>
      </c>
      <c r="O3092" s="2" t="s">
        <v>19</v>
      </c>
      <c r="P3092" s="2">
        <v>6000000</v>
      </c>
      <c r="Q3092" s="2">
        <v>6.2</v>
      </c>
      <c r="R3092" s="2" t="s">
        <v>5643</v>
      </c>
      <c r="S3092" s="2"/>
      <c r="AC3092" s="2"/>
      <c r="AD3092" t="str">
        <f>IFERROR(__xludf.DUMMYFUNCTION("""COMPUTED_VALUE"""),"Extract ")</f>
        <v>Extract </v>
      </c>
      <c r="AE3092">
        <f t="shared" si="77"/>
        <v>3347321</v>
      </c>
    </row>
    <row r="3093" customHeight="1" spans="1:31">
      <c r="A3093" s="2" t="s">
        <v>1409</v>
      </c>
      <c r="B3093" s="2">
        <v>99</v>
      </c>
      <c r="C3093" s="2">
        <v>11883495</v>
      </c>
      <c r="D3093" s="2" t="s">
        <v>959</v>
      </c>
      <c r="E3093" s="2" t="s">
        <v>40</v>
      </c>
      <c r="F3093" t="s">
        <v>30</v>
      </c>
      <c r="N3093" s="2" t="s">
        <v>18</v>
      </c>
      <c r="O3093" s="2" t="s">
        <v>31</v>
      </c>
      <c r="P3093" s="2">
        <v>9000000</v>
      </c>
      <c r="Q3093" s="2">
        <v>6.8</v>
      </c>
      <c r="R3093" s="2" t="s">
        <v>5644</v>
      </c>
      <c r="S3093" s="2"/>
      <c r="AC3093" s="2"/>
      <c r="AD3093" t="str">
        <f>IFERROR(__xludf.DUMMYFUNCTION("""COMPUTED_VALUE"""),"Alias Betty ")</f>
        <v>Alias Betty </v>
      </c>
      <c r="AE3093">
        <f t="shared" si="77"/>
        <v>10814093</v>
      </c>
    </row>
    <row r="3094" customHeight="1" spans="1:31">
      <c r="A3094" s="2" t="s">
        <v>3331</v>
      </c>
      <c r="B3094" s="2">
        <v>98</v>
      </c>
      <c r="C3094" s="2">
        <v>11797927</v>
      </c>
      <c r="D3094" s="2" t="s">
        <v>4843</v>
      </c>
      <c r="E3094" s="2" t="s">
        <v>40</v>
      </c>
      <c r="F3094" t="s">
        <v>30</v>
      </c>
      <c r="N3094" s="2" t="s">
        <v>18</v>
      </c>
      <c r="O3094" s="2" t="s">
        <v>19</v>
      </c>
      <c r="P3094" s="2">
        <v>6000000</v>
      </c>
      <c r="Q3094" s="2">
        <v>6.1</v>
      </c>
      <c r="R3094" s="2" t="s">
        <v>5645</v>
      </c>
      <c r="S3094" s="2"/>
      <c r="AC3094" s="2"/>
      <c r="AD3094" t="str">
        <f>IFERROR(__xludf.DUMMYFUNCTION("""COMPUTED_VALUE"""),"Code 46 ")</f>
        <v>Code 46 </v>
      </c>
      <c r="AE3094">
        <f t="shared" si="77"/>
        <v>206297</v>
      </c>
    </row>
    <row r="3095" customHeight="1" spans="1:31">
      <c r="A3095" s="2" t="s">
        <v>3333</v>
      </c>
      <c r="B3095" s="2">
        <v>121</v>
      </c>
      <c r="C3095" s="2">
        <v>17605861</v>
      </c>
      <c r="D3095" s="2" t="s">
        <v>2480</v>
      </c>
      <c r="E3095" s="2" t="s">
        <v>59</v>
      </c>
      <c r="F3095" t="s">
        <v>17</v>
      </c>
      <c r="N3095" s="2" t="s">
        <v>18</v>
      </c>
      <c r="O3095" s="2" t="s">
        <v>31</v>
      </c>
      <c r="P3095" s="2">
        <v>6000000</v>
      </c>
      <c r="Q3095" s="2">
        <v>7.7</v>
      </c>
      <c r="R3095" s="2" t="s">
        <v>5646</v>
      </c>
      <c r="S3095" s="2"/>
      <c r="AC3095" s="2"/>
      <c r="AD3095" t="str">
        <f>IFERROR(__xludf.DUMMYFUNCTION("""COMPUTED_VALUE"""),"Albert Nobbs ")</f>
        <v>Albert Nobbs </v>
      </c>
      <c r="AE3095">
        <f t="shared" si="77"/>
        <v>197055</v>
      </c>
    </row>
    <row r="3096" customHeight="1" spans="1:31">
      <c r="A3096" s="2" t="s">
        <v>3335</v>
      </c>
      <c r="B3096" s="2">
        <v>96</v>
      </c>
      <c r="C3096" s="2">
        <v>11642254</v>
      </c>
      <c r="D3096" s="2" t="s">
        <v>2781</v>
      </c>
      <c r="E3096" s="2" t="s">
        <v>72</v>
      </c>
      <c r="F3096" t="s">
        <v>30</v>
      </c>
      <c r="N3096" s="2" t="s">
        <v>18</v>
      </c>
      <c r="O3096" s="2" t="s">
        <v>19</v>
      </c>
      <c r="P3096" s="2">
        <v>3000000</v>
      </c>
      <c r="Q3096" s="2">
        <v>5.2</v>
      </c>
      <c r="R3096" s="2" t="s">
        <v>5647</v>
      </c>
      <c r="S3096" s="2"/>
      <c r="AC3096" s="2"/>
      <c r="AD3096" t="str">
        <f>IFERROR(__xludf.DUMMYFUNCTION("""COMPUTED_VALUE"""),"Ta Ra Rum Pum ")</f>
        <v>Ta Ra Rum Pum </v>
      </c>
      <c r="AE3096">
        <f t="shared" si="77"/>
        <v>3014428</v>
      </c>
    </row>
    <row r="3097" customHeight="1" spans="1:31">
      <c r="A3097" s="2" t="s">
        <v>1971</v>
      </c>
      <c r="B3097" s="2">
        <v>99</v>
      </c>
      <c r="C3097" s="2">
        <v>9203192</v>
      </c>
      <c r="D3097" s="2" t="s">
        <v>3855</v>
      </c>
      <c r="E3097" s="2" t="s">
        <v>40</v>
      </c>
      <c r="F3097" t="s">
        <v>72</v>
      </c>
      <c r="N3097" s="2" t="s">
        <v>18</v>
      </c>
      <c r="O3097" s="2" t="s">
        <v>19</v>
      </c>
      <c r="P3097" s="2">
        <v>5000000</v>
      </c>
      <c r="Q3097" s="2">
        <v>6.8</v>
      </c>
      <c r="R3097" s="2" t="s">
        <v>5648</v>
      </c>
      <c r="S3097" s="2"/>
      <c r="AC3097" s="2"/>
      <c r="AD3097" t="str">
        <f>IFERROR(__xludf.DUMMYFUNCTION("""COMPUTED_VALUE"""),"Persepolis ")</f>
        <v>Persepolis </v>
      </c>
      <c r="AE3097">
        <f t="shared" si="77"/>
        <v>872490</v>
      </c>
    </row>
    <row r="3098" customHeight="1" spans="1:31">
      <c r="A3098" s="2" t="s">
        <v>3338</v>
      </c>
      <c r="B3098" s="2">
        <v>42</v>
      </c>
      <c r="C3098" s="2">
        <v>7518876</v>
      </c>
      <c r="D3098" s="2" t="s">
        <v>5649</v>
      </c>
      <c r="E3098" s="2" t="s">
        <v>13</v>
      </c>
      <c r="F3098" t="s">
        <v>56</v>
      </c>
      <c r="N3098" s="2" t="s">
        <v>18</v>
      </c>
      <c r="O3098" s="2" t="s">
        <v>31</v>
      </c>
      <c r="P3098" s="2">
        <v>6000000</v>
      </c>
      <c r="Q3098" s="2">
        <v>6.5</v>
      </c>
      <c r="R3098" s="2" t="s">
        <v>5650</v>
      </c>
      <c r="S3098" s="2"/>
      <c r="AC3098" s="2"/>
      <c r="AD3098" t="str">
        <f>IFERROR(__xludf.DUMMYFUNCTION("""COMPUTED_VALUE"""),"The Neon Demon ")</f>
        <v>The Neon Demon </v>
      </c>
      <c r="AE3098">
        <f t="shared" si="77"/>
        <v>4443314</v>
      </c>
    </row>
    <row r="3099" customHeight="1" spans="1:31">
      <c r="A3099" s="2" t="s">
        <v>3341</v>
      </c>
      <c r="B3099" s="2">
        <v>122</v>
      </c>
      <c r="C3099" s="2">
        <v>8596914</v>
      </c>
      <c r="D3099" s="2" t="s">
        <v>562</v>
      </c>
      <c r="E3099" s="2" t="s">
        <v>59</v>
      </c>
      <c r="F3099" t="s">
        <v>56</v>
      </c>
      <c r="N3099" s="2" t="s">
        <v>18</v>
      </c>
      <c r="O3099" s="2" t="s">
        <v>19</v>
      </c>
      <c r="P3099" s="2">
        <v>6000000</v>
      </c>
      <c r="Q3099" s="2">
        <v>7</v>
      </c>
      <c r="R3099" s="2" t="s">
        <v>5651</v>
      </c>
      <c r="S3099" s="2"/>
      <c r="AC3099" s="2"/>
      <c r="AD3099" t="str">
        <f>IFERROR(__xludf.DUMMYFUNCTION("""COMPUTED_VALUE"""),"Harry Brown ")</f>
        <v>Harry Brown </v>
      </c>
      <c r="AE3099">
        <f t="shared" si="77"/>
        <v>1330709</v>
      </c>
    </row>
    <row r="3100" customHeight="1" spans="1:31">
      <c r="A3100" s="2" t="s">
        <v>3343</v>
      </c>
      <c r="B3100" s="2">
        <v>101</v>
      </c>
      <c r="C3100" s="2">
        <v>6851636</v>
      </c>
      <c r="D3100" s="2" t="s">
        <v>521</v>
      </c>
      <c r="E3100" s="2" t="s">
        <v>40</v>
      </c>
      <c r="F3100" t="s">
        <v>30</v>
      </c>
      <c r="N3100" s="2" t="s">
        <v>18</v>
      </c>
      <c r="O3100" s="2" t="s">
        <v>19</v>
      </c>
      <c r="P3100" s="2">
        <v>6000000</v>
      </c>
      <c r="Q3100" s="2">
        <v>5.9</v>
      </c>
      <c r="R3100" s="2" t="s">
        <v>5652</v>
      </c>
      <c r="S3100" s="2"/>
      <c r="AC3100" s="2"/>
      <c r="AD3100" t="str">
        <f>IFERROR(__xludf.DUMMYFUNCTION("""COMPUTED_VALUE"""),"The Omega Code ")</f>
        <v>The Omega Code </v>
      </c>
      <c r="AE3100">
        <f t="shared" si="77"/>
        <v>1818584</v>
      </c>
    </row>
    <row r="3101" customHeight="1" spans="1:31">
      <c r="A3101" s="2" t="s">
        <v>3345</v>
      </c>
      <c r="B3101" s="2">
        <v>102</v>
      </c>
      <c r="C3101" s="2">
        <v>11434867</v>
      </c>
      <c r="D3101" s="2" t="s">
        <v>1300</v>
      </c>
      <c r="E3101" s="2" t="s">
        <v>30</v>
      </c>
      <c r="F3101" t="s">
        <v>30</v>
      </c>
      <c r="N3101" s="2" t="s">
        <v>18</v>
      </c>
      <c r="O3101" s="2" t="s">
        <v>19</v>
      </c>
      <c r="P3101" s="2">
        <v>6000000</v>
      </c>
      <c r="Q3101" s="2">
        <v>7.1</v>
      </c>
      <c r="R3101" s="2" t="s">
        <v>5653</v>
      </c>
      <c r="S3101" s="2"/>
      <c r="AC3101" s="2"/>
      <c r="AD3101" t="str">
        <f>IFERROR(__xludf.DUMMYFUNCTION("""COMPUTED_VALUE"""),"Juno ")</f>
        <v>Juno </v>
      </c>
      <c r="AE3101">
        <f t="shared" si="77"/>
        <v>12610452</v>
      </c>
    </row>
    <row r="3102" customHeight="1" spans="1:31">
      <c r="A3102" s="2" t="s">
        <v>3348</v>
      </c>
      <c r="B3102" s="2">
        <v>84</v>
      </c>
      <c r="C3102" s="2">
        <v>5895238</v>
      </c>
      <c r="D3102" s="2" t="s">
        <v>2750</v>
      </c>
      <c r="E3102" s="2" t="s">
        <v>40</v>
      </c>
      <c r="F3102" t="s">
        <v>30</v>
      </c>
      <c r="N3102" s="2" t="s">
        <v>1081</v>
      </c>
      <c r="O3102" s="2" t="s">
        <v>19</v>
      </c>
      <c r="P3102" s="2">
        <v>6000000</v>
      </c>
      <c r="Q3102" s="2">
        <v>5.5</v>
      </c>
      <c r="R3102" s="2" t="s">
        <v>5654</v>
      </c>
      <c r="S3102" s="2"/>
      <c r="AC3102" s="2"/>
      <c r="AD3102" t="str">
        <f>IFERROR(__xludf.DUMMYFUNCTION("""COMPUTED_VALUE"""),"Diamonds Are Forever ")</f>
        <v>Diamonds Are Forever </v>
      </c>
      <c r="AE3102">
        <f t="shared" si="77"/>
        <v>143492744</v>
      </c>
    </row>
    <row r="3103" customHeight="1" spans="1:31">
      <c r="A3103" s="2" t="s">
        <v>3351</v>
      </c>
      <c r="B3103" s="2">
        <v>104</v>
      </c>
      <c r="C3103" s="2">
        <v>6670712</v>
      </c>
      <c r="D3103" s="2" t="s">
        <v>975</v>
      </c>
      <c r="E3103" s="2" t="s">
        <v>40</v>
      </c>
      <c r="F3103" t="s">
        <v>65</v>
      </c>
      <c r="N3103" s="2" t="s">
        <v>18</v>
      </c>
      <c r="O3103" s="2" t="s">
        <v>19</v>
      </c>
      <c r="P3103" s="2">
        <v>6000000</v>
      </c>
      <c r="Q3103" s="2">
        <v>7.4</v>
      </c>
      <c r="R3103" s="2" t="s">
        <v>5655</v>
      </c>
      <c r="S3103" s="2"/>
      <c r="AC3103" s="2"/>
      <c r="AD3103" t="str">
        <f>IFERROR(__xludf.DUMMYFUNCTION("""COMPUTED_VALUE"""),"The Godfather ")</f>
        <v>The Godfather </v>
      </c>
      <c r="AE3103">
        <f t="shared" si="77"/>
        <v>43799880</v>
      </c>
    </row>
    <row r="3104" customHeight="1" spans="1:31">
      <c r="A3104" s="2" t="s">
        <v>3353</v>
      </c>
      <c r="B3104" s="2">
        <v>96</v>
      </c>
      <c r="C3104" s="2">
        <v>5359774</v>
      </c>
      <c r="D3104" s="2" t="s">
        <v>2471</v>
      </c>
      <c r="E3104" s="2" t="s">
        <v>40</v>
      </c>
      <c r="F3104" t="s">
        <v>30</v>
      </c>
      <c r="N3104" s="2" t="s">
        <v>18</v>
      </c>
      <c r="O3104" s="2" t="s">
        <v>3349</v>
      </c>
      <c r="P3104" s="2">
        <v>6000000</v>
      </c>
      <c r="Q3104" s="2">
        <v>7.3</v>
      </c>
      <c r="R3104" s="2" t="s">
        <v>5656</v>
      </c>
      <c r="S3104" s="2"/>
      <c r="AC3104" s="2"/>
      <c r="AD3104" t="str">
        <f>IFERROR(__xludf.DUMMYFUNCTION("""COMPUTED_VALUE"""),"Flashdance ")</f>
        <v>Flashdance </v>
      </c>
      <c r="AE3104">
        <f t="shared" si="77"/>
        <v>134821777</v>
      </c>
    </row>
    <row r="3105" customHeight="1" spans="1:31">
      <c r="A3105" s="2" t="s">
        <v>3355</v>
      </c>
      <c r="B3105" s="2">
        <v>94</v>
      </c>
      <c r="C3105" s="2">
        <v>4693919</v>
      </c>
      <c r="D3105" s="2" t="s">
        <v>40</v>
      </c>
      <c r="E3105" s="2" t="s">
        <v>40</v>
      </c>
      <c r="F3105" t="s">
        <v>28</v>
      </c>
      <c r="N3105" s="2" t="s">
        <v>18</v>
      </c>
      <c r="O3105" s="2" t="s">
        <v>19</v>
      </c>
      <c r="P3105" s="2">
        <v>6500000</v>
      </c>
      <c r="Q3105" s="2">
        <v>4.6</v>
      </c>
      <c r="R3105" s="2" t="s">
        <v>5657</v>
      </c>
      <c r="S3105" s="2"/>
      <c r="AC3105" s="2"/>
      <c r="AD3105" t="str">
        <f>IFERROR(__xludf.DUMMYFUNCTION("""COMPUTED_VALUE"""),"500 Days of Summer ")</f>
        <v>500 Days of Summer </v>
      </c>
      <c r="AE3105">
        <f t="shared" si="77"/>
        <v>94899905</v>
      </c>
    </row>
    <row r="3106" customHeight="1" spans="1:31">
      <c r="A3106" s="2" t="s">
        <v>1556</v>
      </c>
      <c r="B3106" s="2">
        <v>90</v>
      </c>
      <c r="C3106" s="2">
        <v>4859475</v>
      </c>
      <c r="D3106" s="2" t="s">
        <v>103</v>
      </c>
      <c r="E3106" s="2" t="s">
        <v>30</v>
      </c>
      <c r="F3106" t="s">
        <v>23</v>
      </c>
      <c r="N3106" s="2" t="s">
        <v>18</v>
      </c>
      <c r="O3106" s="2" t="s">
        <v>19</v>
      </c>
      <c r="P3106" s="2">
        <v>6000000</v>
      </c>
      <c r="Q3106" s="2">
        <v>7.2</v>
      </c>
      <c r="R3106" s="2" t="s">
        <v>5658</v>
      </c>
      <c r="S3106" s="2"/>
      <c r="AC3106" s="2"/>
      <c r="AD3106" t="str">
        <f>IFERROR(__xludf.DUMMYFUNCTION("""COMPUTED_VALUE"""),"The Piano ")</f>
        <v>The Piano </v>
      </c>
      <c r="AE3106">
        <f t="shared" si="77"/>
        <v>32391279</v>
      </c>
    </row>
    <row r="3107" customHeight="1" spans="1:31">
      <c r="A3107" s="2" t="s">
        <v>3358</v>
      </c>
      <c r="B3107" s="2">
        <v>90</v>
      </c>
      <c r="C3107" s="2">
        <v>4542775</v>
      </c>
      <c r="D3107" s="2" t="s">
        <v>607</v>
      </c>
      <c r="E3107" s="2" t="s">
        <v>40</v>
      </c>
      <c r="F3107" t="s">
        <v>40</v>
      </c>
      <c r="N3107" s="2" t="s">
        <v>18</v>
      </c>
      <c r="O3107" s="2" t="s">
        <v>19</v>
      </c>
      <c r="P3107" s="2">
        <v>6000000</v>
      </c>
      <c r="Q3107" s="2">
        <v>5.1</v>
      </c>
      <c r="R3107" s="2" t="s">
        <v>5659</v>
      </c>
      <c r="S3107" s="2"/>
      <c r="AC3107" s="2"/>
      <c r="AD3107" t="str">
        <f>IFERROR(__xludf.DUMMYFUNCTION("""COMPUTED_VALUE"""),"Magic Mike ")</f>
        <v>Magic Mike </v>
      </c>
      <c r="AE3107">
        <f t="shared" si="77"/>
        <v>40157879</v>
      </c>
    </row>
    <row r="3108" customHeight="1" spans="1:31">
      <c r="A3108" s="2" t="s">
        <v>3360</v>
      </c>
      <c r="B3108" s="2">
        <v>106</v>
      </c>
      <c r="C3108" s="2">
        <v>3588432</v>
      </c>
      <c r="D3108" s="2" t="s">
        <v>975</v>
      </c>
      <c r="E3108" s="2" t="s">
        <v>40</v>
      </c>
      <c r="F3108" t="s">
        <v>40</v>
      </c>
      <c r="N3108" s="2" t="s">
        <v>18</v>
      </c>
      <c r="O3108" s="2" t="s">
        <v>19</v>
      </c>
      <c r="P3108" s="2">
        <v>6000000</v>
      </c>
      <c r="Q3108" s="2">
        <v>6.7</v>
      </c>
      <c r="R3108" s="2" t="s">
        <v>5660</v>
      </c>
      <c r="S3108" s="2"/>
      <c r="AC3108" s="2"/>
      <c r="AD3108" t="str">
        <f>IFERROR(__xludf.DUMMYFUNCTION("""COMPUTED_VALUE"""),"Darkness Falls ")</f>
        <v>Darkness Falls </v>
      </c>
      <c r="AE3108">
        <f t="shared" si="77"/>
        <v>113709882</v>
      </c>
    </row>
    <row r="3109" customHeight="1" spans="1:31">
      <c r="A3109" s="2" t="s">
        <v>3362</v>
      </c>
      <c r="B3109" s="2">
        <v>96</v>
      </c>
      <c r="C3109" s="2">
        <v>4394936</v>
      </c>
      <c r="D3109" s="2" t="s">
        <v>959</v>
      </c>
      <c r="E3109" s="2" t="s">
        <v>40</v>
      </c>
      <c r="F3109" t="s">
        <v>17</v>
      </c>
      <c r="N3109" s="2" t="s">
        <v>18</v>
      </c>
      <c r="O3109" s="2" t="s">
        <v>293</v>
      </c>
      <c r="P3109" s="2">
        <v>6000000</v>
      </c>
      <c r="Q3109" s="2">
        <v>5.3</v>
      </c>
      <c r="R3109" s="2" t="s">
        <v>5661</v>
      </c>
      <c r="S3109" s="2"/>
      <c r="AC3109" s="2"/>
      <c r="AD3109" t="str">
        <f>IFERROR(__xludf.DUMMYFUNCTION("""COMPUTED_VALUE"""),"Live and Let Die ")</f>
        <v>Live and Let Die </v>
      </c>
      <c r="AE3109">
        <f t="shared" si="77"/>
        <v>32131387</v>
      </c>
    </row>
    <row r="3110" customHeight="1" spans="1:31">
      <c r="A3110" s="2" t="s">
        <v>3365</v>
      </c>
      <c r="B3110" s="2">
        <v>95</v>
      </c>
      <c r="C3110" s="2">
        <v>3029081</v>
      </c>
      <c r="D3110" s="2" t="s">
        <v>5662</v>
      </c>
      <c r="E3110" s="2" t="s">
        <v>40</v>
      </c>
      <c r="F3110" t="s">
        <v>30</v>
      </c>
      <c r="N3110" s="2" t="s">
        <v>18</v>
      </c>
      <c r="O3110" s="2" t="s">
        <v>19</v>
      </c>
      <c r="P3110" s="2">
        <v>6000000</v>
      </c>
      <c r="Q3110" s="2">
        <v>7.8</v>
      </c>
      <c r="R3110" s="2" t="s">
        <v>5663</v>
      </c>
      <c r="S3110" s="2"/>
      <c r="AC3110" s="2"/>
      <c r="AD3110" t="str">
        <f>IFERROR(__xludf.DUMMYFUNCTION("""COMPUTED_VALUE"""),"My Dog Skip ")</f>
        <v>My Dog Skip </v>
      </c>
      <c r="AE3110">
        <f t="shared" si="77"/>
        <v>35399879</v>
      </c>
    </row>
    <row r="3111" customHeight="1" spans="1:31">
      <c r="A3111" s="2" t="s">
        <v>2505</v>
      </c>
      <c r="B3111" s="2">
        <v>99</v>
      </c>
      <c r="C3111" s="2">
        <v>3273588</v>
      </c>
      <c r="D3111" s="2" t="s">
        <v>297</v>
      </c>
      <c r="E3111" s="2" t="s">
        <v>12</v>
      </c>
      <c r="F3111" t="s">
        <v>55</v>
      </c>
      <c r="N3111" s="2" t="s">
        <v>18</v>
      </c>
      <c r="O3111" s="2" t="s">
        <v>19</v>
      </c>
      <c r="P3111" s="2">
        <v>6000000</v>
      </c>
      <c r="Q3111" s="2">
        <v>6.7</v>
      </c>
      <c r="R3111" s="2" t="s">
        <v>5664</v>
      </c>
      <c r="S3111" s="2"/>
      <c r="AC3111" s="2"/>
      <c r="AD3111" t="str">
        <f>IFERROR(__xludf.DUMMYFUNCTION("""COMPUTED_VALUE"""),"Jumping the Broom ")</f>
        <v>Jumping the Broom </v>
      </c>
      <c r="AE3111">
        <f t="shared" si="77"/>
        <v>34099545</v>
      </c>
    </row>
    <row r="3112" customHeight="1" spans="1:31">
      <c r="A3112" s="2" t="s">
        <v>3367</v>
      </c>
      <c r="B3112" s="2">
        <v>99</v>
      </c>
      <c r="C3112" s="2">
        <v>2207975</v>
      </c>
      <c r="D3112" s="2" t="s">
        <v>2715</v>
      </c>
      <c r="E3112" s="2" t="s">
        <v>30</v>
      </c>
      <c r="F3112" t="s">
        <v>24</v>
      </c>
      <c r="N3112" s="2" t="s">
        <v>18</v>
      </c>
      <c r="O3112" s="2" t="s">
        <v>19</v>
      </c>
      <c r="P3112" s="2">
        <v>6000000</v>
      </c>
      <c r="Q3112" s="2">
        <v>7.2</v>
      </c>
      <c r="R3112" s="2" t="s">
        <v>5665</v>
      </c>
      <c r="S3112" s="2"/>
      <c r="AC3112" s="2"/>
      <c r="AD3112" t="str">
        <f>IFERROR(__xludf.DUMMYFUNCTION("""COMPUTED_VALUE"""),"Good Night, and Good Luck. ")</f>
        <v>Good Night, and Good Luck. </v>
      </c>
      <c r="AE3112">
        <f t="shared" si="77"/>
        <v>37295282</v>
      </c>
    </row>
    <row r="3113" customHeight="1" spans="1:31">
      <c r="A3113" s="2" t="s">
        <v>3369</v>
      </c>
      <c r="B3113" s="2">
        <v>95</v>
      </c>
      <c r="C3113" s="2">
        <v>2025238</v>
      </c>
      <c r="D3113" s="2" t="s">
        <v>2186</v>
      </c>
      <c r="E3113" s="2" t="s">
        <v>40</v>
      </c>
      <c r="F3113" t="s">
        <v>30</v>
      </c>
      <c r="N3113" s="2" t="s">
        <v>18</v>
      </c>
      <c r="O3113" s="2" t="s">
        <v>19</v>
      </c>
      <c r="P3113" s="2">
        <v>6000000</v>
      </c>
      <c r="Q3113" s="2">
        <v>5.8</v>
      </c>
      <c r="R3113" s="2" t="s">
        <v>5666</v>
      </c>
      <c r="S3113" s="2"/>
      <c r="AC3113" s="2"/>
      <c r="AD3113" t="str">
        <f>IFERROR(__xludf.DUMMYFUNCTION("""COMPUTED_VALUE"""),"Capote ")</f>
        <v>Capote </v>
      </c>
      <c r="AE3113">
        <f t="shared" si="77"/>
        <v>31501125</v>
      </c>
    </row>
    <row r="3114" customHeight="1" spans="1:31">
      <c r="A3114" s="2" t="s">
        <v>1799</v>
      </c>
      <c r="B3114" s="2">
        <v>99</v>
      </c>
      <c r="C3114" s="2">
        <v>2077046</v>
      </c>
      <c r="D3114" s="2" t="s">
        <v>521</v>
      </c>
      <c r="E3114" s="2" t="s">
        <v>40</v>
      </c>
      <c r="F3114" t="s">
        <v>15</v>
      </c>
      <c r="N3114" s="2" t="s">
        <v>18</v>
      </c>
      <c r="O3114" s="2" t="s">
        <v>19</v>
      </c>
      <c r="P3114" s="2">
        <v>6000000</v>
      </c>
      <c r="Q3114" s="2">
        <v>7</v>
      </c>
      <c r="R3114" s="2" t="s">
        <v>5667</v>
      </c>
      <c r="S3114" s="2"/>
      <c r="AC3114" s="2"/>
      <c r="AD3114" t="str">
        <f>IFERROR(__xludf.DUMMYFUNCTION("""COMPUTED_VALUE"""),"Desperado ")</f>
        <v>Desperado </v>
      </c>
      <c r="AE3114">
        <f t="shared" si="77"/>
        <v>28747460</v>
      </c>
    </row>
    <row r="3115" customHeight="1" spans="1:31">
      <c r="A3115" s="2" t="s">
        <v>3371</v>
      </c>
      <c r="B3115" s="2">
        <v>107</v>
      </c>
      <c r="C3115" s="2">
        <v>869325</v>
      </c>
      <c r="D3115" s="2" t="s">
        <v>11</v>
      </c>
      <c r="E3115" s="2" t="s">
        <v>12</v>
      </c>
      <c r="F3115" t="s">
        <v>17</v>
      </c>
      <c r="N3115" s="2" t="s">
        <v>18</v>
      </c>
      <c r="O3115" s="2" t="s">
        <v>19</v>
      </c>
      <c r="P3115" s="2">
        <v>6000000</v>
      </c>
      <c r="Q3115" s="2">
        <v>3.8</v>
      </c>
      <c r="R3115" s="2" t="s">
        <v>5668</v>
      </c>
      <c r="S3115" s="2"/>
      <c r="AC3115" s="2"/>
      <c r="AD3115" t="str">
        <f>IFERROR(__xludf.DUMMYFUNCTION("""COMPUTED_VALUE"""),"Logan's Run ")</f>
        <v>Logan's Run </v>
      </c>
      <c r="AE3115">
        <f t="shared" si="77"/>
        <v>25625006</v>
      </c>
    </row>
    <row r="3116" customHeight="1" spans="1:31">
      <c r="A3116" s="2" t="s">
        <v>3373</v>
      </c>
      <c r="B3116" s="2">
        <v>90</v>
      </c>
      <c r="C3116" s="2">
        <v>399611</v>
      </c>
      <c r="D3116" s="2" t="s">
        <v>592</v>
      </c>
      <c r="E3116" s="2" t="s">
        <v>59</v>
      </c>
      <c r="F3116" t="s">
        <v>30</v>
      </c>
      <c r="N3116" s="2" t="s">
        <v>18</v>
      </c>
      <c r="O3116" s="2" t="s">
        <v>19</v>
      </c>
      <c r="P3116" s="2">
        <v>6000000</v>
      </c>
      <c r="Q3116" s="2">
        <v>5.7</v>
      </c>
      <c r="R3116" s="2" t="s">
        <v>5669</v>
      </c>
      <c r="S3116" s="2"/>
      <c r="AC3116" s="2"/>
      <c r="AD3116" t="str">
        <f>IFERROR(__xludf.DUMMYFUNCTION("""COMPUTED_VALUE"""),"The Man with the Golden Gun ")</f>
        <v>The Man with the Golden Gun </v>
      </c>
      <c r="AE3116">
        <f t="shared" si="77"/>
        <v>24999881</v>
      </c>
    </row>
    <row r="3117" customHeight="1" spans="1:31">
      <c r="A3117" s="2" t="s">
        <v>2267</v>
      </c>
      <c r="B3117" s="2">
        <v>96</v>
      </c>
      <c r="C3117" s="2">
        <v>115862</v>
      </c>
      <c r="D3117" s="2" t="s">
        <v>103</v>
      </c>
      <c r="E3117" s="2" t="s">
        <v>30</v>
      </c>
      <c r="F3117" t="s">
        <v>83</v>
      </c>
      <c r="N3117" s="2" t="s">
        <v>18</v>
      </c>
      <c r="O3117" s="2" t="s">
        <v>19</v>
      </c>
      <c r="P3117" s="2">
        <v>6000000</v>
      </c>
      <c r="Q3117" s="2">
        <v>6.7</v>
      </c>
      <c r="R3117" s="2" t="s">
        <v>5670</v>
      </c>
      <c r="S3117" s="2"/>
      <c r="AC3117" s="2"/>
      <c r="AD3117" t="str">
        <f>IFERROR(__xludf.DUMMYFUNCTION("""COMPUTED_VALUE"""),"Action Jackson ")</f>
        <v>Action Jackson </v>
      </c>
      <c r="AE3117">
        <f t="shared" si="77"/>
        <v>20999875</v>
      </c>
    </row>
    <row r="3118" customHeight="1" spans="1:31">
      <c r="A3118" s="2" t="s">
        <v>1176</v>
      </c>
      <c r="B3118" s="2">
        <v>104</v>
      </c>
      <c r="C3118" s="2">
        <v>1346503</v>
      </c>
      <c r="D3118" s="2" t="s">
        <v>2715</v>
      </c>
      <c r="E3118" s="2" t="s">
        <v>30</v>
      </c>
      <c r="F3118" t="s">
        <v>23</v>
      </c>
      <c r="N3118" s="2" t="s">
        <v>18</v>
      </c>
      <c r="O3118" s="2" t="s">
        <v>343</v>
      </c>
      <c r="P3118" s="2">
        <v>6000000</v>
      </c>
      <c r="Q3118" s="2">
        <v>6.1</v>
      </c>
      <c r="R3118" s="2" t="s">
        <v>5671</v>
      </c>
      <c r="S3118" s="2"/>
      <c r="AC3118" s="2"/>
      <c r="AD3118" t="str">
        <f>IFERROR(__xludf.DUMMYFUNCTION("""COMPUTED_VALUE"""),"The Descent ")</f>
        <v>The Descent </v>
      </c>
      <c r="AE3118">
        <f t="shared" si="77"/>
        <v>20256904</v>
      </c>
    </row>
    <row r="3119" customHeight="1" spans="1:31">
      <c r="A3119" s="2" t="s">
        <v>3375</v>
      </c>
      <c r="B3119" s="2">
        <v>97</v>
      </c>
      <c r="C3119" s="2">
        <v>117560</v>
      </c>
      <c r="D3119" s="2" t="s">
        <v>103</v>
      </c>
      <c r="E3119" s="2" t="s">
        <v>30</v>
      </c>
      <c r="F3119" t="s">
        <v>71</v>
      </c>
      <c r="N3119" s="2" t="s">
        <v>18</v>
      </c>
      <c r="O3119" s="2" t="s">
        <v>19</v>
      </c>
      <c r="P3119" s="2">
        <v>6000000</v>
      </c>
      <c r="Q3119" s="2">
        <v>6.2</v>
      </c>
      <c r="R3119" s="2" t="s">
        <v>5672</v>
      </c>
      <c r="S3119" s="2"/>
      <c r="AC3119" s="2"/>
      <c r="AD3119" t="str">
        <f>IFERROR(__xludf.DUMMYFUNCTION("""COMPUTED_VALUE"""),"Devil's Due ")</f>
        <v>Devil's Due </v>
      </c>
      <c r="AE3119">
        <f t="shared" si="77"/>
        <v>26005808</v>
      </c>
    </row>
    <row r="3120" customHeight="1" spans="1:31">
      <c r="A3120" s="2" t="s">
        <v>2655</v>
      </c>
      <c r="B3120" s="2">
        <v>107</v>
      </c>
      <c r="C3120" s="2">
        <v>54606</v>
      </c>
      <c r="D3120" s="2" t="s">
        <v>1733</v>
      </c>
      <c r="E3120" s="2" t="s">
        <v>40</v>
      </c>
      <c r="F3120" t="s">
        <v>24</v>
      </c>
      <c r="N3120" s="2" t="s">
        <v>18</v>
      </c>
      <c r="O3120" s="2" t="s">
        <v>31</v>
      </c>
      <c r="P3120" s="2">
        <v>6000000</v>
      </c>
      <c r="Q3120" s="2">
        <v>6.2</v>
      </c>
      <c r="R3120" s="2" t="s">
        <v>5673</v>
      </c>
      <c r="S3120" s="2"/>
      <c r="AC3120" s="2"/>
      <c r="AD3120" t="str">
        <f>IFERROR(__xludf.DUMMYFUNCTION("""COMPUTED_VALUE"""),"Flirting with Disaster ")</f>
        <v>Flirting with Disaster </v>
      </c>
      <c r="AE3120">
        <f t="shared" si="77"/>
        <v>15818878</v>
      </c>
    </row>
    <row r="3121" customHeight="1" spans="1:31">
      <c r="A3121" s="2" t="s">
        <v>3378</v>
      </c>
      <c r="B3121" s="2">
        <v>85</v>
      </c>
      <c r="C3121" s="2">
        <v>36497</v>
      </c>
      <c r="D3121" s="2" t="s">
        <v>40</v>
      </c>
      <c r="E3121" s="2" t="s">
        <v>40</v>
      </c>
      <c r="F3121" t="s">
        <v>17</v>
      </c>
      <c r="N3121" s="2" t="s">
        <v>18</v>
      </c>
      <c r="O3121" s="2" t="s">
        <v>19</v>
      </c>
      <c r="P3121" s="2">
        <v>6000000</v>
      </c>
      <c r="Q3121" s="2">
        <v>4.7</v>
      </c>
      <c r="R3121" s="2" t="s">
        <v>5674</v>
      </c>
      <c r="S3121" s="2"/>
      <c r="AC3121" s="2"/>
      <c r="AD3121" t="str">
        <f>IFERROR(__xludf.DUMMYFUNCTION("""COMPUTED_VALUE"""),"The Devil's Rejects ")</f>
        <v>The Devil's Rejects </v>
      </c>
      <c r="AE3121">
        <f t="shared" si="77"/>
        <v>14890908</v>
      </c>
    </row>
    <row r="3122" customHeight="1" spans="1:31">
      <c r="A3122" s="2" t="s">
        <v>2688</v>
      </c>
      <c r="B3122" s="2">
        <v>95</v>
      </c>
      <c r="C3122" s="2">
        <v>65804</v>
      </c>
      <c r="D3122" s="2" t="s">
        <v>805</v>
      </c>
      <c r="E3122" s="2" t="s">
        <v>56</v>
      </c>
      <c r="F3122" t="s">
        <v>39</v>
      </c>
      <c r="N3122" s="2" t="s">
        <v>18</v>
      </c>
      <c r="O3122" s="2" t="s">
        <v>19</v>
      </c>
      <c r="P3122" s="2">
        <v>12000000</v>
      </c>
      <c r="Q3122" s="2">
        <v>6.3</v>
      </c>
      <c r="R3122" s="2" t="s">
        <v>5675</v>
      </c>
      <c r="S3122" s="2"/>
      <c r="AC3122" s="2"/>
      <c r="AD3122" t="str">
        <f>IFERROR(__xludf.DUMMYFUNCTION("""COMPUTED_VALUE"""),"Dope ")</f>
        <v>Dope </v>
      </c>
      <c r="AE3122">
        <f t="shared" si="77"/>
        <v>16901017</v>
      </c>
    </row>
    <row r="3123" customHeight="1" spans="1:31">
      <c r="A3123" s="2" t="s">
        <v>3380</v>
      </c>
      <c r="B3123" s="2">
        <v>111</v>
      </c>
      <c r="C3123" s="2">
        <v>3895664</v>
      </c>
      <c r="D3123" s="2" t="s">
        <v>975</v>
      </c>
      <c r="E3123" s="2" t="s">
        <v>40</v>
      </c>
      <c r="F3123" t="s">
        <v>28</v>
      </c>
      <c r="N3123" s="2" t="s">
        <v>1125</v>
      </c>
      <c r="O3123" s="2" t="s">
        <v>707</v>
      </c>
      <c r="P3123" s="2">
        <v>5300000</v>
      </c>
      <c r="Q3123" s="2">
        <v>7.3</v>
      </c>
      <c r="R3123" s="2" t="s">
        <v>5676</v>
      </c>
      <c r="S3123" s="2"/>
      <c r="AC3123" s="2"/>
      <c r="AD3123" t="str">
        <f>IFERROR(__xludf.DUMMYFUNCTION("""COMPUTED_VALUE"""),"In Too Deep ")</f>
        <v>In Too Deep </v>
      </c>
      <c r="AE3123">
        <f t="shared" si="77"/>
        <v>17474004</v>
      </c>
    </row>
    <row r="3124" customHeight="1" spans="1:31">
      <c r="A3124" s="2" t="s">
        <v>3382</v>
      </c>
      <c r="B3124" s="2">
        <v>86</v>
      </c>
      <c r="C3124" s="2">
        <v>20200</v>
      </c>
      <c r="D3124" s="2" t="s">
        <v>2565</v>
      </c>
      <c r="E3124" s="2" t="s">
        <v>30</v>
      </c>
      <c r="F3124" t="s">
        <v>14</v>
      </c>
      <c r="N3124" s="2" t="s">
        <v>18</v>
      </c>
      <c r="O3124" s="2" t="s">
        <v>19</v>
      </c>
      <c r="P3124" s="2">
        <v>6000000</v>
      </c>
      <c r="Q3124" s="2">
        <v>5.8</v>
      </c>
      <c r="R3124" s="2" t="s">
        <v>5677</v>
      </c>
      <c r="S3124" s="2"/>
      <c r="AC3124" s="2"/>
      <c r="AD3124" t="str">
        <f>IFERROR(__xludf.DUMMYFUNCTION("""COMPUTED_VALUE"""),"House of 1000 Corpses ")</f>
        <v>House of 1000 Corpses </v>
      </c>
      <c r="AE3124">
        <f t="shared" si="77"/>
        <v>14003046</v>
      </c>
    </row>
    <row r="3125" customHeight="1" spans="1:31">
      <c r="A3125" s="2" t="s">
        <v>3384</v>
      </c>
      <c r="B3125" s="2">
        <v>103</v>
      </c>
      <c r="C3125" s="2">
        <v>542860</v>
      </c>
      <c r="D3125" s="2" t="s">
        <v>731</v>
      </c>
      <c r="E3125" s="2" t="s">
        <v>30</v>
      </c>
      <c r="F3125" t="s">
        <v>30</v>
      </c>
      <c r="N3125" s="2" t="s">
        <v>4330</v>
      </c>
      <c r="O3125" s="2" t="s">
        <v>4331</v>
      </c>
      <c r="P3125" s="2">
        <v>4000000</v>
      </c>
      <c r="Q3125" s="2">
        <v>7.1</v>
      </c>
      <c r="R3125" s="2" t="s">
        <v>5678</v>
      </c>
      <c r="S3125" s="2"/>
      <c r="AC3125" s="2"/>
      <c r="AD3125" t="str">
        <f>IFERROR(__xludf.DUMMYFUNCTION("""COMPUTED_VALUE"""),"A Serious Man ")</f>
        <v>A Serious Man </v>
      </c>
      <c r="AE3125">
        <f t="shared" si="77"/>
        <v>12583405</v>
      </c>
    </row>
    <row r="3126" customHeight="1" spans="1:31">
      <c r="A3126" s="2" t="s">
        <v>3387</v>
      </c>
      <c r="B3126" s="2">
        <v>111</v>
      </c>
      <c r="C3126" s="2">
        <v>11905519</v>
      </c>
      <c r="D3126" s="2" t="s">
        <v>186</v>
      </c>
      <c r="E3126" s="2" t="s">
        <v>12</v>
      </c>
      <c r="F3126" t="s">
        <v>28</v>
      </c>
      <c r="N3126" s="2" t="s">
        <v>4933</v>
      </c>
      <c r="O3126" s="2" t="s">
        <v>4934</v>
      </c>
      <c r="P3126" s="2">
        <v>200000000</v>
      </c>
      <c r="Q3126" s="2">
        <v>7.1</v>
      </c>
      <c r="R3126" s="2" t="s">
        <v>5679</v>
      </c>
      <c r="S3126" s="2"/>
      <c r="AC3126" s="2"/>
      <c r="AD3126" t="str">
        <f>IFERROR(__xludf.DUMMYFUNCTION("""COMPUTED_VALUE"""),"Get Low ")</f>
        <v>Get Low </v>
      </c>
      <c r="AE3126">
        <f t="shared" si="77"/>
        <v>9190419</v>
      </c>
    </row>
    <row r="3127" customHeight="1" spans="1:31">
      <c r="A3127" s="2" t="s">
        <v>3258</v>
      </c>
      <c r="B3127" s="2">
        <v>112</v>
      </c>
      <c r="C3127" s="2">
        <v>32541719</v>
      </c>
      <c r="D3127" s="2" t="s">
        <v>1826</v>
      </c>
      <c r="E3127" s="2" t="s">
        <v>40</v>
      </c>
      <c r="F3127" t="s">
        <v>65</v>
      </c>
      <c r="N3127" s="2" t="s">
        <v>18</v>
      </c>
      <c r="O3127" s="2" t="s">
        <v>31</v>
      </c>
      <c r="P3127" s="2">
        <v>3500159</v>
      </c>
      <c r="Q3127" s="2">
        <v>6.7</v>
      </c>
      <c r="R3127" s="2" t="s">
        <v>5680</v>
      </c>
      <c r="S3127" s="2"/>
      <c r="AC3127" s="2"/>
      <c r="AD3127" t="str">
        <f>IFERROR(__xludf.DUMMYFUNCTION("""COMPUTED_VALUE"""),"Warlock ")</f>
        <v>Warlock </v>
      </c>
      <c r="AE3127">
        <f t="shared" ref="AE3127:AE3190" si="78">C3011-B3011</f>
        <v>9176453</v>
      </c>
    </row>
    <row r="3128" customHeight="1" spans="1:31">
      <c r="A3128" s="2" t="s">
        <v>3149</v>
      </c>
      <c r="B3128" s="2">
        <v>141</v>
      </c>
      <c r="C3128" s="2">
        <v>3064356</v>
      </c>
      <c r="D3128" s="2" t="s">
        <v>103</v>
      </c>
      <c r="E3128" s="2" t="s">
        <v>30</v>
      </c>
      <c r="F3128" t="s">
        <v>30</v>
      </c>
      <c r="N3128" s="2" t="s">
        <v>18</v>
      </c>
      <c r="O3128" s="2" t="s">
        <v>19</v>
      </c>
      <c r="P3128" s="2">
        <v>5600000</v>
      </c>
      <c r="Q3128" s="2">
        <v>6.9</v>
      </c>
      <c r="R3128" s="2" t="s">
        <v>5681</v>
      </c>
      <c r="S3128" s="2"/>
      <c r="AC3128" s="2"/>
      <c r="AD3128" t="str">
        <f>IFERROR(__xludf.DUMMYFUNCTION("""COMPUTED_VALUE"""),"Beyond the Lights ")</f>
        <v>Beyond the Lights </v>
      </c>
      <c r="AE3128">
        <f t="shared" si="78"/>
        <v>9094348</v>
      </c>
    </row>
    <row r="3129" customHeight="1" spans="1:31">
      <c r="A3129" s="2" t="s">
        <v>2743</v>
      </c>
      <c r="B3129" s="2">
        <v>95</v>
      </c>
      <c r="C3129" s="2">
        <v>7009668</v>
      </c>
      <c r="D3129" s="2" t="s">
        <v>5682</v>
      </c>
      <c r="E3129" s="2" t="s">
        <v>12</v>
      </c>
      <c r="F3129" t="s">
        <v>17</v>
      </c>
      <c r="N3129" s="2" t="s">
        <v>18</v>
      </c>
      <c r="O3129" s="2" t="s">
        <v>19</v>
      </c>
      <c r="P3129" s="2">
        <v>5600000</v>
      </c>
      <c r="Q3129" s="2">
        <v>2.1</v>
      </c>
      <c r="R3129" s="2" t="s">
        <v>5683</v>
      </c>
      <c r="S3129" s="2"/>
      <c r="AC3129" s="2"/>
      <c r="AD3129" t="str">
        <f>IFERROR(__xludf.DUMMYFUNCTION("""COMPUTED_VALUE"""),"A Single Man ")</f>
        <v>A Single Man </v>
      </c>
      <c r="AE3129">
        <f t="shared" si="78"/>
        <v>14612724</v>
      </c>
    </row>
    <row r="3130" customHeight="1" spans="1:31">
      <c r="A3130" s="2" t="s">
        <v>2948</v>
      </c>
      <c r="B3130" s="2">
        <v>85</v>
      </c>
      <c r="C3130" s="2">
        <v>27024</v>
      </c>
      <c r="D3130" s="2" t="s">
        <v>72</v>
      </c>
      <c r="E3130" s="2" t="s">
        <v>72</v>
      </c>
      <c r="F3130" t="s">
        <v>56</v>
      </c>
      <c r="N3130" s="2" t="s">
        <v>1081</v>
      </c>
      <c r="O3130" s="2" t="s">
        <v>1431</v>
      </c>
      <c r="P3130" s="2">
        <v>5600000</v>
      </c>
      <c r="Q3130" s="2">
        <v>6.6</v>
      </c>
      <c r="R3130" s="2" t="s">
        <v>5684</v>
      </c>
      <c r="S3130" s="2"/>
      <c r="AC3130" s="2"/>
      <c r="AD3130" t="str">
        <f>IFERROR(__xludf.DUMMYFUNCTION("""COMPUTED_VALUE"""),"The Last Temptation of Christ ")</f>
        <v>The Last Temptation of Christ </v>
      </c>
      <c r="AE3130">
        <f t="shared" si="78"/>
        <v>9166764</v>
      </c>
    </row>
    <row r="3131" customHeight="1" spans="1:31">
      <c r="A3131" s="2" t="s">
        <v>3319</v>
      </c>
      <c r="B3131" s="2">
        <v>129</v>
      </c>
      <c r="C3131" s="2">
        <v>159600000</v>
      </c>
      <c r="D3131" s="2" t="s">
        <v>3855</v>
      </c>
      <c r="E3131" s="2" t="s">
        <v>40</v>
      </c>
      <c r="F3131" t="s">
        <v>17</v>
      </c>
      <c r="N3131" s="2" t="s">
        <v>18</v>
      </c>
      <c r="O3131" s="2" t="s">
        <v>19</v>
      </c>
      <c r="P3131" s="2">
        <v>5500000</v>
      </c>
      <c r="Q3131" s="2">
        <v>8.3</v>
      </c>
      <c r="R3131" s="2" t="s">
        <v>5685</v>
      </c>
      <c r="S3131" s="2"/>
      <c r="AC3131" s="2"/>
      <c r="AD3131" t="str">
        <f>IFERROR(__xludf.DUMMYFUNCTION("""COMPUTED_VALUE"""),"Outside Providence ")</f>
        <v>Outside Providence </v>
      </c>
      <c r="AE3131">
        <f t="shared" si="78"/>
        <v>8373421</v>
      </c>
    </row>
    <row r="3132" customHeight="1" spans="1:31">
      <c r="A3132" s="2" t="s">
        <v>1724</v>
      </c>
      <c r="B3132" s="2">
        <v>125</v>
      </c>
      <c r="C3132" s="2">
        <v>58800000</v>
      </c>
      <c r="D3132" s="2" t="s">
        <v>592</v>
      </c>
      <c r="E3132" s="2" t="s">
        <v>59</v>
      </c>
      <c r="F3132" t="s">
        <v>30</v>
      </c>
      <c r="N3132" s="2" t="s">
        <v>18</v>
      </c>
      <c r="O3132" s="2" t="s">
        <v>31</v>
      </c>
      <c r="P3132" s="2">
        <v>5500000</v>
      </c>
      <c r="Q3132" s="2">
        <v>7.2</v>
      </c>
      <c r="R3132" s="2" t="s">
        <v>5686</v>
      </c>
      <c r="S3132" s="2"/>
      <c r="AC3132" s="2"/>
      <c r="AD3132" t="str">
        <f>IFERROR(__xludf.DUMMYFUNCTION("""COMPUTED_VALUE"""),"Bride &amp; Prejudice ")</f>
        <v>Bride &amp; Prejudice </v>
      </c>
      <c r="AE3132">
        <f t="shared" si="78"/>
        <v>7292079</v>
      </c>
    </row>
    <row r="3133" customHeight="1" spans="1:31">
      <c r="A3133" s="2" t="s">
        <v>3390</v>
      </c>
      <c r="B3133" s="2">
        <v>116</v>
      </c>
      <c r="C3133" s="2">
        <v>50382128</v>
      </c>
      <c r="D3133" s="2" t="s">
        <v>521</v>
      </c>
      <c r="E3133" s="2" t="s">
        <v>40</v>
      </c>
      <c r="F3133" t="s">
        <v>23</v>
      </c>
      <c r="N3133" s="2" t="s">
        <v>18</v>
      </c>
      <c r="O3133" s="2" t="s">
        <v>19</v>
      </c>
      <c r="P3133" s="2">
        <v>5500000</v>
      </c>
      <c r="Q3133" s="2">
        <v>5.6</v>
      </c>
      <c r="R3133" s="2" t="s">
        <v>5687</v>
      </c>
      <c r="S3133" s="2"/>
      <c r="AC3133" s="2"/>
      <c r="AD3133" t="str">
        <f>IFERROR(__xludf.DUMMYFUNCTION("""COMPUTED_VALUE"""),"Rabbit-Proof Fence ")</f>
        <v>Rabbit-Proof Fence </v>
      </c>
      <c r="AE3133">
        <f t="shared" si="78"/>
        <v>6600957</v>
      </c>
    </row>
    <row r="3134" customHeight="1" spans="1:31">
      <c r="A3134" s="2" t="s">
        <v>1643</v>
      </c>
      <c r="B3134" s="2">
        <v>105</v>
      </c>
      <c r="C3134" s="2">
        <v>35811509</v>
      </c>
      <c r="D3134" s="2" t="s">
        <v>3680</v>
      </c>
      <c r="E3134" s="2" t="s">
        <v>59</v>
      </c>
      <c r="F3134" t="s">
        <v>65</v>
      </c>
      <c r="N3134" s="2" t="s">
        <v>18</v>
      </c>
      <c r="O3134" s="2" t="s">
        <v>159</v>
      </c>
      <c r="P3134" s="2">
        <v>5500000</v>
      </c>
      <c r="Q3134" s="2">
        <v>7.7</v>
      </c>
      <c r="R3134" s="2" t="s">
        <v>5688</v>
      </c>
      <c r="S3134" s="2"/>
      <c r="AC3134" s="2"/>
      <c r="AD3134" t="str">
        <f>IFERROR(__xludf.DUMMYFUNCTION("""COMPUTED_VALUE"""),"Who's Your Caddy? ")</f>
        <v>Who's Your Caddy? </v>
      </c>
      <c r="AE3134">
        <f t="shared" si="78"/>
        <v>6165335</v>
      </c>
    </row>
    <row r="3135" customHeight="1" spans="1:31">
      <c r="A3135" s="2" t="s">
        <v>3393</v>
      </c>
      <c r="B3135" s="2">
        <v>90</v>
      </c>
      <c r="C3135" s="2">
        <v>24475193</v>
      </c>
      <c r="D3135" s="2" t="s">
        <v>521</v>
      </c>
      <c r="E3135" s="2" t="s">
        <v>40</v>
      </c>
      <c r="F3135" t="s">
        <v>30</v>
      </c>
      <c r="N3135" s="2" t="s">
        <v>18</v>
      </c>
      <c r="O3135" s="2" t="s">
        <v>19</v>
      </c>
      <c r="P3135" s="2">
        <v>3000000</v>
      </c>
      <c r="Q3135" s="2">
        <v>6.6</v>
      </c>
      <c r="R3135" s="2" t="s">
        <v>5689</v>
      </c>
      <c r="S3135" s="2"/>
      <c r="AC3135" s="2"/>
      <c r="AD3135" t="str">
        <f>IFERROR(__xludf.DUMMYFUNCTION("""COMPUTED_VALUE"""),"Split Second ")</f>
        <v>Split Second </v>
      </c>
      <c r="AE3135">
        <f t="shared" si="78"/>
        <v>5694215</v>
      </c>
    </row>
    <row r="3136" customHeight="1" spans="1:31">
      <c r="A3136" s="2" t="s">
        <v>2375</v>
      </c>
      <c r="B3136" s="2">
        <v>111</v>
      </c>
      <c r="C3136" s="2">
        <v>6200756</v>
      </c>
      <c r="D3136" s="2" t="s">
        <v>975</v>
      </c>
      <c r="E3136" s="2" t="s">
        <v>40</v>
      </c>
      <c r="F3136" t="s">
        <v>30</v>
      </c>
      <c r="N3136" s="2" t="s">
        <v>18</v>
      </c>
      <c r="O3136" s="2" t="s">
        <v>19</v>
      </c>
      <c r="P3136" s="2">
        <v>7000000</v>
      </c>
      <c r="Q3136" s="2">
        <v>7.4</v>
      </c>
      <c r="R3136" s="2" t="s">
        <v>5690</v>
      </c>
      <c r="S3136" s="2"/>
      <c r="AC3136" s="2"/>
      <c r="AD3136" t="str">
        <f>IFERROR(__xludf.DUMMYFUNCTION("""COMPUTED_VALUE"""),"The Other Side of Heaven ")</f>
        <v>The Other Side of Heaven </v>
      </c>
      <c r="AE3136">
        <f t="shared" si="78"/>
        <v>5430726</v>
      </c>
    </row>
    <row r="3137" customHeight="1" spans="1:31">
      <c r="A3137" s="2" t="s">
        <v>1956</v>
      </c>
      <c r="B3137" s="2">
        <v>91</v>
      </c>
      <c r="C3137" s="2">
        <v>1292119</v>
      </c>
      <c r="D3137" s="2" t="s">
        <v>2624</v>
      </c>
      <c r="E3137" s="2" t="s">
        <v>59</v>
      </c>
      <c r="F3137" t="s">
        <v>24</v>
      </c>
      <c r="N3137" s="2" t="s">
        <v>18</v>
      </c>
      <c r="O3137" s="2" t="s">
        <v>31</v>
      </c>
      <c r="P3137" s="2">
        <v>5500000</v>
      </c>
      <c r="Q3137" s="2">
        <v>7.1</v>
      </c>
      <c r="R3137" s="2" t="s">
        <v>5691</v>
      </c>
      <c r="S3137" s="2"/>
      <c r="AC3137" s="2"/>
      <c r="AD3137" t="str">
        <f>IFERROR(__xludf.DUMMYFUNCTION("""COMPUTED_VALUE"""),"Veer-Zaara ")</f>
        <v>Veer-Zaara </v>
      </c>
      <c r="AE3137">
        <f t="shared" si="78"/>
        <v>4720258</v>
      </c>
    </row>
    <row r="3138" customHeight="1" spans="1:31">
      <c r="A3138" s="2" t="s">
        <v>3396</v>
      </c>
      <c r="B3138" s="2">
        <v>97</v>
      </c>
      <c r="C3138" s="2">
        <v>3629758</v>
      </c>
      <c r="D3138" s="2" t="s">
        <v>2565</v>
      </c>
      <c r="E3138" s="2" t="s">
        <v>30</v>
      </c>
      <c r="F3138" t="s">
        <v>17</v>
      </c>
      <c r="N3138" s="2" t="s">
        <v>1125</v>
      </c>
      <c r="O3138" s="2" t="s">
        <v>707</v>
      </c>
      <c r="P3138" s="2">
        <v>5500000</v>
      </c>
      <c r="Q3138" s="2">
        <v>7.9</v>
      </c>
      <c r="R3138" s="2" t="s">
        <v>5692</v>
      </c>
      <c r="S3138" s="2"/>
      <c r="AC3138" s="2"/>
      <c r="AD3138" t="str">
        <f>IFERROR(__xludf.DUMMYFUNCTION("""COMPUTED_VALUE"""),"Redbelt ")</f>
        <v>Redbelt </v>
      </c>
      <c r="AE3138">
        <f t="shared" si="78"/>
        <v>2921546</v>
      </c>
    </row>
    <row r="3139" customHeight="1" spans="1:31">
      <c r="A3139" s="2" t="s">
        <v>3398</v>
      </c>
      <c r="B3139" s="2">
        <v>92</v>
      </c>
      <c r="C3139" s="2">
        <v>6239558</v>
      </c>
      <c r="D3139" s="2" t="s">
        <v>975</v>
      </c>
      <c r="E3139" s="2" t="s">
        <v>40</v>
      </c>
      <c r="F3139" t="s">
        <v>56</v>
      </c>
      <c r="N3139" s="2" t="s">
        <v>18</v>
      </c>
      <c r="O3139" s="2" t="s">
        <v>121</v>
      </c>
      <c r="P3139" s="2">
        <v>5000000</v>
      </c>
      <c r="Q3139" s="2">
        <v>6.7</v>
      </c>
      <c r="R3139" s="2" t="s">
        <v>5693</v>
      </c>
      <c r="S3139" s="2"/>
      <c r="AC3139" s="2"/>
      <c r="AD3139" t="str">
        <f>IFERROR(__xludf.DUMMYFUNCTION("""COMPUTED_VALUE"""),"Cyrus ")</f>
        <v>Cyrus </v>
      </c>
      <c r="AE3139">
        <f t="shared" si="78"/>
        <v>2344748</v>
      </c>
    </row>
    <row r="3140" customHeight="1" spans="1:31">
      <c r="A3140" s="2" t="s">
        <v>3400</v>
      </c>
      <c r="B3140" s="2">
        <v>104</v>
      </c>
      <c r="C3140" s="2">
        <v>1056102</v>
      </c>
      <c r="D3140" s="2" t="s">
        <v>814</v>
      </c>
      <c r="E3140" s="2" t="s">
        <v>56</v>
      </c>
      <c r="F3140" t="s">
        <v>55</v>
      </c>
      <c r="N3140" s="2" t="s">
        <v>18</v>
      </c>
      <c r="O3140" s="2" t="s">
        <v>19</v>
      </c>
      <c r="P3140" s="2">
        <v>5000000</v>
      </c>
      <c r="Q3140" s="2">
        <v>6.6</v>
      </c>
      <c r="R3140" s="2" t="s">
        <v>5694</v>
      </c>
      <c r="S3140" s="2"/>
      <c r="AC3140" s="2"/>
      <c r="AD3140" t="str">
        <f>IFERROR(__xludf.DUMMYFUNCTION("""COMPUTED_VALUE"""),"A Dog of Flanders ")</f>
        <v>A Dog of Flanders </v>
      </c>
      <c r="AE3140">
        <f t="shared" si="78"/>
        <v>7455356</v>
      </c>
    </row>
    <row r="3141" customHeight="1" spans="1:31">
      <c r="A3141" s="2" t="s">
        <v>1259</v>
      </c>
      <c r="B3141" s="2">
        <v>120</v>
      </c>
      <c r="C3141" s="2">
        <v>27545445</v>
      </c>
      <c r="D3141" s="2" t="s">
        <v>30</v>
      </c>
      <c r="E3141" s="2" t="s">
        <v>30</v>
      </c>
      <c r="F3141" t="s">
        <v>72</v>
      </c>
      <c r="N3141" s="2" t="s">
        <v>18</v>
      </c>
      <c r="O3141" s="2" t="s">
        <v>19</v>
      </c>
      <c r="P3141" s="2">
        <v>6500000</v>
      </c>
      <c r="Q3141" s="2">
        <v>7.9</v>
      </c>
      <c r="R3141" s="2" t="s">
        <v>5695</v>
      </c>
      <c r="S3141" s="2"/>
      <c r="AC3141" s="2"/>
      <c r="AD3141" t="str">
        <f>IFERROR(__xludf.DUMMYFUNCTION("""COMPUTED_VALUE"""),"Auto Focus ")</f>
        <v>Auto Focus </v>
      </c>
      <c r="AE3141">
        <f t="shared" si="78"/>
        <v>2148112</v>
      </c>
    </row>
    <row r="3142" customHeight="1" spans="1:31">
      <c r="A3142" s="2" t="s">
        <v>3403</v>
      </c>
      <c r="B3142" s="2">
        <v>99</v>
      </c>
      <c r="C3142" s="2">
        <v>56007</v>
      </c>
      <c r="D3142" s="2" t="s">
        <v>5451</v>
      </c>
      <c r="E3142" s="2" t="s">
        <v>40</v>
      </c>
      <c r="F3142" t="s">
        <v>30</v>
      </c>
      <c r="N3142" s="2" t="s">
        <v>18</v>
      </c>
      <c r="O3142" s="2" t="s">
        <v>19</v>
      </c>
      <c r="P3142" s="2">
        <v>5500000</v>
      </c>
      <c r="Q3142" s="2">
        <v>4.9</v>
      </c>
      <c r="R3142" s="2" t="s">
        <v>5696</v>
      </c>
      <c r="S3142" s="2"/>
      <c r="AC3142" s="2"/>
      <c r="AD3142" t="str">
        <f>IFERROR(__xludf.DUMMYFUNCTION("""COMPUTED_VALUE"""),"Factory Girl ")</f>
        <v>Factory Girl </v>
      </c>
      <c r="AE3142">
        <f t="shared" si="78"/>
        <v>2061961</v>
      </c>
    </row>
    <row r="3143" customHeight="1" spans="1:31">
      <c r="A3143" s="2" t="s">
        <v>3405</v>
      </c>
      <c r="B3143" s="2">
        <v>93</v>
      </c>
      <c r="C3143" s="2">
        <v>611709</v>
      </c>
      <c r="D3143" s="2" t="s">
        <v>975</v>
      </c>
      <c r="E3143" s="2" t="s">
        <v>40</v>
      </c>
      <c r="F3143" t="s">
        <v>16</v>
      </c>
      <c r="N3143" s="2" t="s">
        <v>1125</v>
      </c>
      <c r="O3143" s="2" t="s">
        <v>5697</v>
      </c>
      <c r="P3143" s="2">
        <v>3850000</v>
      </c>
      <c r="Q3143" s="2">
        <v>7.2</v>
      </c>
      <c r="R3143" s="2" t="s">
        <v>5698</v>
      </c>
      <c r="S3143" s="2"/>
      <c r="AC3143" s="2"/>
      <c r="AD3143" t="str">
        <f>IFERROR(__xludf.DUMMYFUNCTION("""COMPUTED_VALUE"""),"We Need to Talk About Kevin ")</f>
        <v>We Need to Talk About Kevin </v>
      </c>
      <c r="AE3143">
        <f t="shared" si="78"/>
        <v>1654268</v>
      </c>
    </row>
    <row r="3144" customHeight="1" spans="1:31">
      <c r="A3144" s="2" t="s">
        <v>3407</v>
      </c>
      <c r="B3144" s="2">
        <v>99</v>
      </c>
      <c r="C3144" s="2">
        <v>22770</v>
      </c>
      <c r="D3144" s="2" t="s">
        <v>975</v>
      </c>
      <c r="E3144" s="2" t="s">
        <v>40</v>
      </c>
      <c r="F3144" t="s">
        <v>23</v>
      </c>
      <c r="N3144" s="2" t="s">
        <v>3256</v>
      </c>
      <c r="O3144" s="2" t="s">
        <v>1160</v>
      </c>
      <c r="P3144" s="2">
        <v>5500000</v>
      </c>
      <c r="Q3144" s="2">
        <v>6.1</v>
      </c>
      <c r="R3144" s="2" t="s">
        <v>5699</v>
      </c>
      <c r="S3144" s="2"/>
      <c r="AC3144" s="2"/>
      <c r="AD3144" t="str">
        <f>IFERROR(__xludf.DUMMYFUNCTION("""COMPUTED_VALUE"""),"The Mighty Macs ")</f>
        <v>The Mighty Macs </v>
      </c>
      <c r="AE3144">
        <f t="shared" si="78"/>
        <v>1738580</v>
      </c>
    </row>
    <row r="3145" customHeight="1" spans="1:31">
      <c r="A3145" s="2" t="s">
        <v>3409</v>
      </c>
      <c r="B3145" s="2">
        <v>96</v>
      </c>
      <c r="C3145" s="2">
        <v>27445</v>
      </c>
      <c r="D3145" s="2" t="s">
        <v>5700</v>
      </c>
      <c r="E3145" s="2" t="s">
        <v>12</v>
      </c>
      <c r="F3145" t="s">
        <v>24</v>
      </c>
      <c r="N3145" s="2" t="s">
        <v>18</v>
      </c>
      <c r="O3145" s="2" t="s">
        <v>19</v>
      </c>
      <c r="P3145" s="2">
        <v>9000000</v>
      </c>
      <c r="Q3145" s="2">
        <v>5.3</v>
      </c>
      <c r="R3145" s="2" t="s">
        <v>5701</v>
      </c>
      <c r="S3145" s="2"/>
      <c r="AC3145" s="2"/>
      <c r="AD3145" t="str">
        <f>IFERROR(__xludf.DUMMYFUNCTION("""COMPUTED_VALUE"""),"Mother and Child ")</f>
        <v>Mother and Child </v>
      </c>
      <c r="AE3145">
        <f t="shared" si="78"/>
        <v>1889423</v>
      </c>
    </row>
    <row r="3146" customHeight="1" spans="1:31">
      <c r="A3146" s="2" t="s">
        <v>1934</v>
      </c>
      <c r="B3146" s="2">
        <v>96</v>
      </c>
      <c r="C3146" s="2">
        <v>766487</v>
      </c>
      <c r="D3146" s="2" t="s">
        <v>607</v>
      </c>
      <c r="E3146" s="2" t="s">
        <v>40</v>
      </c>
      <c r="F3146" t="s">
        <v>28</v>
      </c>
      <c r="N3146" s="2" t="s">
        <v>18</v>
      </c>
      <c r="O3146" s="2" t="s">
        <v>19</v>
      </c>
      <c r="P3146" s="2">
        <v>5250000</v>
      </c>
      <c r="Q3146" s="2">
        <v>5</v>
      </c>
      <c r="R3146" s="2" t="s">
        <v>5702</v>
      </c>
      <c r="S3146" s="2"/>
      <c r="AC3146" s="2"/>
      <c r="AD3146" t="str">
        <f>IFERROR(__xludf.DUMMYFUNCTION("""COMPUTED_VALUE"""),"March or Die ")</f>
        <v>March or Die </v>
      </c>
      <c r="AE3146">
        <f t="shared" si="78"/>
        <v>1110161</v>
      </c>
    </row>
    <row r="3147" customHeight="1" spans="1:31">
      <c r="A3147" s="2" t="s">
        <v>2549</v>
      </c>
      <c r="B3147" s="2">
        <v>100</v>
      </c>
      <c r="C3147" s="2">
        <v>1196752</v>
      </c>
      <c r="D3147" s="2" t="s">
        <v>805</v>
      </c>
      <c r="E3147" s="2" t="s">
        <v>56</v>
      </c>
      <c r="F3147" t="s">
        <v>17</v>
      </c>
      <c r="N3147" s="2" t="s">
        <v>5703</v>
      </c>
      <c r="O3147" s="2" t="s">
        <v>5704</v>
      </c>
      <c r="P3147" s="2">
        <v>30300000</v>
      </c>
      <c r="Q3147" s="2">
        <v>7.6</v>
      </c>
      <c r="R3147" s="2" t="s">
        <v>5705</v>
      </c>
      <c r="S3147" s="2"/>
      <c r="AC3147" s="2"/>
      <c r="AD3147" t="str">
        <f>IFERROR(__xludf.DUMMYFUNCTION("""COMPUTED_VALUE"""),"Les visiteurs ")</f>
        <v>Les visiteurs </v>
      </c>
      <c r="AE3147">
        <f t="shared" si="78"/>
        <v>999893</v>
      </c>
    </row>
    <row r="3148" customHeight="1" spans="1:31">
      <c r="A3148" s="2" t="s">
        <v>3411</v>
      </c>
      <c r="B3148" s="2">
        <v>98</v>
      </c>
      <c r="C3148" s="2">
        <v>795126</v>
      </c>
      <c r="D3148" s="2" t="s">
        <v>2602</v>
      </c>
      <c r="E3148" s="2" t="s">
        <v>40</v>
      </c>
      <c r="F3148" t="s">
        <v>30</v>
      </c>
      <c r="N3148" s="2" t="s">
        <v>18</v>
      </c>
      <c r="O3148" s="2" t="s">
        <v>121</v>
      </c>
      <c r="P3148" s="2">
        <v>6000000</v>
      </c>
      <c r="Q3148" s="2">
        <v>7.6</v>
      </c>
      <c r="R3148" s="2" t="s">
        <v>5706</v>
      </c>
      <c r="S3148" s="2"/>
      <c r="AC3148" s="2"/>
      <c r="AD3148" t="str">
        <f>IFERROR(__xludf.DUMMYFUNCTION("""COMPUTED_VALUE"""),"Somewhere ")</f>
        <v>Somewhere </v>
      </c>
      <c r="AE3148">
        <f t="shared" si="78"/>
        <v>699893</v>
      </c>
    </row>
    <row r="3149" customHeight="1" spans="1:31">
      <c r="A3149" s="2" t="s">
        <v>149</v>
      </c>
      <c r="B3149" s="2">
        <v>106</v>
      </c>
      <c r="C3149" s="2">
        <v>83574831</v>
      </c>
      <c r="D3149" s="2" t="s">
        <v>4101</v>
      </c>
      <c r="E3149" s="2" t="s">
        <v>14</v>
      </c>
      <c r="F3149" t="s">
        <v>30</v>
      </c>
      <c r="N3149" s="2" t="s">
        <v>18</v>
      </c>
      <c r="O3149" s="2" t="s">
        <v>19</v>
      </c>
      <c r="P3149" s="2">
        <v>5000000</v>
      </c>
      <c r="Q3149" s="2">
        <v>6.6</v>
      </c>
      <c r="R3149" s="2" t="s">
        <v>5707</v>
      </c>
      <c r="S3149" s="2"/>
      <c r="AC3149" s="2"/>
      <c r="AD3149" t="str">
        <f>IFERROR(__xludf.DUMMYFUNCTION("""COMPUTED_VALUE"""),"Chairman of the Board ")</f>
        <v>Chairman of the Board </v>
      </c>
      <c r="AE3149">
        <f t="shared" si="78"/>
        <v>1768319</v>
      </c>
    </row>
    <row r="3150" customHeight="1" spans="1:31">
      <c r="A3150" s="2" t="s">
        <v>2958</v>
      </c>
      <c r="B3150" s="2">
        <v>95</v>
      </c>
      <c r="C3150" s="2">
        <v>87025093</v>
      </c>
      <c r="D3150" s="2" t="s">
        <v>2613</v>
      </c>
      <c r="E3150" s="2" t="s">
        <v>72</v>
      </c>
      <c r="F3150" t="s">
        <v>13</v>
      </c>
      <c r="N3150" s="2" t="s">
        <v>18</v>
      </c>
      <c r="O3150" s="2" t="s">
        <v>19</v>
      </c>
      <c r="P3150" s="2">
        <v>4000000</v>
      </c>
      <c r="Q3150" s="2">
        <v>6.6</v>
      </c>
      <c r="R3150" s="2" t="s">
        <v>5708</v>
      </c>
      <c r="S3150" s="2"/>
      <c r="AC3150" s="2"/>
      <c r="AD3150" t="str">
        <f>IFERROR(__xludf.DUMMYFUNCTION("""COMPUTED_VALUE"""),"Hesher ")</f>
        <v>Hesher </v>
      </c>
      <c r="AE3150">
        <f t="shared" si="78"/>
        <v>306620</v>
      </c>
    </row>
    <row r="3151" customHeight="1" spans="1:31">
      <c r="A3151" s="2" t="s">
        <v>3413</v>
      </c>
      <c r="B3151" s="2">
        <v>104</v>
      </c>
      <c r="C3151" s="2">
        <v>71897215</v>
      </c>
      <c r="D3151" s="2" t="s">
        <v>5709</v>
      </c>
      <c r="E3151" s="2" t="s">
        <v>30</v>
      </c>
      <c r="F3151" t="s">
        <v>40</v>
      </c>
      <c r="N3151" s="2" t="s">
        <v>18</v>
      </c>
      <c r="O3151" s="2" t="s">
        <v>19</v>
      </c>
      <c r="P3151" s="2">
        <v>15000000</v>
      </c>
      <c r="Q3151" s="2">
        <v>7.3</v>
      </c>
      <c r="R3151" s="2" t="s">
        <v>5710</v>
      </c>
      <c r="S3151" s="2"/>
      <c r="AC3151" s="2"/>
      <c r="AD3151" t="str">
        <f>IFERROR(__xludf.DUMMYFUNCTION("""COMPUTED_VALUE"""),"Gerry ")</f>
        <v>Gerry </v>
      </c>
      <c r="AE3151">
        <f t="shared" si="78"/>
        <v>382840</v>
      </c>
    </row>
    <row r="3152" customHeight="1" spans="1:31">
      <c r="A3152" s="2" t="s">
        <v>2205</v>
      </c>
      <c r="B3152" s="2">
        <v>87</v>
      </c>
      <c r="C3152" s="2">
        <v>64267897</v>
      </c>
      <c r="D3152" s="2" t="s">
        <v>5711</v>
      </c>
      <c r="E3152" s="2" t="s">
        <v>40</v>
      </c>
      <c r="F3152" t="s">
        <v>28</v>
      </c>
      <c r="N3152" s="2" t="s">
        <v>18</v>
      </c>
      <c r="O3152" s="2" t="s">
        <v>19</v>
      </c>
      <c r="P3152" s="2">
        <v>5000000</v>
      </c>
      <c r="Q3152" s="2">
        <v>6.6</v>
      </c>
      <c r="R3152" s="2" t="s">
        <v>5712</v>
      </c>
      <c r="S3152" s="2"/>
      <c r="AC3152" s="2"/>
      <c r="AD3152" t="str">
        <f>IFERROR(__xludf.DUMMYFUNCTION("""COMPUTED_VALUE"""),"The Heart of Me ")</f>
        <v>The Heart of Me </v>
      </c>
      <c r="AE3152">
        <f t="shared" si="78"/>
        <v>236163</v>
      </c>
    </row>
    <row r="3153" customHeight="1" spans="1:31">
      <c r="A3153" s="2" t="s">
        <v>3415</v>
      </c>
      <c r="B3153" s="2">
        <v>81</v>
      </c>
      <c r="C3153" s="2">
        <v>56536016</v>
      </c>
      <c r="D3153" s="2" t="s">
        <v>72</v>
      </c>
      <c r="E3153" s="2" t="s">
        <v>72</v>
      </c>
      <c r="F3153" t="s">
        <v>13</v>
      </c>
      <c r="N3153" s="2" t="s">
        <v>18</v>
      </c>
      <c r="O3153" s="2" t="s">
        <v>19</v>
      </c>
      <c r="P3153" s="2">
        <v>4900000</v>
      </c>
      <c r="Q3153" s="2">
        <v>6.9</v>
      </c>
      <c r="R3153" s="2" t="s">
        <v>5713</v>
      </c>
      <c r="S3153" s="2"/>
      <c r="AC3153" s="2"/>
      <c r="AD3153" t="str">
        <f>IFERROR(__xludf.DUMMYFUNCTION("""COMPUTED_VALUE"""),"Freeheld ")</f>
        <v>Freeheld </v>
      </c>
      <c r="AE3153">
        <f t="shared" si="78"/>
        <v>195971</v>
      </c>
    </row>
    <row r="3154" customHeight="1" spans="1:31">
      <c r="A3154" s="2" t="s">
        <v>2263</v>
      </c>
      <c r="B3154" s="2">
        <v>94</v>
      </c>
      <c r="C3154" s="2">
        <v>104007828</v>
      </c>
      <c r="D3154" s="2" t="s">
        <v>72</v>
      </c>
      <c r="E3154" s="2" t="s">
        <v>72</v>
      </c>
      <c r="F3154" t="s">
        <v>40</v>
      </c>
      <c r="N3154" s="2" t="s">
        <v>18</v>
      </c>
      <c r="O3154" s="2" t="s">
        <v>19</v>
      </c>
      <c r="P3154" s="2">
        <v>5000000</v>
      </c>
      <c r="Q3154" s="2">
        <v>5.8</v>
      </c>
      <c r="R3154" s="2" t="s">
        <v>5714</v>
      </c>
      <c r="S3154" s="2"/>
      <c r="AC3154" s="2"/>
      <c r="AD3154" t="str">
        <f>IFERROR(__xludf.DUMMYFUNCTION("""COMPUTED_VALUE"""),"The Extra Man ")</f>
        <v>The Extra Man </v>
      </c>
      <c r="AE3154">
        <f t="shared" si="78"/>
        <v>532885</v>
      </c>
    </row>
    <row r="3155" customHeight="1" spans="1:31">
      <c r="A3155" s="2" t="s">
        <v>3417</v>
      </c>
      <c r="B3155" s="2">
        <v>89</v>
      </c>
      <c r="C3155" s="2">
        <v>50820940</v>
      </c>
      <c r="D3155" s="2" t="s">
        <v>3112</v>
      </c>
      <c r="E3155" s="2" t="s">
        <v>14</v>
      </c>
      <c r="F3155" t="s">
        <v>56</v>
      </c>
      <c r="N3155" s="2" t="s">
        <v>18</v>
      </c>
      <c r="O3155" s="2" t="s">
        <v>19</v>
      </c>
      <c r="P3155" s="2">
        <v>5000000</v>
      </c>
      <c r="Q3155" s="2">
        <v>4.4</v>
      </c>
      <c r="R3155" s="2" t="s">
        <v>5715</v>
      </c>
      <c r="S3155" s="2"/>
      <c r="AC3155" s="2"/>
      <c r="AD3155" t="str">
        <f>IFERROR(__xludf.DUMMYFUNCTION("""COMPUTED_VALUE"""),"Ca$h ")</f>
        <v>Ca$h </v>
      </c>
      <c r="AE3155">
        <f t="shared" si="78"/>
        <v>452971</v>
      </c>
    </row>
    <row r="3156" customHeight="1" spans="1:31">
      <c r="A3156" s="2" t="s">
        <v>624</v>
      </c>
      <c r="B3156" s="2">
        <v>88</v>
      </c>
      <c r="C3156" s="2">
        <v>44793200</v>
      </c>
      <c r="D3156" s="2" t="s">
        <v>3756</v>
      </c>
      <c r="E3156" s="2" t="s">
        <v>12</v>
      </c>
      <c r="F3156" t="s">
        <v>72</v>
      </c>
      <c r="N3156" s="2" t="s">
        <v>18</v>
      </c>
      <c r="O3156" s="2" t="s">
        <v>19</v>
      </c>
      <c r="P3156" s="2">
        <v>4500000</v>
      </c>
      <c r="Q3156" s="2">
        <v>6.6</v>
      </c>
      <c r="R3156" s="2" t="s">
        <v>5716</v>
      </c>
      <c r="S3156" s="2"/>
      <c r="AC3156" s="2"/>
      <c r="AD3156" t="str">
        <f>IFERROR(__xludf.DUMMYFUNCTION("""COMPUTED_VALUE"""),"Wah-Wah ")</f>
        <v>Wah-Wah </v>
      </c>
      <c r="AE3156">
        <f t="shared" si="78"/>
        <v>46333</v>
      </c>
    </row>
    <row r="3157" customHeight="1" spans="1:31">
      <c r="A3157" s="2" t="s">
        <v>3419</v>
      </c>
      <c r="B3157" s="2">
        <v>115</v>
      </c>
      <c r="C3157" s="2">
        <v>44456509</v>
      </c>
      <c r="D3157" s="2" t="s">
        <v>975</v>
      </c>
      <c r="E3157" s="2" t="s">
        <v>40</v>
      </c>
      <c r="F3157" t="s">
        <v>24</v>
      </c>
      <c r="N3157" s="2" t="s">
        <v>1081</v>
      </c>
      <c r="O3157" s="2" t="s">
        <v>4531</v>
      </c>
      <c r="P3157" s="2">
        <v>5000000</v>
      </c>
      <c r="Q3157" s="2">
        <v>7.6</v>
      </c>
      <c r="R3157" s="2" t="s">
        <v>5717</v>
      </c>
      <c r="S3157" s="2"/>
      <c r="AC3157" s="2"/>
      <c r="AD3157" t="str">
        <f>IFERROR(__xludf.DUMMYFUNCTION("""COMPUTED_VALUE"""),"Pale Rider ")</f>
        <v>Pale Rider </v>
      </c>
      <c r="AE3157">
        <f t="shared" si="78"/>
        <v>233006</v>
      </c>
    </row>
    <row r="3158" customHeight="1" spans="1:31">
      <c r="A3158" s="2" t="s">
        <v>2263</v>
      </c>
      <c r="B3158" s="2">
        <v>96</v>
      </c>
      <c r="C3158" s="2">
        <v>53884821</v>
      </c>
      <c r="D3158" s="2" t="s">
        <v>72</v>
      </c>
      <c r="E3158" s="2" t="s">
        <v>72</v>
      </c>
      <c r="F3158" t="s">
        <v>40</v>
      </c>
      <c r="N3158" s="2" t="s">
        <v>18</v>
      </c>
      <c r="O3158" s="2" t="s">
        <v>19</v>
      </c>
      <c r="P3158" s="2">
        <v>5000000</v>
      </c>
      <c r="Q3158" s="2">
        <v>4.6</v>
      </c>
      <c r="R3158" s="2" t="s">
        <v>5718</v>
      </c>
      <c r="S3158" s="2"/>
      <c r="AC3158" s="2"/>
      <c r="AD3158" t="str">
        <f>IFERROR(__xludf.DUMMYFUNCTION("""COMPUTED_VALUE"""),"Dazed and Confused ")</f>
        <v>Dazed and Confused </v>
      </c>
      <c r="AE3158">
        <f t="shared" si="78"/>
        <v>41399885</v>
      </c>
    </row>
    <row r="3159" customHeight="1" spans="1:31">
      <c r="A3159" s="2" t="s">
        <v>3421</v>
      </c>
      <c r="B3159" s="2">
        <v>135</v>
      </c>
      <c r="C3159" s="2">
        <v>36000000</v>
      </c>
      <c r="D3159" s="2" t="s">
        <v>2715</v>
      </c>
      <c r="E3159" s="2" t="s">
        <v>30</v>
      </c>
      <c r="F3159" t="s">
        <v>30</v>
      </c>
      <c r="N3159" s="2" t="s">
        <v>18</v>
      </c>
      <c r="O3159" s="2" t="s">
        <v>19</v>
      </c>
      <c r="P3159" s="2">
        <v>5000000</v>
      </c>
      <c r="Q3159" s="2">
        <v>6.8</v>
      </c>
      <c r="R3159" s="2" t="s">
        <v>5719</v>
      </c>
      <c r="S3159" s="2"/>
      <c r="AC3159" s="2"/>
      <c r="AD3159" t="str">
        <f>IFERROR(__xludf.DUMMYFUNCTION("""COMPUTED_VALUE"""),"Aimee &amp; Jaguar ")</f>
        <v>Aimee &amp; Jaguar </v>
      </c>
      <c r="AE3159">
        <f t="shared" si="78"/>
        <v>7992937</v>
      </c>
    </row>
    <row r="3160" customHeight="1" spans="1:31">
      <c r="A3160" s="2" t="s">
        <v>2095</v>
      </c>
      <c r="B3160" s="2">
        <v>93</v>
      </c>
      <c r="C3160" s="2">
        <v>34872293</v>
      </c>
      <c r="D3160" s="2" t="s">
        <v>3391</v>
      </c>
      <c r="E3160" s="2" t="s">
        <v>40</v>
      </c>
      <c r="F3160" t="s">
        <v>17</v>
      </c>
      <c r="N3160" s="2" t="s">
        <v>18</v>
      </c>
      <c r="O3160" s="2" t="s">
        <v>19</v>
      </c>
      <c r="P3160" s="2">
        <v>8500000</v>
      </c>
      <c r="Q3160" s="2">
        <v>4.9</v>
      </c>
      <c r="R3160" s="2" t="s">
        <v>5720</v>
      </c>
      <c r="S3160" s="2"/>
      <c r="AC3160" s="2"/>
      <c r="AD3160" t="str">
        <f>IFERROR(__xludf.DUMMYFUNCTION("""COMPUTED_VALUE"""),"The Chumscrubber ")</f>
        <v>The Chumscrubber </v>
      </c>
      <c r="AE3160">
        <f t="shared" si="78"/>
        <v>926982</v>
      </c>
    </row>
    <row r="3161" customHeight="1" spans="1:31">
      <c r="A3161" s="2" t="s">
        <v>3423</v>
      </c>
      <c r="B3161" s="2">
        <v>109</v>
      </c>
      <c r="C3161" s="2">
        <v>34468224</v>
      </c>
      <c r="D3161" s="2" t="s">
        <v>2341</v>
      </c>
      <c r="E3161" s="2" t="s">
        <v>59</v>
      </c>
      <c r="F3161" t="s">
        <v>24</v>
      </c>
      <c r="N3161" s="2" t="s">
        <v>18</v>
      </c>
      <c r="O3161" s="2" t="s">
        <v>19</v>
      </c>
      <c r="P3161" s="2">
        <v>4500000</v>
      </c>
      <c r="Q3161" s="2">
        <v>7.3</v>
      </c>
      <c r="R3161" s="2" t="s">
        <v>5721</v>
      </c>
      <c r="S3161" s="2"/>
      <c r="AC3161" s="2"/>
      <c r="AD3161" t="str">
        <f>IFERROR(__xludf.DUMMYFUNCTION("""COMPUTED_VALUE"""),"Shade ")</f>
        <v>Shade </v>
      </c>
      <c r="AE3161">
        <f t="shared" si="78"/>
        <v>49418</v>
      </c>
    </row>
    <row r="3162" customHeight="1" spans="1:31">
      <c r="A3162" s="2" t="s">
        <v>3425</v>
      </c>
      <c r="B3162" s="2">
        <v>101</v>
      </c>
      <c r="C3162" s="2">
        <v>32453345</v>
      </c>
      <c r="D3162" s="2" t="s">
        <v>4101</v>
      </c>
      <c r="E3162" s="2" t="s">
        <v>14</v>
      </c>
      <c r="F3162" t="s">
        <v>30</v>
      </c>
      <c r="N3162" s="2" t="s">
        <v>18</v>
      </c>
      <c r="O3162" s="2" t="s">
        <v>19</v>
      </c>
      <c r="P3162" s="2">
        <v>5000000</v>
      </c>
      <c r="Q3162" s="2">
        <v>5</v>
      </c>
      <c r="R3162" s="2" t="s">
        <v>5722</v>
      </c>
      <c r="S3162" s="2"/>
      <c r="AC3162" s="2"/>
      <c r="AD3162" t="str">
        <f>IFERROR(__xludf.DUMMYFUNCTION("""COMPUTED_VALUE"""),"House at the End of the Street ")</f>
        <v>House at the End of the Street </v>
      </c>
      <c r="AE3162">
        <f t="shared" si="78"/>
        <v>10595</v>
      </c>
    </row>
    <row r="3163" customHeight="1" spans="1:31">
      <c r="A3163" s="2" t="s">
        <v>1701</v>
      </c>
      <c r="B3163" s="2">
        <v>117</v>
      </c>
      <c r="C3163" s="2">
        <v>27296514</v>
      </c>
      <c r="D3163" s="2" t="s">
        <v>562</v>
      </c>
      <c r="E3163" s="2" t="s">
        <v>59</v>
      </c>
      <c r="F3163" t="s">
        <v>83</v>
      </c>
      <c r="N3163" s="2" t="s">
        <v>18</v>
      </c>
      <c r="O3163" s="2" t="s">
        <v>19</v>
      </c>
      <c r="P3163" s="2">
        <v>5000000</v>
      </c>
      <c r="Q3163" s="2">
        <v>8</v>
      </c>
      <c r="R3163" s="2" t="s">
        <v>5723</v>
      </c>
      <c r="S3163" s="2"/>
      <c r="AC3163" s="2"/>
      <c r="AD3163" t="str">
        <f>IFERROR(__xludf.DUMMYFUNCTION("""COMPUTED_VALUE"""),"Incendies ")</f>
        <v>Incendies </v>
      </c>
      <c r="AE3163">
        <f t="shared" si="78"/>
        <v>31607497</v>
      </c>
    </row>
    <row r="3164" customHeight="1" spans="1:31">
      <c r="A3164" s="2" t="s">
        <v>3427</v>
      </c>
      <c r="B3164" s="2">
        <v>83</v>
      </c>
      <c r="C3164" s="2">
        <v>25799043</v>
      </c>
      <c r="D3164" s="2" t="s">
        <v>1764</v>
      </c>
      <c r="E3164" s="2" t="s">
        <v>72</v>
      </c>
      <c r="F3164" t="s">
        <v>56</v>
      </c>
      <c r="N3164" s="2" t="s">
        <v>18</v>
      </c>
      <c r="O3164" s="2" t="s">
        <v>19</v>
      </c>
      <c r="P3164" s="2">
        <v>3300000</v>
      </c>
      <c r="Q3164" s="2">
        <v>5.2</v>
      </c>
      <c r="R3164" s="2" t="s">
        <v>5724</v>
      </c>
      <c r="S3164" s="2"/>
      <c r="AC3164" s="2"/>
      <c r="AD3164" t="str">
        <f>IFERROR(__xludf.DUMMYFUNCTION("""COMPUTED_VALUE"""),"Remember Me, My Love ")</f>
        <v>Remember Me, My Love </v>
      </c>
      <c r="AE3164">
        <f t="shared" si="78"/>
        <v>6856957</v>
      </c>
    </row>
    <row r="3165" customHeight="1" spans="1:31">
      <c r="A3165" s="2" t="s">
        <v>33</v>
      </c>
      <c r="B3165" s="2">
        <v>113</v>
      </c>
      <c r="C3165" s="2">
        <v>25530884</v>
      </c>
      <c r="D3165" s="2" t="s">
        <v>328</v>
      </c>
      <c r="E3165" s="2" t="s">
        <v>28</v>
      </c>
      <c r="F3165" t="s">
        <v>30</v>
      </c>
      <c r="N3165" s="2" t="s">
        <v>18</v>
      </c>
      <c r="O3165" s="2" t="s">
        <v>19</v>
      </c>
      <c r="P3165" s="2">
        <v>9000000</v>
      </c>
      <c r="Q3165" s="2">
        <v>8.5</v>
      </c>
      <c r="R3165" s="2" t="s">
        <v>5725</v>
      </c>
      <c r="S3165" s="2"/>
      <c r="AC3165" s="2"/>
      <c r="AD3165" t="str">
        <f>IFERROR(__xludf.DUMMYFUNCTION("""COMPUTED_VALUE"""),"Elite Squad ")</f>
        <v>Elite Squad </v>
      </c>
      <c r="AE3165">
        <f t="shared" si="78"/>
        <v>223753</v>
      </c>
    </row>
    <row r="3166" customHeight="1" spans="1:31">
      <c r="A3166" s="2" t="s">
        <v>3429</v>
      </c>
      <c r="B3166" s="2">
        <v>104</v>
      </c>
      <c r="C3166" s="2">
        <v>27689474</v>
      </c>
      <c r="D3166" s="2" t="s">
        <v>2613</v>
      </c>
      <c r="E3166" s="2" t="s">
        <v>72</v>
      </c>
      <c r="F3166" t="s">
        <v>17</v>
      </c>
      <c r="N3166" s="2" t="s">
        <v>18</v>
      </c>
      <c r="O3166" s="2" t="s">
        <v>19</v>
      </c>
      <c r="P3166" s="2">
        <v>5000000</v>
      </c>
      <c r="Q3166" s="2">
        <v>6.5</v>
      </c>
      <c r="R3166" s="2" t="s">
        <v>5726</v>
      </c>
      <c r="S3166" s="2"/>
      <c r="AC3166" s="2"/>
      <c r="AD3166" t="str">
        <f>IFERROR(__xludf.DUMMYFUNCTION("""COMPUTED_VALUE"""),"Annabelle ")</f>
        <v>Annabelle </v>
      </c>
      <c r="AE3166">
        <f t="shared" si="78"/>
        <v>7945</v>
      </c>
    </row>
    <row r="3167" customHeight="1" spans="1:31">
      <c r="A3167" s="2" t="s">
        <v>1632</v>
      </c>
      <c r="B3167" s="2">
        <v>97</v>
      </c>
      <c r="C3167" s="2">
        <v>24138847</v>
      </c>
      <c r="D3167" s="2" t="s">
        <v>40</v>
      </c>
      <c r="E3167" s="2" t="s">
        <v>40</v>
      </c>
      <c r="F3167" t="s">
        <v>28</v>
      </c>
      <c r="N3167" s="2" t="s">
        <v>18</v>
      </c>
      <c r="O3167" s="2" t="s">
        <v>19</v>
      </c>
      <c r="P3167" s="2">
        <v>5000000</v>
      </c>
      <c r="Q3167" s="2">
        <v>7.4</v>
      </c>
      <c r="R3167" s="2" t="s">
        <v>5727</v>
      </c>
      <c r="S3167" s="2"/>
      <c r="AC3167" s="2"/>
      <c r="AD3167" t="str">
        <f>IFERROR(__xludf.DUMMYFUNCTION("""COMPUTED_VALUE"""),"Bran Nue Dae ")</f>
        <v>Bran Nue Dae </v>
      </c>
      <c r="AE3167">
        <f t="shared" si="78"/>
        <v>84263738</v>
      </c>
    </row>
    <row r="3168" customHeight="1" spans="1:31">
      <c r="A3168" s="2" t="s">
        <v>1538</v>
      </c>
      <c r="B3168" s="2">
        <v>110</v>
      </c>
      <c r="C3168" s="2">
        <v>21994911</v>
      </c>
      <c r="D3168" s="2" t="s">
        <v>2565</v>
      </c>
      <c r="E3168" s="2" t="s">
        <v>30</v>
      </c>
      <c r="F3168" t="s">
        <v>30</v>
      </c>
      <c r="N3168" s="2" t="s">
        <v>18</v>
      </c>
      <c r="O3168" s="2" t="s">
        <v>31</v>
      </c>
      <c r="P3168" s="2">
        <v>5000000</v>
      </c>
      <c r="Q3168" s="2">
        <v>7.7</v>
      </c>
      <c r="R3168" s="2" t="s">
        <v>5728</v>
      </c>
      <c r="S3168" s="2"/>
      <c r="AC3168" s="2"/>
      <c r="AD3168" t="str">
        <f>IFERROR(__xludf.DUMMYFUNCTION("""COMPUTED_VALUE"""),"Boyz n the Hood ")</f>
        <v>Boyz n the Hood </v>
      </c>
      <c r="AE3168">
        <f t="shared" si="78"/>
        <v>109941</v>
      </c>
    </row>
    <row r="3169" customHeight="1" spans="1:31">
      <c r="A3169" s="2" t="s">
        <v>3431</v>
      </c>
      <c r="B3169" s="2">
        <v>103</v>
      </c>
      <c r="C3169" s="2">
        <v>21501098</v>
      </c>
      <c r="D3169" s="2" t="s">
        <v>975</v>
      </c>
      <c r="E3169" s="2" t="s">
        <v>40</v>
      </c>
      <c r="F3169" t="s">
        <v>59</v>
      </c>
      <c r="N3169" s="2" t="s">
        <v>18</v>
      </c>
      <c r="O3169" s="2" t="s">
        <v>19</v>
      </c>
      <c r="P3169" s="2">
        <v>5000000</v>
      </c>
      <c r="Q3169" s="2">
        <v>7.4</v>
      </c>
      <c r="R3169" s="2" t="s">
        <v>5729</v>
      </c>
      <c r="S3169" s="2"/>
      <c r="AC3169" s="2"/>
      <c r="AD3169" t="str">
        <f>IFERROR(__xludf.DUMMYFUNCTION("""COMPUTED_VALUE"""),"La Bamba ")</f>
        <v>La Bamba </v>
      </c>
      <c r="AE3169">
        <f t="shared" si="78"/>
        <v>57503957</v>
      </c>
    </row>
    <row r="3170" customHeight="1" spans="1:31">
      <c r="A3170" s="2" t="s">
        <v>3433</v>
      </c>
      <c r="B3170" s="2">
        <v>94</v>
      </c>
      <c r="C3170" s="2">
        <v>19281235</v>
      </c>
      <c r="D3170" s="2" t="s">
        <v>2389</v>
      </c>
      <c r="E3170" s="2" t="s">
        <v>40</v>
      </c>
      <c r="F3170" t="s">
        <v>29</v>
      </c>
      <c r="N3170" s="2" t="s">
        <v>18</v>
      </c>
      <c r="O3170" s="2" t="s">
        <v>19</v>
      </c>
      <c r="P3170" s="2">
        <v>5000000</v>
      </c>
      <c r="Q3170" s="2">
        <v>5.1</v>
      </c>
      <c r="R3170" s="2" t="s">
        <v>5730</v>
      </c>
      <c r="S3170" s="2"/>
      <c r="AC3170" s="2"/>
      <c r="AD3170" t="str">
        <f>IFERROR(__xludf.DUMMYFUNCTION("""COMPUTED_VALUE"""),"Dressed to Kill ")</f>
        <v>Dressed to Kill </v>
      </c>
      <c r="AE3170">
        <f t="shared" si="78"/>
        <v>54215308</v>
      </c>
    </row>
    <row r="3171" customHeight="1" spans="1:31">
      <c r="A3171" s="2" t="s">
        <v>3436</v>
      </c>
      <c r="B3171" s="2">
        <v>77</v>
      </c>
      <c r="C3171" s="2">
        <v>19421271</v>
      </c>
      <c r="D3171" s="2" t="s">
        <v>1159</v>
      </c>
      <c r="E3171" s="2" t="s">
        <v>35</v>
      </c>
      <c r="F3171" t="s">
        <v>17</v>
      </c>
      <c r="N3171" s="2" t="s">
        <v>18</v>
      </c>
      <c r="O3171" s="2" t="s">
        <v>19</v>
      </c>
      <c r="P3171" s="2">
        <v>5000000</v>
      </c>
      <c r="Q3171" s="2">
        <v>5</v>
      </c>
      <c r="R3171" s="2" t="s">
        <v>5731</v>
      </c>
      <c r="S3171" s="2"/>
      <c r="AC3171" s="2"/>
      <c r="AD3171" t="str">
        <f>IFERROR(__xludf.DUMMYFUNCTION("""COMPUTED_VALUE"""),"The Adventures of Huck Finn ")</f>
        <v>The Adventures of Huck Finn </v>
      </c>
      <c r="AE3171">
        <f t="shared" si="78"/>
        <v>31898896</v>
      </c>
    </row>
    <row r="3172" customHeight="1" spans="1:31">
      <c r="A3172" s="2" t="s">
        <v>3438</v>
      </c>
      <c r="B3172" s="2">
        <v>134</v>
      </c>
      <c r="C3172" s="2">
        <v>20733485</v>
      </c>
      <c r="D3172" s="2" t="s">
        <v>30</v>
      </c>
      <c r="E3172" s="2" t="s">
        <v>30</v>
      </c>
      <c r="F3172" t="s">
        <v>55</v>
      </c>
      <c r="N3172" s="2" t="s">
        <v>18</v>
      </c>
      <c r="O3172" s="2" t="s">
        <v>19</v>
      </c>
      <c r="P3172" s="2">
        <v>5000000</v>
      </c>
      <c r="Q3172" s="2">
        <v>7.2</v>
      </c>
      <c r="R3172" s="2" t="s">
        <v>5732</v>
      </c>
      <c r="S3172" s="2"/>
      <c r="AC3172" s="2"/>
      <c r="AD3172" t="str">
        <f>IFERROR(__xludf.DUMMYFUNCTION("""COMPUTED_VALUE"""),"Go ")</f>
        <v>Go </v>
      </c>
      <c r="AE3172">
        <f t="shared" si="78"/>
        <v>24103486</v>
      </c>
    </row>
    <row r="3173" customHeight="1" spans="1:31">
      <c r="A3173" s="2" t="s">
        <v>3440</v>
      </c>
      <c r="B3173" s="2">
        <v>90</v>
      </c>
      <c r="C3173" s="2">
        <v>24809547</v>
      </c>
      <c r="D3173" s="2" t="s">
        <v>975</v>
      </c>
      <c r="E3173" s="2" t="s">
        <v>40</v>
      </c>
      <c r="F3173" t="s">
        <v>65</v>
      </c>
      <c r="N3173" s="2" t="s">
        <v>18</v>
      </c>
      <c r="O3173" s="2" t="s">
        <v>19</v>
      </c>
      <c r="P3173" s="2">
        <v>5000000</v>
      </c>
      <c r="Q3173" s="2">
        <v>6.4</v>
      </c>
      <c r="R3173" s="2" t="s">
        <v>5733</v>
      </c>
      <c r="S3173" s="2"/>
      <c r="AC3173" s="2"/>
      <c r="AD3173" t="str">
        <f>IFERROR(__xludf.DUMMYFUNCTION("""COMPUTED_VALUE"""),"Friends with Money ")</f>
        <v>Friends with Money </v>
      </c>
      <c r="AE3173">
        <f t="shared" si="78"/>
        <v>16842201</v>
      </c>
    </row>
    <row r="3174" customHeight="1" spans="1:31">
      <c r="A3174" s="2" t="s">
        <v>3442</v>
      </c>
      <c r="B3174" s="2">
        <v>104</v>
      </c>
      <c r="C3174" s="2">
        <v>23031390</v>
      </c>
      <c r="D3174" s="2" t="s">
        <v>975</v>
      </c>
      <c r="E3174" s="2" t="s">
        <v>40</v>
      </c>
      <c r="F3174" t="s">
        <v>30</v>
      </c>
      <c r="N3174" s="2" t="s">
        <v>18</v>
      </c>
      <c r="O3174" s="2" t="s">
        <v>19</v>
      </c>
      <c r="P3174" s="2">
        <v>4500000</v>
      </c>
      <c r="Q3174" s="2">
        <v>5.6</v>
      </c>
      <c r="R3174" s="2" t="s">
        <v>5734</v>
      </c>
      <c r="S3174" s="2"/>
      <c r="AC3174" s="2"/>
      <c r="AD3174" t="str">
        <f>IFERROR(__xludf.DUMMYFUNCTION("""COMPUTED_VALUE"""),"Bats ")</f>
        <v>Bats </v>
      </c>
      <c r="AE3174">
        <f t="shared" si="78"/>
        <v>13367013</v>
      </c>
    </row>
    <row r="3175" customHeight="1" spans="1:31">
      <c r="A3175" s="2" t="s">
        <v>2830</v>
      </c>
      <c r="B3175" s="2">
        <v>93</v>
      </c>
      <c r="C3175" s="2">
        <v>21197315</v>
      </c>
      <c r="D3175" s="2" t="s">
        <v>1189</v>
      </c>
      <c r="E3175" s="2" t="s">
        <v>72</v>
      </c>
      <c r="F3175" t="s">
        <v>13</v>
      </c>
      <c r="N3175" s="2" t="s">
        <v>18</v>
      </c>
      <c r="O3175" s="2" t="s">
        <v>19</v>
      </c>
      <c r="P3175" s="2">
        <v>5000000</v>
      </c>
      <c r="Q3175" s="2">
        <v>6.1</v>
      </c>
      <c r="R3175" s="2" t="s">
        <v>5735</v>
      </c>
      <c r="S3175" s="2"/>
      <c r="AC3175" s="2"/>
      <c r="AD3175" t="str">
        <f>IFERROR(__xludf.DUMMYFUNCTION("""COMPUTED_VALUE"""),"Nowhere in Africa ")</f>
        <v>Nowhere in Africa </v>
      </c>
      <c r="AE3175">
        <f t="shared" si="78"/>
        <v>10149688</v>
      </c>
    </row>
    <row r="3176" customHeight="1" spans="1:31">
      <c r="A3176" s="2" t="s">
        <v>2383</v>
      </c>
      <c r="B3176" s="2">
        <v>106</v>
      </c>
      <c r="C3176" s="2">
        <v>17382982</v>
      </c>
      <c r="D3176" s="2" t="s">
        <v>1655</v>
      </c>
      <c r="E3176" s="2" t="s">
        <v>30</v>
      </c>
      <c r="F3176" t="s">
        <v>30</v>
      </c>
      <c r="N3176" s="2" t="s">
        <v>1081</v>
      </c>
      <c r="O3176" s="2" t="s">
        <v>19</v>
      </c>
      <c r="P3176" s="2">
        <v>5000000</v>
      </c>
      <c r="Q3176" s="2">
        <v>5.2</v>
      </c>
      <c r="R3176" s="2" t="s">
        <v>5736</v>
      </c>
      <c r="S3176" s="2"/>
      <c r="AC3176" s="2"/>
      <c r="AD3176" t="str">
        <f>IFERROR(__xludf.DUMMYFUNCTION("""COMPUTED_VALUE"""),"Shame ")</f>
        <v>Shame </v>
      </c>
      <c r="AE3176">
        <f t="shared" si="78"/>
        <v>6173344</v>
      </c>
    </row>
    <row r="3177" customHeight="1" spans="1:31">
      <c r="A3177" s="2" t="s">
        <v>2438</v>
      </c>
      <c r="B3177" s="2">
        <v>109</v>
      </c>
      <c r="C3177" s="2">
        <v>14821531</v>
      </c>
      <c r="D3177" s="2" t="s">
        <v>30</v>
      </c>
      <c r="E3177" s="2" t="s">
        <v>30</v>
      </c>
      <c r="F3177" t="s">
        <v>17</v>
      </c>
      <c r="N3177" s="2" t="s">
        <v>18</v>
      </c>
      <c r="O3177" s="2" t="s">
        <v>19</v>
      </c>
      <c r="P3177" s="2">
        <v>6000000</v>
      </c>
      <c r="Q3177" s="2">
        <v>7.3</v>
      </c>
      <c r="R3177" s="2" t="s">
        <v>5737</v>
      </c>
      <c r="S3177" s="2"/>
      <c r="AC3177" s="2"/>
      <c r="AD3177" t="str">
        <f>IFERROR(__xludf.DUMMYFUNCTION("""COMPUTED_VALUE"""),"Layer Cake ")</f>
        <v>Layer Cake </v>
      </c>
      <c r="AE3177">
        <f t="shared" si="78"/>
        <v>4000203</v>
      </c>
    </row>
    <row r="3178" customHeight="1" spans="1:31">
      <c r="A3178" s="2" t="s">
        <v>3444</v>
      </c>
      <c r="B3178" s="2">
        <v>101</v>
      </c>
      <c r="C3178" s="2">
        <v>18656400</v>
      </c>
      <c r="D3178" s="2" t="s">
        <v>30</v>
      </c>
      <c r="E3178" s="2" t="s">
        <v>30</v>
      </c>
      <c r="F3178" t="s">
        <v>56</v>
      </c>
      <c r="N3178" s="2" t="s">
        <v>18</v>
      </c>
      <c r="O3178" s="2" t="s">
        <v>19</v>
      </c>
      <c r="P3178" s="2">
        <v>5000000</v>
      </c>
      <c r="Q3178" s="2">
        <v>7.5</v>
      </c>
      <c r="R3178" s="2" t="s">
        <v>5738</v>
      </c>
      <c r="S3178" s="2"/>
      <c r="AC3178" s="2"/>
      <c r="AD3178" t="str">
        <f>IFERROR(__xludf.DUMMYFUNCTION("""COMPUTED_VALUE"""),"The Work and the Glory II: American Zion ")</f>
        <v>The Work and the Glory II: American Zion </v>
      </c>
      <c r="AE3178">
        <f t="shared" si="78"/>
        <v>2338590</v>
      </c>
    </row>
    <row r="3179" customHeight="1" spans="1:31">
      <c r="A3179" s="2" t="s">
        <v>3446</v>
      </c>
      <c r="B3179" s="2">
        <v>100</v>
      </c>
      <c r="C3179" s="2">
        <v>14343976</v>
      </c>
      <c r="D3179" s="2" t="s">
        <v>5739</v>
      </c>
      <c r="E3179" s="2" t="s">
        <v>13</v>
      </c>
      <c r="F3179" t="s">
        <v>30</v>
      </c>
      <c r="N3179" s="2" t="s">
        <v>18</v>
      </c>
      <c r="O3179" s="2" t="s">
        <v>19</v>
      </c>
      <c r="P3179" s="2">
        <v>5000000</v>
      </c>
      <c r="Q3179" s="2">
        <v>4.5</v>
      </c>
      <c r="R3179" s="2" t="s">
        <v>5740</v>
      </c>
      <c r="S3179" s="2"/>
      <c r="AC3179" s="2"/>
      <c r="AD3179" t="str">
        <f>IFERROR(__xludf.DUMMYFUNCTION("""COMPUTED_VALUE"""),"The East ")</f>
        <v>The East </v>
      </c>
      <c r="AE3179">
        <f t="shared" si="78"/>
        <v>2024754</v>
      </c>
    </row>
    <row r="3180" customHeight="1" spans="1:31">
      <c r="A3180" s="2" t="s">
        <v>1402</v>
      </c>
      <c r="B3180" s="2">
        <v>95</v>
      </c>
      <c r="C3180" s="2">
        <v>241437427</v>
      </c>
      <c r="D3180" s="2" t="s">
        <v>1061</v>
      </c>
      <c r="E3180" s="2" t="s">
        <v>40</v>
      </c>
      <c r="F3180" t="s">
        <v>14</v>
      </c>
      <c r="N3180" s="2" t="s">
        <v>18</v>
      </c>
      <c r="O3180" s="2" t="s">
        <v>19</v>
      </c>
      <c r="P3180" s="2">
        <v>5000000</v>
      </c>
      <c r="Q3180" s="2">
        <v>6.6</v>
      </c>
      <c r="R3180" s="2" t="s">
        <v>5741</v>
      </c>
      <c r="S3180" s="2"/>
      <c r="AC3180" s="2"/>
      <c r="AD3180" t="str">
        <f>IFERROR(__xludf.DUMMYFUNCTION("""COMPUTED_VALUE"""),"A Home at the End of the World ")</f>
        <v>A Home at the End of the World </v>
      </c>
      <c r="AE3180">
        <f t="shared" si="78"/>
        <v>2268180</v>
      </c>
    </row>
    <row r="3181" customHeight="1" spans="1:31">
      <c r="A3181" s="2" t="s">
        <v>3448</v>
      </c>
      <c r="B3181" s="2">
        <v>94</v>
      </c>
      <c r="C3181" s="2">
        <v>14123773</v>
      </c>
      <c r="D3181" s="2" t="s">
        <v>718</v>
      </c>
      <c r="E3181" s="2" t="s">
        <v>56</v>
      </c>
      <c r="F3181" t="s">
        <v>30</v>
      </c>
      <c r="N3181" s="2" t="s">
        <v>18</v>
      </c>
      <c r="O3181" s="2" t="s">
        <v>19</v>
      </c>
      <c r="P3181" s="2">
        <v>5000000</v>
      </c>
      <c r="Q3181" s="2">
        <v>5.3</v>
      </c>
      <c r="R3181" s="2" t="s">
        <v>5742</v>
      </c>
      <c r="S3181" s="2"/>
      <c r="AC3181" s="2"/>
      <c r="AD3181" t="str">
        <f>IFERROR(__xludf.DUMMYFUNCTION("""COMPUTED_VALUE"""),"Aberdeen ")</f>
        <v>Aberdeen </v>
      </c>
      <c r="AE3181">
        <f t="shared" si="78"/>
        <v>1028920</v>
      </c>
    </row>
    <row r="3182" customHeight="1" spans="1:31">
      <c r="A3182" s="2" t="s">
        <v>3451</v>
      </c>
      <c r="B3182" s="2">
        <v>93</v>
      </c>
      <c r="C3182" s="2">
        <v>15126948</v>
      </c>
      <c r="D3182" s="2" t="s">
        <v>2781</v>
      </c>
      <c r="E3182" s="2" t="s">
        <v>72</v>
      </c>
      <c r="F3182" t="s">
        <v>14</v>
      </c>
      <c r="N3182" s="2" t="s">
        <v>18</v>
      </c>
      <c r="O3182" s="2" t="s">
        <v>19</v>
      </c>
      <c r="P3182" s="2">
        <v>5000000</v>
      </c>
      <c r="Q3182" s="2">
        <v>4.9</v>
      </c>
      <c r="R3182" s="2" t="s">
        <v>5743</v>
      </c>
      <c r="S3182" s="2"/>
      <c r="AC3182" s="2"/>
      <c r="AD3182" t="str">
        <f>IFERROR(__xludf.DUMMYFUNCTION("""COMPUTED_VALUE"""),"The Messenger ")</f>
        <v>The Messenger </v>
      </c>
      <c r="AE3182">
        <f t="shared" si="78"/>
        <v>64042</v>
      </c>
    </row>
    <row r="3183" customHeight="1" spans="1:31">
      <c r="A3183" s="2" t="s">
        <v>454</v>
      </c>
      <c r="B3183" s="2">
        <v>106</v>
      </c>
      <c r="C3183" s="2">
        <v>13622333</v>
      </c>
      <c r="D3183" s="2" t="s">
        <v>4544</v>
      </c>
      <c r="E3183" s="2" t="s">
        <v>13</v>
      </c>
      <c r="F3183" t="s">
        <v>28</v>
      </c>
      <c r="N3183" s="2" t="s">
        <v>1081</v>
      </c>
      <c r="O3183" s="2" t="s">
        <v>4531</v>
      </c>
      <c r="P3183" s="2">
        <v>2000000</v>
      </c>
      <c r="Q3183" s="2">
        <v>7.7</v>
      </c>
      <c r="R3183" s="2" t="s">
        <v>5744</v>
      </c>
      <c r="S3183" s="2"/>
      <c r="AC3183" s="2"/>
      <c r="AD3183" t="str">
        <f>IFERROR(__xludf.DUMMYFUNCTION("""COMPUTED_VALUE"""),"Control ")</f>
        <v>Control </v>
      </c>
      <c r="AE3183">
        <f t="shared" si="78"/>
        <v>66532</v>
      </c>
    </row>
    <row r="3184" customHeight="1" spans="1:31">
      <c r="A3184" s="2" t="s">
        <v>777</v>
      </c>
      <c r="B3184" s="2">
        <v>99</v>
      </c>
      <c r="C3184" s="2">
        <v>13464388</v>
      </c>
      <c r="D3184" s="2" t="s">
        <v>3178</v>
      </c>
      <c r="E3184" s="2" t="s">
        <v>40</v>
      </c>
      <c r="F3184" t="s">
        <v>56</v>
      </c>
      <c r="N3184" s="2" t="s">
        <v>18</v>
      </c>
      <c r="O3184" s="2" t="s">
        <v>31</v>
      </c>
      <c r="P3184" s="2">
        <v>4000000</v>
      </c>
      <c r="Q3184" s="2">
        <v>8</v>
      </c>
      <c r="R3184" s="2" t="s">
        <v>5745</v>
      </c>
      <c r="S3184" s="2"/>
      <c r="AC3184" s="2"/>
      <c r="AD3184" t="str">
        <f>IFERROR(__xludf.DUMMYFUNCTION("""COMPUTED_VALUE"""),"The Terminator ")</f>
        <v>The Terminator </v>
      </c>
      <c r="AE3184">
        <f t="shared" si="78"/>
        <v>871455</v>
      </c>
    </row>
    <row r="3185" customHeight="1" spans="1:31">
      <c r="A3185" s="2" t="s">
        <v>3453</v>
      </c>
      <c r="B3185" s="2">
        <v>82</v>
      </c>
      <c r="C3185" s="2">
        <v>13350177</v>
      </c>
      <c r="D3185" s="2" t="s">
        <v>1788</v>
      </c>
      <c r="E3185" s="2" t="s">
        <v>30</v>
      </c>
      <c r="F3185" t="s">
        <v>72</v>
      </c>
      <c r="N3185" s="2" t="s">
        <v>18</v>
      </c>
      <c r="O3185" s="2" t="s">
        <v>19</v>
      </c>
      <c r="P3185" s="2">
        <v>5000000</v>
      </c>
      <c r="Q3185" s="2">
        <v>3.8</v>
      </c>
      <c r="R3185" s="2" t="s">
        <v>5746</v>
      </c>
      <c r="S3185" s="2"/>
      <c r="AC3185" s="2"/>
      <c r="AD3185" t="str">
        <f>IFERROR(__xludf.DUMMYFUNCTION("""COMPUTED_VALUE"""),"Good Bye Lenin! ")</f>
        <v>Good Bye Lenin! </v>
      </c>
      <c r="AE3185">
        <f t="shared" si="78"/>
        <v>38399893</v>
      </c>
    </row>
    <row r="3186" customHeight="1" spans="1:31">
      <c r="A3186" s="2" t="s">
        <v>3149</v>
      </c>
      <c r="B3186" s="2">
        <v>135</v>
      </c>
      <c r="C3186" s="2">
        <v>13269963</v>
      </c>
      <c r="D3186" s="2" t="s">
        <v>3388</v>
      </c>
      <c r="E3186" s="2" t="s">
        <v>30</v>
      </c>
      <c r="F3186" t="s">
        <v>17</v>
      </c>
      <c r="N3186" s="2" t="s">
        <v>18</v>
      </c>
      <c r="O3186" s="2" t="s">
        <v>19</v>
      </c>
      <c r="P3186" s="2">
        <v>5000000</v>
      </c>
      <c r="Q3186" s="2">
        <v>7.6</v>
      </c>
      <c r="R3186" s="2" t="s">
        <v>5747</v>
      </c>
      <c r="S3186" s="2"/>
      <c r="AC3186" s="2"/>
      <c r="AD3186" t="str">
        <f>IFERROR(__xludf.DUMMYFUNCTION("""COMPUTED_VALUE"""),"The Damned United ")</f>
        <v>The Damned United </v>
      </c>
      <c r="AE3186">
        <f t="shared" si="78"/>
        <v>4063738</v>
      </c>
    </row>
    <row r="3187" customHeight="1" spans="1:31">
      <c r="A3187" s="2" t="s">
        <v>2032</v>
      </c>
      <c r="B3187" s="2">
        <v>88</v>
      </c>
      <c r="C3187" s="2">
        <v>17768000</v>
      </c>
      <c r="D3187" s="2" t="s">
        <v>2781</v>
      </c>
      <c r="E3187" s="2" t="s">
        <v>72</v>
      </c>
      <c r="F3187" t="s">
        <v>14</v>
      </c>
      <c r="N3187" s="2" t="s">
        <v>18</v>
      </c>
      <c r="O3187" s="2" t="s">
        <v>19</v>
      </c>
      <c r="P3187" s="2">
        <v>5000000</v>
      </c>
      <c r="Q3187" s="2">
        <v>5.9</v>
      </c>
      <c r="R3187" s="2" t="s">
        <v>5748</v>
      </c>
      <c r="S3187" s="2"/>
      <c r="AC3187" s="2"/>
      <c r="AD3187" t="str">
        <f>IFERROR(__xludf.DUMMYFUNCTION("""COMPUTED_VALUE"""),"Mallrats ")</f>
        <v>Mallrats </v>
      </c>
      <c r="AE3187">
        <f t="shared" si="78"/>
        <v>449460</v>
      </c>
    </row>
    <row r="3188" customHeight="1" spans="1:31">
      <c r="A3188" s="2" t="s">
        <v>3455</v>
      </c>
      <c r="B3188" s="2">
        <v>89</v>
      </c>
      <c r="C3188" s="2">
        <v>12947763</v>
      </c>
      <c r="D3188" s="2" t="s">
        <v>2613</v>
      </c>
      <c r="E3188" s="2" t="s">
        <v>72</v>
      </c>
      <c r="F3188" t="s">
        <v>83</v>
      </c>
      <c r="N3188" s="2" t="s">
        <v>18</v>
      </c>
      <c r="O3188" s="2" t="s">
        <v>19</v>
      </c>
      <c r="P3188" s="2">
        <v>5000000</v>
      </c>
      <c r="Q3188" s="2">
        <v>6.2</v>
      </c>
      <c r="R3188" s="2" t="s">
        <v>5749</v>
      </c>
      <c r="S3188" s="2"/>
      <c r="AC3188" s="2"/>
      <c r="AD3188" t="str">
        <f>IFERROR(__xludf.DUMMYFUNCTION("""COMPUTED_VALUE"""),"Grease ")</f>
        <v>Grease </v>
      </c>
      <c r="AE3188">
        <f t="shared" si="78"/>
        <v>2122438</v>
      </c>
    </row>
    <row r="3189" customHeight="1" spans="1:31">
      <c r="A3189" s="2" t="s">
        <v>889</v>
      </c>
      <c r="B3189" s="2">
        <v>110</v>
      </c>
      <c r="C3189" s="2">
        <v>14100000</v>
      </c>
      <c r="D3189" s="2" t="s">
        <v>975</v>
      </c>
      <c r="E3189" s="2" t="s">
        <v>40</v>
      </c>
      <c r="F3189" t="s">
        <v>65</v>
      </c>
      <c r="N3189" s="2" t="s">
        <v>18</v>
      </c>
      <c r="O3189" s="2" t="s">
        <v>19</v>
      </c>
      <c r="P3189" s="2">
        <v>5000000</v>
      </c>
      <c r="Q3189" s="2">
        <v>7.2</v>
      </c>
      <c r="R3189" s="2" t="s">
        <v>5750</v>
      </c>
      <c r="S3189" s="2"/>
      <c r="AC3189" s="2"/>
      <c r="AD3189" t="str">
        <f>IFERROR(__xludf.DUMMYFUNCTION("""COMPUTED_VALUE"""),"Platoon ")</f>
        <v>Platoon </v>
      </c>
      <c r="AE3189">
        <f t="shared" si="78"/>
        <v>181359890</v>
      </c>
    </row>
    <row r="3190" customHeight="1" spans="1:31">
      <c r="A3190" s="2" t="s">
        <v>3457</v>
      </c>
      <c r="B3190" s="2">
        <v>107</v>
      </c>
      <c r="C3190" s="2">
        <v>12200000</v>
      </c>
      <c r="D3190" s="2" t="s">
        <v>4287</v>
      </c>
      <c r="E3190" s="2" t="s">
        <v>12</v>
      </c>
      <c r="F3190" t="s">
        <v>30</v>
      </c>
      <c r="N3190" s="2" t="s">
        <v>18</v>
      </c>
      <c r="O3190" s="2" t="s">
        <v>19</v>
      </c>
      <c r="P3190" s="2">
        <v>5000000</v>
      </c>
      <c r="Q3190" s="2">
        <v>6.3</v>
      </c>
      <c r="R3190" s="2" t="s">
        <v>5751</v>
      </c>
      <c r="S3190" s="2"/>
      <c r="AC3190" s="2"/>
      <c r="AD3190" t="str">
        <f>IFERROR(__xludf.DUMMYFUNCTION("""COMPUTED_VALUE"""),"Fahrenheit 9/11 ")</f>
        <v>Fahrenheit 9/11 </v>
      </c>
      <c r="AE3190">
        <f t="shared" si="78"/>
        <v>137963208</v>
      </c>
    </row>
    <row r="3191" customHeight="1" spans="1:31">
      <c r="A3191" s="2" t="s">
        <v>3459</v>
      </c>
      <c r="B3191" s="2">
        <v>86</v>
      </c>
      <c r="C3191" s="2">
        <v>17683670</v>
      </c>
      <c r="D3191" s="2" t="s">
        <v>1738</v>
      </c>
      <c r="E3191" s="2" t="s">
        <v>72</v>
      </c>
      <c r="F3191" t="s">
        <v>30</v>
      </c>
      <c r="N3191" s="2" t="s">
        <v>18</v>
      </c>
      <c r="O3191" s="2" t="s">
        <v>19</v>
      </c>
      <c r="P3191" s="2">
        <v>5000000</v>
      </c>
      <c r="Q3191" s="2">
        <v>5.2</v>
      </c>
      <c r="R3191" s="2" t="s">
        <v>5752</v>
      </c>
      <c r="S3191" s="2"/>
      <c r="AC3191" s="2"/>
      <c r="AD3191" t="str">
        <f>IFERROR(__xludf.DUMMYFUNCTION("""COMPUTED_VALUE"""),"Butch Cassidy and the Sundance Kid ")</f>
        <v>Butch Cassidy and the Sundance Kid </v>
      </c>
      <c r="AE3191">
        <f t="shared" ref="AE3191:AE3254" si="79">C3075-B3075</f>
        <v>119078271</v>
      </c>
    </row>
    <row r="3192" customHeight="1" spans="1:31">
      <c r="A3192" s="2" t="s">
        <v>3461</v>
      </c>
      <c r="B3192" s="2">
        <v>91</v>
      </c>
      <c r="C3192" s="2">
        <v>12055108</v>
      </c>
      <c r="D3192" s="2" t="s">
        <v>975</v>
      </c>
      <c r="E3192" s="2" t="s">
        <v>40</v>
      </c>
      <c r="F3192" t="s">
        <v>72</v>
      </c>
      <c r="N3192" s="2" t="s">
        <v>18</v>
      </c>
      <c r="O3192" s="2" t="s">
        <v>19</v>
      </c>
      <c r="P3192" s="2">
        <v>8000000</v>
      </c>
      <c r="Q3192" s="2">
        <v>6.9</v>
      </c>
      <c r="R3192" s="2" t="s">
        <v>5753</v>
      </c>
      <c r="S3192" s="2"/>
      <c r="AC3192" s="2"/>
      <c r="AD3192" t="str">
        <f>IFERROR(__xludf.DUMMYFUNCTION("""COMPUTED_VALUE"""),"Mary Poppins ")</f>
        <v>Mary Poppins </v>
      </c>
      <c r="AE3192">
        <f t="shared" si="79"/>
        <v>102308790</v>
      </c>
    </row>
    <row r="3193" customHeight="1" spans="1:31">
      <c r="A3193" s="2" t="s">
        <v>2830</v>
      </c>
      <c r="B3193" s="2">
        <v>103</v>
      </c>
      <c r="C3193" s="2">
        <v>27285953</v>
      </c>
      <c r="D3193" s="2" t="s">
        <v>34</v>
      </c>
      <c r="E3193" s="2" t="s">
        <v>12</v>
      </c>
      <c r="F3193" t="s">
        <v>30</v>
      </c>
      <c r="N3193" s="2" t="s">
        <v>18</v>
      </c>
      <c r="O3193" s="2" t="s">
        <v>19</v>
      </c>
      <c r="P3193" s="2">
        <v>5000000</v>
      </c>
      <c r="Q3193" s="2">
        <v>6.8</v>
      </c>
      <c r="R3193" s="2" t="s">
        <v>5754</v>
      </c>
      <c r="S3193" s="2"/>
      <c r="AC3193" s="2"/>
      <c r="AD3193" t="str">
        <f>IFERROR(__xludf.DUMMYFUNCTION("""COMPUTED_VALUE"""),"Ordinary People ")</f>
        <v>Ordinary People </v>
      </c>
      <c r="AE3193">
        <f t="shared" si="79"/>
        <v>102299861</v>
      </c>
    </row>
    <row r="3194" customHeight="1" spans="1:31">
      <c r="A3194" s="2" t="s">
        <v>3464</v>
      </c>
      <c r="B3194" s="2">
        <v>92</v>
      </c>
      <c r="C3194" s="2">
        <v>11675178</v>
      </c>
      <c r="D3194" s="2" t="s">
        <v>40</v>
      </c>
      <c r="E3194" s="2" t="s">
        <v>40</v>
      </c>
      <c r="F3194" t="s">
        <v>24</v>
      </c>
      <c r="N3194" s="2" t="s">
        <v>18</v>
      </c>
      <c r="O3194" s="2" t="s">
        <v>19</v>
      </c>
      <c r="P3194" s="2">
        <v>5000000</v>
      </c>
      <c r="Q3194" s="2">
        <v>3.5</v>
      </c>
      <c r="R3194" s="2" t="s">
        <v>5755</v>
      </c>
      <c r="S3194" s="2"/>
      <c r="AC3194" s="2"/>
      <c r="AD3194" t="str">
        <f>IFERROR(__xludf.DUMMYFUNCTION("""COMPUTED_VALUE"""),"West Side Story ")</f>
        <v>West Side Story </v>
      </c>
      <c r="AE3194">
        <f t="shared" si="79"/>
        <v>54799876</v>
      </c>
    </row>
    <row r="3195" customHeight="1" spans="1:31">
      <c r="A3195" s="2" t="s">
        <v>3466</v>
      </c>
      <c r="B3195" s="2">
        <v>99</v>
      </c>
      <c r="C3195" s="2">
        <v>10572742</v>
      </c>
      <c r="D3195" s="2" t="s">
        <v>103</v>
      </c>
      <c r="E3195" s="2" t="s">
        <v>30</v>
      </c>
      <c r="F3195" t="s">
        <v>56</v>
      </c>
      <c r="N3195" s="2" t="s">
        <v>18</v>
      </c>
      <c r="O3195" s="2" t="s">
        <v>19</v>
      </c>
      <c r="P3195" s="2">
        <v>8000000</v>
      </c>
      <c r="Q3195" s="2">
        <v>6.1</v>
      </c>
      <c r="R3195" s="2" t="s">
        <v>5756</v>
      </c>
      <c r="S3195" s="2"/>
      <c r="AC3195" s="2"/>
      <c r="AD3195" t="str">
        <f>IFERROR(__xludf.DUMMYFUNCTION("""COMPUTED_VALUE"""),"Caddyshack ")</f>
        <v>Caddyshack </v>
      </c>
      <c r="AE3195">
        <f t="shared" si="79"/>
        <v>43649848</v>
      </c>
    </row>
    <row r="3196" customHeight="1" spans="1:31">
      <c r="A3196" s="2" t="s">
        <v>2383</v>
      </c>
      <c r="B3196" s="2">
        <v>96</v>
      </c>
      <c r="C3196" s="2">
        <v>9658370</v>
      </c>
      <c r="D3196" s="2" t="s">
        <v>607</v>
      </c>
      <c r="E3196" s="2" t="s">
        <v>40</v>
      </c>
      <c r="F3196" t="s">
        <v>17</v>
      </c>
      <c r="N3196" s="2" t="s">
        <v>18</v>
      </c>
      <c r="O3196" s="2" t="s">
        <v>19</v>
      </c>
      <c r="P3196" s="2">
        <v>5000000</v>
      </c>
      <c r="Q3196" s="2">
        <v>4.5</v>
      </c>
      <c r="R3196" s="2" t="s">
        <v>5757</v>
      </c>
      <c r="S3196" s="2"/>
      <c r="AC3196" s="2"/>
      <c r="AD3196" t="str">
        <f>IFERROR(__xludf.DUMMYFUNCTION("""COMPUTED_VALUE"""),"The Brothers ")</f>
        <v>The Brothers </v>
      </c>
      <c r="AE3196">
        <f t="shared" si="79"/>
        <v>39799902</v>
      </c>
    </row>
    <row r="3197" customHeight="1" spans="1:31">
      <c r="A3197" s="2" t="s">
        <v>3468</v>
      </c>
      <c r="B3197" s="2">
        <v>82</v>
      </c>
      <c r="C3197" s="2">
        <v>9628751</v>
      </c>
      <c r="D3197" s="2" t="s">
        <v>1245</v>
      </c>
      <c r="E3197" s="2" t="s">
        <v>12</v>
      </c>
      <c r="F3197" t="s">
        <v>17</v>
      </c>
      <c r="N3197" s="2" t="s">
        <v>18</v>
      </c>
      <c r="O3197" s="2" t="s">
        <v>19</v>
      </c>
      <c r="P3197" s="2">
        <v>5000000</v>
      </c>
      <c r="Q3197" s="2">
        <v>5.9</v>
      </c>
      <c r="R3197" s="2" t="s">
        <v>5758</v>
      </c>
      <c r="S3197" s="2"/>
      <c r="AC3197" s="2"/>
      <c r="AD3197" t="str">
        <f>IFERROR(__xludf.DUMMYFUNCTION("""COMPUTED_VALUE"""),"The Wood ")</f>
        <v>The Wood </v>
      </c>
      <c r="AE3197">
        <f t="shared" si="79"/>
        <v>27457303</v>
      </c>
    </row>
    <row r="3198" customHeight="1" spans="1:31">
      <c r="A3198" s="2" t="s">
        <v>3470</v>
      </c>
      <c r="B3198" s="2">
        <v>92</v>
      </c>
      <c r="C3198" s="2">
        <v>8786715</v>
      </c>
      <c r="D3198" s="2" t="s">
        <v>975</v>
      </c>
      <c r="E3198" s="2" t="s">
        <v>40</v>
      </c>
      <c r="F3198" t="s">
        <v>17</v>
      </c>
      <c r="N3198" s="2" t="s">
        <v>18</v>
      </c>
      <c r="O3198" s="2" t="s">
        <v>19</v>
      </c>
      <c r="P3198" s="2">
        <v>5000000</v>
      </c>
      <c r="Q3198" s="2">
        <v>6.9</v>
      </c>
      <c r="R3198" s="2" t="s">
        <v>5759</v>
      </c>
      <c r="S3198" s="2"/>
      <c r="AC3198" s="2"/>
      <c r="AD3198" t="str">
        <f>IFERROR(__xludf.DUMMYFUNCTION("""COMPUTED_VALUE"""),"The Usual Suspects ")</f>
        <v>The Usual Suspects </v>
      </c>
      <c r="AE3198">
        <f t="shared" si="79"/>
        <v>25047525</v>
      </c>
    </row>
    <row r="3199" customHeight="1" spans="1:31">
      <c r="A3199" s="2" t="s">
        <v>3472</v>
      </c>
      <c r="B3199" s="2">
        <v>112</v>
      </c>
      <c r="C3199" s="2">
        <v>3432342</v>
      </c>
      <c r="D3199" s="2" t="s">
        <v>4520</v>
      </c>
      <c r="E3199" s="2" t="s">
        <v>40</v>
      </c>
      <c r="F3199" t="s">
        <v>30</v>
      </c>
      <c r="N3199" s="2" t="s">
        <v>1125</v>
      </c>
      <c r="O3199" s="2" t="s">
        <v>121</v>
      </c>
      <c r="P3199" s="2">
        <v>6000000</v>
      </c>
      <c r="Q3199" s="2">
        <v>7.7</v>
      </c>
      <c r="R3199" s="2" t="s">
        <v>5760</v>
      </c>
      <c r="S3199" s="2"/>
      <c r="AC3199" s="2"/>
      <c r="AD3199" t="str">
        <f>IFERROR(__xludf.DUMMYFUNCTION("""COMPUTED_VALUE"""),"A Nightmare on Elm Street 5: The Dream Child ")</f>
        <v>A Nightmare on Elm Street 5: The Dream Child </v>
      </c>
      <c r="AE3199">
        <f t="shared" si="79"/>
        <v>23272200</v>
      </c>
    </row>
    <row r="3200" customHeight="1" spans="1:31">
      <c r="A3200" s="2" t="s">
        <v>3474</v>
      </c>
      <c r="B3200" s="2">
        <v>90</v>
      </c>
      <c r="C3200" s="2">
        <v>6755271</v>
      </c>
      <c r="D3200" s="2" t="s">
        <v>2781</v>
      </c>
      <c r="E3200" s="2" t="s">
        <v>72</v>
      </c>
      <c r="F3200" t="s">
        <v>30</v>
      </c>
      <c r="N3200" s="2" t="s">
        <v>18</v>
      </c>
      <c r="O3200" s="2" t="s">
        <v>19</v>
      </c>
      <c r="P3200" s="2">
        <v>5000000</v>
      </c>
      <c r="Q3200" s="2">
        <v>5.3</v>
      </c>
      <c r="R3200" s="2" t="s">
        <v>5761</v>
      </c>
      <c r="S3200" s="2"/>
      <c r="AC3200" s="2"/>
      <c r="AD3200" t="str">
        <f>IFERROR(__xludf.DUMMYFUNCTION("""COMPUTED_VALUE"""),"Van Wilder: Party Liaison ")</f>
        <v>Van Wilder: Party Liaison </v>
      </c>
      <c r="AE3200">
        <f t="shared" si="79"/>
        <v>22168270</v>
      </c>
    </row>
    <row r="3201" customHeight="1" spans="1:31">
      <c r="A3201" s="2" t="s">
        <v>3476</v>
      </c>
      <c r="B3201" s="2">
        <v>150</v>
      </c>
      <c r="C3201" s="2">
        <v>6157157</v>
      </c>
      <c r="D3201" s="2" t="s">
        <v>975</v>
      </c>
      <c r="E3201" s="2" t="s">
        <v>40</v>
      </c>
      <c r="F3201" t="s">
        <v>30</v>
      </c>
      <c r="N3201" s="2" t="s">
        <v>18</v>
      </c>
      <c r="O3201" s="2" t="s">
        <v>19</v>
      </c>
      <c r="P3201" s="2">
        <v>5000000</v>
      </c>
      <c r="Q3201" s="2">
        <v>7</v>
      </c>
      <c r="R3201" s="2" t="s">
        <v>5762</v>
      </c>
      <c r="S3201" s="2"/>
      <c r="AC3201" s="2"/>
      <c r="AD3201" t="str">
        <f>IFERROR(__xludf.DUMMYFUNCTION("""COMPUTED_VALUE"""),"The Wrestler ")</f>
        <v>The Wrestler </v>
      </c>
      <c r="AE3201">
        <f t="shared" si="79"/>
        <v>21005235</v>
      </c>
    </row>
    <row r="3202" customHeight="1" spans="1:31">
      <c r="A3202" s="2" t="s">
        <v>3478</v>
      </c>
      <c r="B3202" s="2">
        <v>91</v>
      </c>
      <c r="C3202" s="2">
        <v>5480318</v>
      </c>
      <c r="D3202" s="2" t="s">
        <v>975</v>
      </c>
      <c r="E3202" s="2" t="s">
        <v>40</v>
      </c>
      <c r="F3202" t="s">
        <v>30</v>
      </c>
      <c r="N3202" s="2" t="s">
        <v>18</v>
      </c>
      <c r="O3202" s="2" t="s">
        <v>19</v>
      </c>
      <c r="P3202" s="2">
        <v>5000000</v>
      </c>
      <c r="Q3202" s="2">
        <v>6.6</v>
      </c>
      <c r="R3202" s="2" t="s">
        <v>5763</v>
      </c>
      <c r="S3202" s="2"/>
      <c r="AC3202" s="2"/>
      <c r="AD3202" t="str">
        <f>IFERROR(__xludf.DUMMYFUNCTION("""COMPUTED_VALUE"""),"Duel in the Sun ")</f>
        <v>Duel in the Sun </v>
      </c>
      <c r="AE3202">
        <f t="shared" si="79"/>
        <v>26236494</v>
      </c>
    </row>
    <row r="3203" customHeight="1" spans="1:31">
      <c r="A3203" s="2" t="s">
        <v>194</v>
      </c>
      <c r="B3203" s="2">
        <v>95</v>
      </c>
      <c r="C3203" s="2">
        <v>5308707</v>
      </c>
      <c r="D3203" s="2" t="s">
        <v>2186</v>
      </c>
      <c r="E3203" s="2" t="s">
        <v>40</v>
      </c>
      <c r="F3203" t="s">
        <v>28</v>
      </c>
      <c r="N3203" s="2" t="s">
        <v>18</v>
      </c>
      <c r="O3203" s="2" t="s">
        <v>19</v>
      </c>
      <c r="P3203" s="2">
        <v>5000000</v>
      </c>
      <c r="Q3203" s="2">
        <v>6.4</v>
      </c>
      <c r="R3203" s="2" t="s">
        <v>5764</v>
      </c>
      <c r="S3203" s="2"/>
      <c r="AC3203" s="2"/>
      <c r="AD3203" t="str">
        <f>IFERROR(__xludf.DUMMYFUNCTION("""COMPUTED_VALUE"""),"Best in Show ")</f>
        <v>Best in Show </v>
      </c>
      <c r="AE3203">
        <f t="shared" si="79"/>
        <v>20399856</v>
      </c>
    </row>
    <row r="3204" customHeight="1" spans="1:31">
      <c r="A3204" s="2" t="s">
        <v>282</v>
      </c>
      <c r="B3204" s="2">
        <v>97</v>
      </c>
      <c r="C3204" s="2">
        <v>5009677</v>
      </c>
      <c r="D3204" s="2" t="s">
        <v>2292</v>
      </c>
      <c r="E3204" s="2" t="s">
        <v>30</v>
      </c>
      <c r="F3204" t="s">
        <v>30</v>
      </c>
      <c r="N3204" s="2" t="s">
        <v>18</v>
      </c>
      <c r="O3204" s="2" t="s">
        <v>31</v>
      </c>
      <c r="P3204" s="2">
        <v>5000000</v>
      </c>
      <c r="Q3204" s="2">
        <v>7.9</v>
      </c>
      <c r="R3204" s="2" t="s">
        <v>5765</v>
      </c>
      <c r="S3204" s="2"/>
      <c r="AC3204" s="2"/>
      <c r="AD3204" t="str">
        <f>IFERROR(__xludf.DUMMYFUNCTION("""COMPUTED_VALUE"""),"Escape from New York ")</f>
        <v>Escape from New York </v>
      </c>
      <c r="AE3204">
        <f t="shared" si="79"/>
        <v>18621159</v>
      </c>
    </row>
    <row r="3205" customHeight="1" spans="1:31">
      <c r="A3205" s="2" t="s">
        <v>3480</v>
      </c>
      <c r="B3205" s="2">
        <v>41</v>
      </c>
      <c r="C3205" s="2">
        <v>4074023</v>
      </c>
      <c r="D3205" s="2" t="s">
        <v>65</v>
      </c>
      <c r="E3205" s="2" t="s">
        <v>65</v>
      </c>
      <c r="F3205" t="s">
        <v>59</v>
      </c>
      <c r="N3205" s="2" t="s">
        <v>18</v>
      </c>
      <c r="O3205" s="2" t="s">
        <v>31</v>
      </c>
      <c r="P3205" s="2">
        <v>5000000</v>
      </c>
      <c r="Q3205" s="2">
        <v>6.9</v>
      </c>
      <c r="R3205" s="2" t="s">
        <v>5766</v>
      </c>
      <c r="S3205" s="2"/>
      <c r="AC3205" s="2"/>
      <c r="AD3205" t="str">
        <f>IFERROR(__xludf.DUMMYFUNCTION("""COMPUTED_VALUE"""),"School Daze ")</f>
        <v>School Daze </v>
      </c>
      <c r="AE3205">
        <f t="shared" si="79"/>
        <v>25244594</v>
      </c>
    </row>
    <row r="3206" customHeight="1" spans="1:31">
      <c r="A3206" s="2" t="s">
        <v>2099</v>
      </c>
      <c r="B3206" s="2">
        <v>112</v>
      </c>
      <c r="C3206" s="2">
        <v>4306697</v>
      </c>
      <c r="D3206" s="2" t="s">
        <v>30</v>
      </c>
      <c r="E3206" s="2" t="s">
        <v>30</v>
      </c>
      <c r="F3206" t="s">
        <v>30</v>
      </c>
      <c r="N3206" s="2" t="s">
        <v>18</v>
      </c>
      <c r="O3206" s="2" t="s">
        <v>121</v>
      </c>
      <c r="P3206" s="2">
        <v>5000000</v>
      </c>
      <c r="Q3206" s="2">
        <v>7.7</v>
      </c>
      <c r="R3206" s="2" t="s">
        <v>5767</v>
      </c>
      <c r="S3206" s="2"/>
      <c r="AC3206" s="2"/>
      <c r="AD3206" t="str">
        <f>IFERROR(__xludf.DUMMYFUNCTION("""COMPUTED_VALUE"""),"Daddy Day Camp ")</f>
        <v>Daddy Day Camp </v>
      </c>
      <c r="AE3206">
        <f t="shared" si="79"/>
        <v>14545723</v>
      </c>
    </row>
    <row r="3207" customHeight="1" spans="1:31">
      <c r="A3207" s="2" t="s">
        <v>3482</v>
      </c>
      <c r="B3207" s="2">
        <v>122</v>
      </c>
      <c r="C3207" s="2">
        <v>3950029</v>
      </c>
      <c r="D3207" s="2" t="s">
        <v>30</v>
      </c>
      <c r="E3207" s="2" t="s">
        <v>30</v>
      </c>
      <c r="F3207" t="s">
        <v>30</v>
      </c>
      <c r="N3207" s="2" t="s">
        <v>1125</v>
      </c>
      <c r="O3207" s="2" t="s">
        <v>707</v>
      </c>
      <c r="P3207" s="2">
        <v>4000000</v>
      </c>
      <c r="Q3207" s="2">
        <v>7.2</v>
      </c>
      <c r="R3207" s="2" t="s">
        <v>5768</v>
      </c>
      <c r="S3207" s="2"/>
      <c r="AC3207" s="2"/>
      <c r="AD3207" t="str">
        <f>IFERROR(__xludf.DUMMYFUNCTION("""COMPUTED_VALUE"""),"Mystic Pizza ")</f>
        <v>Mystic Pizza </v>
      </c>
      <c r="AE3207">
        <f t="shared" si="79"/>
        <v>13235178</v>
      </c>
    </row>
    <row r="3208" customHeight="1" spans="1:31">
      <c r="A3208" s="2" t="s">
        <v>3484</v>
      </c>
      <c r="B3208" s="2">
        <v>110</v>
      </c>
      <c r="C3208" s="2">
        <v>4040588</v>
      </c>
      <c r="D3208" s="2" t="s">
        <v>975</v>
      </c>
      <c r="E3208" s="2" t="s">
        <v>40</v>
      </c>
      <c r="F3208" t="s">
        <v>28</v>
      </c>
      <c r="N3208" s="2" t="s">
        <v>18</v>
      </c>
      <c r="O3208" s="2" t="s">
        <v>19</v>
      </c>
      <c r="P3208" s="2">
        <v>5000000</v>
      </c>
      <c r="Q3208" s="2">
        <v>6.8</v>
      </c>
      <c r="R3208" s="2" t="s">
        <v>5769</v>
      </c>
      <c r="S3208" s="2"/>
      <c r="AC3208" s="2"/>
      <c r="AD3208" t="str">
        <f>IFERROR(__xludf.DUMMYFUNCTION("""COMPUTED_VALUE"""),"Sliding Doors ")</f>
        <v>Sliding Doors </v>
      </c>
      <c r="AE3208">
        <f t="shared" si="79"/>
        <v>12793109</v>
      </c>
    </row>
    <row r="3209" customHeight="1" spans="1:31">
      <c r="A3209" s="2" t="s">
        <v>88</v>
      </c>
      <c r="B3209" s="2">
        <v>108</v>
      </c>
      <c r="C3209" s="2">
        <v>3049135</v>
      </c>
      <c r="D3209" s="2" t="s">
        <v>5770</v>
      </c>
      <c r="E3209" s="2" t="s">
        <v>59</v>
      </c>
      <c r="F3209" t="s">
        <v>56</v>
      </c>
      <c r="N3209" s="2" t="s">
        <v>18</v>
      </c>
      <c r="O3209" s="2" t="s">
        <v>90</v>
      </c>
      <c r="P3209" s="2">
        <v>5000000</v>
      </c>
      <c r="Q3209" s="2">
        <v>7.4</v>
      </c>
      <c r="R3209" s="2" t="s">
        <v>5771</v>
      </c>
      <c r="S3209" s="2"/>
      <c r="AC3209" s="2"/>
      <c r="AD3209" t="str">
        <f>IFERROR(__xludf.DUMMYFUNCTION("""COMPUTED_VALUE"""),"Tales from the Hood ")</f>
        <v>Tales from the Hood </v>
      </c>
      <c r="AE3209">
        <f t="shared" si="79"/>
        <v>11883396</v>
      </c>
    </row>
    <row r="3210" customHeight="1" spans="1:31">
      <c r="A3210" s="2" t="s">
        <v>2760</v>
      </c>
      <c r="B3210" s="2">
        <v>121</v>
      </c>
      <c r="C3210" s="2">
        <v>4700361</v>
      </c>
      <c r="D3210" s="2" t="s">
        <v>30</v>
      </c>
      <c r="E3210" s="2" t="s">
        <v>30</v>
      </c>
      <c r="F3210" t="s">
        <v>72</v>
      </c>
      <c r="N3210" s="2" t="s">
        <v>18</v>
      </c>
      <c r="O3210" s="2" t="s">
        <v>19</v>
      </c>
      <c r="P3210" s="2">
        <v>5000000</v>
      </c>
      <c r="Q3210" s="2">
        <v>4.6</v>
      </c>
      <c r="R3210" s="2" t="s">
        <v>5772</v>
      </c>
      <c r="S3210" s="2"/>
      <c r="AC3210" s="2"/>
      <c r="AD3210" t="str">
        <f>IFERROR(__xludf.DUMMYFUNCTION("""COMPUTED_VALUE"""),"The Last King of Scotland ")</f>
        <v>The Last King of Scotland </v>
      </c>
      <c r="AE3210">
        <f t="shared" si="79"/>
        <v>11797829</v>
      </c>
    </row>
    <row r="3211" customHeight="1" spans="1:31">
      <c r="A3211" s="2" t="s">
        <v>3486</v>
      </c>
      <c r="B3211" s="2">
        <v>97</v>
      </c>
      <c r="C3211" s="2">
        <v>2711210</v>
      </c>
      <c r="D3211" s="2" t="s">
        <v>975</v>
      </c>
      <c r="E3211" s="2" t="s">
        <v>40</v>
      </c>
      <c r="F3211" t="s">
        <v>30</v>
      </c>
      <c r="N3211" s="2" t="s">
        <v>18</v>
      </c>
      <c r="O3211" s="2" t="s">
        <v>19</v>
      </c>
      <c r="P3211" s="2">
        <v>5000000</v>
      </c>
      <c r="Q3211" s="2">
        <v>6.4</v>
      </c>
      <c r="R3211" s="2" t="s">
        <v>5773</v>
      </c>
      <c r="S3211" s="2"/>
      <c r="AC3211" s="2"/>
      <c r="AD3211" t="str">
        <f>IFERROR(__xludf.DUMMYFUNCTION("""COMPUTED_VALUE"""),"Halloween 5 ")</f>
        <v>Halloween 5 </v>
      </c>
      <c r="AE3211">
        <f t="shared" si="79"/>
        <v>17605740</v>
      </c>
    </row>
    <row r="3212" customHeight="1" spans="1:31">
      <c r="A3212" s="2" t="s">
        <v>1531</v>
      </c>
      <c r="B3212" s="2">
        <v>116</v>
      </c>
      <c r="C3212" s="2">
        <v>1980338</v>
      </c>
      <c r="D3212" s="2" t="s">
        <v>5774</v>
      </c>
      <c r="E3212" s="2" t="s">
        <v>40</v>
      </c>
      <c r="F3212" t="s">
        <v>17</v>
      </c>
      <c r="N3212" s="2" t="s">
        <v>18</v>
      </c>
      <c r="O3212" s="2" t="s">
        <v>19</v>
      </c>
      <c r="P3212" s="2">
        <v>5000000</v>
      </c>
      <c r="Q3212" s="2">
        <v>7</v>
      </c>
      <c r="R3212" s="2" t="s">
        <v>5775</v>
      </c>
      <c r="S3212" s="2"/>
      <c r="AC3212" s="2"/>
      <c r="AD3212" t="str">
        <f>IFERROR(__xludf.DUMMYFUNCTION("""COMPUTED_VALUE"""),"Bernie ")</f>
        <v>Bernie </v>
      </c>
      <c r="AE3212">
        <f t="shared" si="79"/>
        <v>11642158</v>
      </c>
    </row>
    <row r="3213" customHeight="1" spans="1:31">
      <c r="A3213" s="2" t="s">
        <v>2669</v>
      </c>
      <c r="B3213" s="2">
        <v>94</v>
      </c>
      <c r="C3213" s="2">
        <v>1082044</v>
      </c>
      <c r="D3213" s="2" t="s">
        <v>1655</v>
      </c>
      <c r="E3213" s="2" t="s">
        <v>30</v>
      </c>
      <c r="F3213" t="s">
        <v>30</v>
      </c>
      <c r="N3213" s="2" t="s">
        <v>18</v>
      </c>
      <c r="O3213" s="2" t="s">
        <v>1431</v>
      </c>
      <c r="P3213" s="2">
        <v>5000000</v>
      </c>
      <c r="Q3213" s="2">
        <v>7.7</v>
      </c>
      <c r="R3213" s="2" t="s">
        <v>5776</v>
      </c>
      <c r="S3213" s="2"/>
      <c r="AC3213" s="2"/>
      <c r="AD3213" t="str">
        <f>IFERROR(__xludf.DUMMYFUNCTION("""COMPUTED_VALUE"""),"Dolphins and Whales 3D: Tribes of the Ocean ")</f>
        <v>Dolphins and Whales 3D: Tribes of the Ocean </v>
      </c>
      <c r="AE3213">
        <f t="shared" si="79"/>
        <v>9203093</v>
      </c>
    </row>
    <row r="3214" customHeight="1" spans="1:31">
      <c r="A3214" s="2" t="s">
        <v>3266</v>
      </c>
      <c r="B3214" s="2">
        <v>103</v>
      </c>
      <c r="C3214" s="2">
        <v>1100000</v>
      </c>
      <c r="D3214" s="2" t="s">
        <v>718</v>
      </c>
      <c r="E3214" s="2" t="s">
        <v>56</v>
      </c>
      <c r="F3214" t="s">
        <v>28</v>
      </c>
      <c r="N3214" s="2" t="s">
        <v>18</v>
      </c>
      <c r="O3214" s="2" t="s">
        <v>19</v>
      </c>
      <c r="P3214" s="2">
        <v>5000000</v>
      </c>
      <c r="Q3214" s="2">
        <v>6.8</v>
      </c>
      <c r="R3214" s="2" t="s">
        <v>5777</v>
      </c>
      <c r="S3214" s="2"/>
      <c r="AC3214" s="2"/>
      <c r="AD3214" t="str">
        <f>IFERROR(__xludf.DUMMYFUNCTION("""COMPUTED_VALUE"""),"Pollock ")</f>
        <v>Pollock </v>
      </c>
      <c r="AE3214">
        <f t="shared" si="79"/>
        <v>7518834</v>
      </c>
    </row>
    <row r="3215" customHeight="1" spans="1:31">
      <c r="A3215" s="2" t="s">
        <v>3488</v>
      </c>
      <c r="B3215" s="2">
        <v>112</v>
      </c>
      <c r="C3215" s="2">
        <v>2445646</v>
      </c>
      <c r="D3215" s="2" t="s">
        <v>5778</v>
      </c>
      <c r="E3215" s="2" t="s">
        <v>59</v>
      </c>
      <c r="F3215" t="s">
        <v>17</v>
      </c>
      <c r="N3215" s="2" t="s">
        <v>18</v>
      </c>
      <c r="O3215" s="2" t="s">
        <v>19</v>
      </c>
      <c r="P3215" s="2">
        <v>5000000</v>
      </c>
      <c r="Q3215" s="2">
        <v>7</v>
      </c>
      <c r="R3215" s="2" t="s">
        <v>5779</v>
      </c>
      <c r="S3215" s="2"/>
      <c r="AC3215" s="2"/>
      <c r="AD3215" t="str">
        <f>IFERROR(__xludf.DUMMYFUNCTION("""COMPUTED_VALUE"""),"200 Cigarettes ")</f>
        <v>200 Cigarettes </v>
      </c>
      <c r="AE3215">
        <f t="shared" si="79"/>
        <v>8596792</v>
      </c>
    </row>
    <row r="3216" customHeight="1" spans="1:31">
      <c r="A3216" s="2" t="s">
        <v>3365</v>
      </c>
      <c r="B3216" s="2">
        <v>91</v>
      </c>
      <c r="C3216" s="2">
        <v>2221809</v>
      </c>
      <c r="D3216" s="2" t="s">
        <v>30</v>
      </c>
      <c r="E3216" s="2" t="s">
        <v>30</v>
      </c>
      <c r="F3216" t="s">
        <v>30</v>
      </c>
      <c r="N3216" s="2" t="s">
        <v>18</v>
      </c>
      <c r="O3216" s="2" t="s">
        <v>19</v>
      </c>
      <c r="P3216" s="2">
        <v>5000000</v>
      </c>
      <c r="Q3216" s="2">
        <v>7</v>
      </c>
      <c r="R3216" s="2" t="s">
        <v>5780</v>
      </c>
      <c r="S3216" s="2"/>
      <c r="AC3216" s="2"/>
      <c r="AD3216" t="str">
        <f>IFERROR(__xludf.DUMMYFUNCTION("""COMPUTED_VALUE"""),"The Words ")</f>
        <v>The Words </v>
      </c>
      <c r="AE3216">
        <f t="shared" si="79"/>
        <v>6851535</v>
      </c>
    </row>
    <row r="3217" customHeight="1" spans="1:31">
      <c r="A3217" s="2" t="s">
        <v>3490</v>
      </c>
      <c r="B3217" s="2">
        <v>98</v>
      </c>
      <c r="C3217" s="2">
        <v>296665</v>
      </c>
      <c r="D3217" s="2" t="s">
        <v>2341</v>
      </c>
      <c r="E3217" s="2" t="s">
        <v>59</v>
      </c>
      <c r="F3217" t="s">
        <v>14</v>
      </c>
      <c r="N3217" s="2" t="s">
        <v>18</v>
      </c>
      <c r="O3217" s="2" t="s">
        <v>19</v>
      </c>
      <c r="P3217" s="2">
        <v>5000000</v>
      </c>
      <c r="Q3217" s="2">
        <v>6.3</v>
      </c>
      <c r="R3217" s="2" t="s">
        <v>5781</v>
      </c>
      <c r="S3217" s="2"/>
      <c r="AC3217" s="2"/>
      <c r="AD3217" t="str">
        <f>IFERROR(__xludf.DUMMYFUNCTION("""COMPUTED_VALUE"""),"Casa de mi Padre ")</f>
        <v>Casa de mi Padre </v>
      </c>
      <c r="AE3217">
        <f t="shared" si="79"/>
        <v>11434765</v>
      </c>
    </row>
    <row r="3218" customHeight="1" spans="1:31">
      <c r="A3218" s="2" t="s">
        <v>3492</v>
      </c>
      <c r="B3218" s="2">
        <v>95</v>
      </c>
      <c r="C3218" s="2">
        <v>3219029</v>
      </c>
      <c r="D3218" s="2" t="s">
        <v>5782</v>
      </c>
      <c r="E3218" s="2" t="s">
        <v>56</v>
      </c>
      <c r="F3218" t="s">
        <v>30</v>
      </c>
      <c r="N3218" s="2" t="s">
        <v>18</v>
      </c>
      <c r="O3218" s="2" t="s">
        <v>19</v>
      </c>
      <c r="P3218" s="2">
        <v>5000000</v>
      </c>
      <c r="Q3218" s="2">
        <v>7.1</v>
      </c>
      <c r="R3218" s="2" t="s">
        <v>5783</v>
      </c>
      <c r="S3218" s="2"/>
      <c r="AC3218" s="2"/>
      <c r="AD3218" t="str">
        <f>IFERROR(__xludf.DUMMYFUNCTION("""COMPUTED_VALUE"""),"City Island ")</f>
        <v>City Island </v>
      </c>
      <c r="AE3218">
        <f t="shared" si="79"/>
        <v>5895154</v>
      </c>
    </row>
    <row r="3219" customHeight="1" spans="1:31">
      <c r="A3219" s="2" t="s">
        <v>3494</v>
      </c>
      <c r="B3219" s="2">
        <v>99</v>
      </c>
      <c r="C3219" s="2">
        <v>830210</v>
      </c>
      <c r="D3219" s="2" t="s">
        <v>2292</v>
      </c>
      <c r="E3219" s="2" t="s">
        <v>30</v>
      </c>
      <c r="F3219" t="s">
        <v>29</v>
      </c>
      <c r="N3219" s="2" t="s">
        <v>18</v>
      </c>
      <c r="O3219" s="2" t="s">
        <v>19</v>
      </c>
      <c r="P3219" s="2">
        <v>5000000</v>
      </c>
      <c r="Q3219" s="2">
        <v>4.4</v>
      </c>
      <c r="R3219" s="2" t="s">
        <v>5784</v>
      </c>
      <c r="S3219" s="2"/>
      <c r="AC3219" s="2"/>
      <c r="AD3219" t="str">
        <f>IFERROR(__xludf.DUMMYFUNCTION("""COMPUTED_VALUE"""),"The Guard ")</f>
        <v>The Guard </v>
      </c>
      <c r="AE3219">
        <f t="shared" si="79"/>
        <v>6670608</v>
      </c>
    </row>
    <row r="3220" customHeight="1" spans="1:31">
      <c r="A3220" s="2" t="s">
        <v>1337</v>
      </c>
      <c r="B3220" s="2">
        <v>91</v>
      </c>
      <c r="C3220" s="2">
        <v>1040879</v>
      </c>
      <c r="D3220" s="2" t="s">
        <v>3855</v>
      </c>
      <c r="E3220" s="2" t="s">
        <v>40</v>
      </c>
      <c r="F3220" t="s">
        <v>72</v>
      </c>
      <c r="N3220" s="2" t="s">
        <v>18</v>
      </c>
      <c r="O3220" s="2" t="s">
        <v>19</v>
      </c>
      <c r="P3220" s="2">
        <v>7000000</v>
      </c>
      <c r="Q3220" s="2">
        <v>7.1</v>
      </c>
      <c r="R3220" s="2" t="s">
        <v>5785</v>
      </c>
      <c r="S3220" s="2"/>
      <c r="AC3220" s="2"/>
      <c r="AD3220" t="str">
        <f>IFERROR(__xludf.DUMMYFUNCTION("""COMPUTED_VALUE"""),"College ")</f>
        <v>College </v>
      </c>
      <c r="AE3220">
        <f t="shared" si="79"/>
        <v>5359678</v>
      </c>
    </row>
    <row r="3221" customHeight="1" spans="1:31">
      <c r="A3221" s="2" t="s">
        <v>2127</v>
      </c>
      <c r="B3221" s="2">
        <v>97</v>
      </c>
      <c r="C3221" s="2">
        <v>326308</v>
      </c>
      <c r="D3221" s="2" t="s">
        <v>805</v>
      </c>
      <c r="E3221" s="2" t="s">
        <v>56</v>
      </c>
      <c r="F3221" t="s">
        <v>14</v>
      </c>
      <c r="N3221" s="2" t="s">
        <v>18</v>
      </c>
      <c r="O3221" s="2" t="s">
        <v>19</v>
      </c>
      <c r="P3221" s="2">
        <v>5000000</v>
      </c>
      <c r="Q3221" s="2">
        <v>6.1</v>
      </c>
      <c r="R3221" s="2" t="s">
        <v>5786</v>
      </c>
      <c r="S3221" s="2"/>
      <c r="AC3221" s="2"/>
      <c r="AD3221" t="str">
        <f>IFERROR(__xludf.DUMMYFUNCTION("""COMPUTED_VALUE"""),"The Virgin Suicides ")</f>
        <v>The Virgin Suicides </v>
      </c>
      <c r="AE3221">
        <f t="shared" si="79"/>
        <v>4693825</v>
      </c>
    </row>
    <row r="3222" customHeight="1" spans="1:31">
      <c r="A3222" s="2" t="s">
        <v>3496</v>
      </c>
      <c r="B3222" s="2">
        <v>90</v>
      </c>
      <c r="C3222" s="2">
        <v>124720</v>
      </c>
      <c r="D3222" s="2" t="s">
        <v>103</v>
      </c>
      <c r="E3222" s="2" t="s">
        <v>30</v>
      </c>
      <c r="F3222" t="s">
        <v>23</v>
      </c>
      <c r="N3222" s="2" t="s">
        <v>18</v>
      </c>
      <c r="O3222" s="2" t="s">
        <v>19</v>
      </c>
      <c r="P3222" s="2">
        <v>5000000</v>
      </c>
      <c r="Q3222" s="2">
        <v>7.3</v>
      </c>
      <c r="R3222" s="2" t="s">
        <v>5787</v>
      </c>
      <c r="S3222" s="2"/>
      <c r="AC3222" s="2"/>
      <c r="AD3222" t="str">
        <f>IFERROR(__xludf.DUMMYFUNCTION("""COMPUTED_VALUE"""),"Miss March ")</f>
        <v>Miss March </v>
      </c>
      <c r="AE3222">
        <f t="shared" si="79"/>
        <v>4859385</v>
      </c>
    </row>
    <row r="3223" customHeight="1" spans="1:31">
      <c r="A3223" s="2" t="s">
        <v>3499</v>
      </c>
      <c r="B3223" s="2">
        <v>90</v>
      </c>
      <c r="C3223" s="2">
        <v>99147</v>
      </c>
      <c r="D3223" s="2" t="s">
        <v>30</v>
      </c>
      <c r="E3223" s="2" t="s">
        <v>30</v>
      </c>
      <c r="F3223" t="s">
        <v>40</v>
      </c>
      <c r="N3223" s="2" t="s">
        <v>18</v>
      </c>
      <c r="O3223" s="2" t="s">
        <v>19</v>
      </c>
      <c r="P3223" s="2">
        <v>2000000</v>
      </c>
      <c r="Q3223" s="2">
        <v>6.2</v>
      </c>
      <c r="R3223" s="2" t="s">
        <v>5788</v>
      </c>
      <c r="S3223" s="2"/>
      <c r="AC3223" s="2"/>
      <c r="AD3223" t="str">
        <f>IFERROR(__xludf.DUMMYFUNCTION("""COMPUTED_VALUE"""),"Wish I Was Here ")</f>
        <v>Wish I Was Here </v>
      </c>
      <c r="AE3223">
        <f t="shared" si="79"/>
        <v>4542685</v>
      </c>
    </row>
    <row r="3224" customHeight="1" spans="1:31">
      <c r="A3224" s="2" t="s">
        <v>352</v>
      </c>
      <c r="B3224" s="2">
        <v>94</v>
      </c>
      <c r="C3224" s="2">
        <v>65069140</v>
      </c>
      <c r="D3224" s="2" t="s">
        <v>2781</v>
      </c>
      <c r="E3224" s="2" t="s">
        <v>72</v>
      </c>
      <c r="F3224" t="s">
        <v>56</v>
      </c>
      <c r="N3224" s="2" t="s">
        <v>18</v>
      </c>
      <c r="O3224" s="2" t="s">
        <v>19</v>
      </c>
      <c r="P3224" s="2">
        <v>5000000</v>
      </c>
      <c r="Q3224" s="2">
        <v>6.2</v>
      </c>
      <c r="R3224" s="2" t="s">
        <v>5789</v>
      </c>
      <c r="S3224" s="2"/>
      <c r="AC3224" s="2"/>
      <c r="AD3224" t="str">
        <f>IFERROR(__xludf.DUMMYFUNCTION("""COMPUTED_VALUE"""),"Simply Irresistible ")</f>
        <v>Simply Irresistible </v>
      </c>
      <c r="AE3224">
        <f t="shared" si="79"/>
        <v>3588326</v>
      </c>
    </row>
    <row r="3225" customHeight="1" spans="1:31">
      <c r="A3225" s="2" t="s">
        <v>733</v>
      </c>
      <c r="B3225" s="2">
        <v>90</v>
      </c>
      <c r="C3225" s="2">
        <v>65087</v>
      </c>
      <c r="D3225" s="2" t="s">
        <v>5790</v>
      </c>
      <c r="E3225" s="2" t="s">
        <v>56</v>
      </c>
      <c r="F3225" t="s">
        <v>30</v>
      </c>
      <c r="N3225" s="2" t="s">
        <v>18</v>
      </c>
      <c r="O3225" s="2" t="s">
        <v>19</v>
      </c>
      <c r="P3225" s="2">
        <v>5000000</v>
      </c>
      <c r="Q3225" s="2">
        <v>6.2</v>
      </c>
      <c r="R3225" s="2" t="s">
        <v>5791</v>
      </c>
      <c r="S3225" s="2"/>
      <c r="AC3225" s="2"/>
      <c r="AD3225" t="str">
        <f>IFERROR(__xludf.DUMMYFUNCTION("""COMPUTED_VALUE"""),"Hedwig and the Angry Inch ")</f>
        <v>Hedwig and the Angry Inch </v>
      </c>
      <c r="AE3225">
        <f t="shared" si="79"/>
        <v>4394840</v>
      </c>
    </row>
    <row r="3226" customHeight="1" spans="1:31">
      <c r="A3226" s="2" t="s">
        <v>3501</v>
      </c>
      <c r="B3226" s="2">
        <v>103</v>
      </c>
      <c r="C3226" s="2">
        <v>16066</v>
      </c>
      <c r="D3226" s="2" t="s">
        <v>5598</v>
      </c>
      <c r="E3226" s="2" t="s">
        <v>28</v>
      </c>
      <c r="F3226" t="s">
        <v>72</v>
      </c>
      <c r="N3226" s="2" t="s">
        <v>18</v>
      </c>
      <c r="O3226" s="2" t="s">
        <v>293</v>
      </c>
      <c r="P3226" s="2">
        <v>5000000</v>
      </c>
      <c r="Q3226" s="2">
        <v>3.3</v>
      </c>
      <c r="R3226" s="2" t="s">
        <v>5792</v>
      </c>
      <c r="S3226" s="2"/>
      <c r="AC3226" s="2"/>
      <c r="AD3226" t="str">
        <f>IFERROR(__xludf.DUMMYFUNCTION("""COMPUTED_VALUE"""),"Only the Strong ")</f>
        <v>Only the Strong </v>
      </c>
      <c r="AE3226">
        <f t="shared" si="79"/>
        <v>3028986</v>
      </c>
    </row>
    <row r="3227" customHeight="1" spans="1:31">
      <c r="A3227" s="2" t="s">
        <v>3503</v>
      </c>
      <c r="B3227" s="2">
        <v>105</v>
      </c>
      <c r="C3227" s="2">
        <v>37440</v>
      </c>
      <c r="D3227" s="2" t="s">
        <v>3722</v>
      </c>
      <c r="E3227" s="2" t="s">
        <v>40</v>
      </c>
      <c r="F3227" t="s">
        <v>16</v>
      </c>
      <c r="N3227" s="2" t="s">
        <v>18</v>
      </c>
      <c r="O3227" s="2" t="s">
        <v>19</v>
      </c>
      <c r="P3227" s="2">
        <v>5000000</v>
      </c>
      <c r="Q3227" s="2">
        <v>7.5</v>
      </c>
      <c r="R3227" s="2" t="s">
        <v>5793</v>
      </c>
      <c r="S3227" s="2"/>
      <c r="AC3227" s="2"/>
      <c r="AD3227" t="str">
        <f>IFERROR(__xludf.DUMMYFUNCTION("""COMPUTED_VALUE"""),"Shattered Glass ")</f>
        <v>Shattered Glass </v>
      </c>
      <c r="AE3227">
        <f t="shared" si="79"/>
        <v>3273489</v>
      </c>
    </row>
    <row r="3228" customHeight="1" spans="1:31">
      <c r="A3228" s="2" t="s">
        <v>3506</v>
      </c>
      <c r="B3228" s="2">
        <v>113</v>
      </c>
      <c r="C3228" s="2">
        <v>617228</v>
      </c>
      <c r="D3228" s="2" t="s">
        <v>5794</v>
      </c>
      <c r="E3228" s="2" t="s">
        <v>40</v>
      </c>
      <c r="F3228" t="s">
        <v>28</v>
      </c>
      <c r="N3228" s="2" t="s">
        <v>5795</v>
      </c>
      <c r="O3228" s="2" t="s">
        <v>2287</v>
      </c>
      <c r="P3228" s="2">
        <v>84450000</v>
      </c>
      <c r="Q3228" s="2">
        <v>7.4</v>
      </c>
      <c r="R3228" s="2" t="s">
        <v>5796</v>
      </c>
      <c r="S3228" s="2"/>
      <c r="AC3228" s="2"/>
      <c r="AD3228" t="str">
        <f>IFERROR(__xludf.DUMMYFUNCTION("""COMPUTED_VALUE"""),"Novocaine ")</f>
        <v>Novocaine </v>
      </c>
      <c r="AE3228">
        <f t="shared" si="79"/>
        <v>2207876</v>
      </c>
    </row>
    <row r="3229" customHeight="1" spans="1:31">
      <c r="A3229" s="2" t="s">
        <v>3508</v>
      </c>
      <c r="B3229" s="2">
        <v>99</v>
      </c>
      <c r="C3229" s="2">
        <v>274385</v>
      </c>
      <c r="D3229" s="2" t="s">
        <v>975</v>
      </c>
      <c r="E3229" s="2" t="s">
        <v>40</v>
      </c>
      <c r="F3229" t="s">
        <v>83</v>
      </c>
      <c r="N3229" s="2" t="s">
        <v>4574</v>
      </c>
      <c r="O3229" s="2" t="s">
        <v>293</v>
      </c>
      <c r="P3229" s="2">
        <v>4000000</v>
      </c>
      <c r="Q3229" s="2">
        <v>7.3</v>
      </c>
      <c r="R3229" s="2" t="s">
        <v>5797</v>
      </c>
      <c r="S3229" s="2"/>
      <c r="AC3229" s="2"/>
      <c r="AD3229" t="str">
        <f>IFERROR(__xludf.DUMMYFUNCTION("""COMPUTED_VALUE"""),"The Wackness ")</f>
        <v>The Wackness </v>
      </c>
      <c r="AE3229">
        <f t="shared" si="79"/>
        <v>2025143</v>
      </c>
    </row>
    <row r="3230" customHeight="1" spans="1:31">
      <c r="A3230" s="2" t="s">
        <v>1433</v>
      </c>
      <c r="B3230" s="2">
        <v>148</v>
      </c>
      <c r="C3230" s="2">
        <v>24475416</v>
      </c>
      <c r="D3230" s="2" t="s">
        <v>30</v>
      </c>
      <c r="E3230" s="2" t="s">
        <v>30</v>
      </c>
      <c r="F3230" t="s">
        <v>28</v>
      </c>
      <c r="N3230" s="2" t="s">
        <v>18</v>
      </c>
      <c r="O3230" s="2" t="s">
        <v>19</v>
      </c>
      <c r="P3230" s="2">
        <v>890000</v>
      </c>
      <c r="Q3230" s="2">
        <v>8</v>
      </c>
      <c r="R3230" s="2" t="s">
        <v>5798</v>
      </c>
      <c r="S3230" s="2"/>
      <c r="AC3230" s="2"/>
      <c r="AD3230" t="str">
        <f>IFERROR(__xludf.DUMMYFUNCTION("""COMPUTED_VALUE"""),"Beastmaster 2: Through the Portal of Time ")</f>
        <v>Beastmaster 2: Through the Portal of Time </v>
      </c>
      <c r="AE3230">
        <f t="shared" si="79"/>
        <v>2076947</v>
      </c>
    </row>
    <row r="3231" customHeight="1" spans="1:31">
      <c r="A3231" s="2" t="s">
        <v>3220</v>
      </c>
      <c r="B3231" s="2">
        <v>93</v>
      </c>
      <c r="C3231" s="2">
        <v>47277326</v>
      </c>
      <c r="D3231" s="2" t="s">
        <v>72</v>
      </c>
      <c r="E3231" s="2" t="s">
        <v>72</v>
      </c>
      <c r="F3231" t="s">
        <v>56</v>
      </c>
      <c r="N3231" s="2" t="s">
        <v>18</v>
      </c>
      <c r="O3231" s="2" t="s">
        <v>19</v>
      </c>
      <c r="P3231" s="2">
        <v>4800000</v>
      </c>
      <c r="Q3231" s="2">
        <v>5.9</v>
      </c>
      <c r="R3231" s="2" t="s">
        <v>5799</v>
      </c>
      <c r="S3231" s="2"/>
      <c r="AC3231" s="2"/>
      <c r="AD3231" t="str">
        <f>IFERROR(__xludf.DUMMYFUNCTION("""COMPUTED_VALUE"""),"The 5th Quarter ")</f>
        <v>The 5th Quarter </v>
      </c>
      <c r="AE3231">
        <f t="shared" si="79"/>
        <v>869218</v>
      </c>
    </row>
    <row r="3232" customHeight="1" spans="1:31">
      <c r="A3232" s="2" t="s">
        <v>2643</v>
      </c>
      <c r="B3232" s="2">
        <v>94</v>
      </c>
      <c r="C3232" s="2">
        <v>1247453</v>
      </c>
      <c r="D3232" s="2" t="s">
        <v>975</v>
      </c>
      <c r="E3232" s="2" t="s">
        <v>40</v>
      </c>
      <c r="F3232" t="s">
        <v>30</v>
      </c>
      <c r="N3232" s="2" t="s">
        <v>18</v>
      </c>
      <c r="O3232" s="2" t="s">
        <v>31</v>
      </c>
      <c r="P3232" s="2">
        <v>2800000</v>
      </c>
      <c r="Q3232" s="2">
        <v>6.8</v>
      </c>
      <c r="R3232" s="2" t="s">
        <v>5800</v>
      </c>
      <c r="S3232" s="2"/>
      <c r="AC3232" s="2"/>
      <c r="AD3232" t="str">
        <f>IFERROR(__xludf.DUMMYFUNCTION("""COMPUTED_VALUE"""),"The Greatest ")</f>
        <v>The Greatest </v>
      </c>
      <c r="AE3232">
        <f t="shared" si="79"/>
        <v>399521</v>
      </c>
    </row>
    <row r="3233" customHeight="1" spans="1:31">
      <c r="A3233" s="2" t="s">
        <v>2418</v>
      </c>
      <c r="B3233" s="2">
        <v>121</v>
      </c>
      <c r="C3233" s="2">
        <v>1729969</v>
      </c>
      <c r="D3233" s="2" t="s">
        <v>1655</v>
      </c>
      <c r="E3233" s="2" t="s">
        <v>30</v>
      </c>
      <c r="F3233" t="s">
        <v>30</v>
      </c>
      <c r="N3233" s="2" t="s">
        <v>18</v>
      </c>
      <c r="O3233" s="2" t="s">
        <v>19</v>
      </c>
      <c r="P3233" s="2">
        <v>5000000</v>
      </c>
      <c r="Q3233" s="2">
        <v>7.4</v>
      </c>
      <c r="R3233" s="2" t="s">
        <v>5801</v>
      </c>
      <c r="S3233" s="2"/>
      <c r="AC3233" s="2"/>
      <c r="AD3233" t="str">
        <f>IFERROR(__xludf.DUMMYFUNCTION("""COMPUTED_VALUE"""),"Snow Flower and the Secret Fan ")</f>
        <v>Snow Flower and the Secret Fan </v>
      </c>
      <c r="AE3233">
        <f t="shared" si="79"/>
        <v>115766</v>
      </c>
    </row>
    <row r="3234" customHeight="1" spans="1:31">
      <c r="A3234" s="2" t="s">
        <v>3510</v>
      </c>
      <c r="B3234" s="2">
        <v>118</v>
      </c>
      <c r="C3234" s="2">
        <v>1705139</v>
      </c>
      <c r="D3234" s="2" t="s">
        <v>1036</v>
      </c>
      <c r="E3234" s="2" t="s">
        <v>14</v>
      </c>
      <c r="F3234" t="s">
        <v>30</v>
      </c>
      <c r="N3234" s="2" t="s">
        <v>18</v>
      </c>
      <c r="O3234" s="2" t="s">
        <v>19</v>
      </c>
      <c r="P3234" s="2">
        <v>4700000</v>
      </c>
      <c r="Q3234" s="2">
        <v>6.7</v>
      </c>
      <c r="R3234" s="2" t="s">
        <v>5802</v>
      </c>
      <c r="S3234" s="2"/>
      <c r="AC3234" s="2"/>
      <c r="AD3234" t="str">
        <f>IFERROR(__xludf.DUMMYFUNCTION("""COMPUTED_VALUE"""),"Come Early Morning ")</f>
        <v>Come Early Morning </v>
      </c>
      <c r="AE3234">
        <f t="shared" si="79"/>
        <v>1346399</v>
      </c>
    </row>
    <row r="3235" customHeight="1" spans="1:31">
      <c r="A3235" s="2" t="s">
        <v>1666</v>
      </c>
      <c r="B3235" s="2">
        <v>101</v>
      </c>
      <c r="C3235" s="2">
        <v>8025872</v>
      </c>
      <c r="D3235" s="2" t="s">
        <v>3178</v>
      </c>
      <c r="E3235" s="2" t="s">
        <v>40</v>
      </c>
      <c r="F3235" t="s">
        <v>39</v>
      </c>
      <c r="N3235" s="2" t="s">
        <v>18</v>
      </c>
      <c r="O3235" s="2" t="s">
        <v>19</v>
      </c>
      <c r="P3235" s="2">
        <v>4700000</v>
      </c>
      <c r="Q3235" s="2">
        <v>5.5</v>
      </c>
      <c r="R3235" s="2" t="s">
        <v>5803</v>
      </c>
      <c r="S3235" s="2"/>
      <c r="AC3235" s="2"/>
      <c r="AD3235" t="str">
        <f>IFERROR(__xludf.DUMMYFUNCTION("""COMPUTED_VALUE"""),"Lucky Break ")</f>
        <v>Lucky Break </v>
      </c>
      <c r="AE3235">
        <f t="shared" si="79"/>
        <v>117463</v>
      </c>
    </row>
    <row r="3236" customHeight="1" spans="1:31">
      <c r="A3236" s="2" t="s">
        <v>2580</v>
      </c>
      <c r="B3236" s="2">
        <v>90</v>
      </c>
      <c r="C3236" s="2">
        <v>778565</v>
      </c>
      <c r="D3236" s="2" t="s">
        <v>718</v>
      </c>
      <c r="E3236" s="2" t="s">
        <v>56</v>
      </c>
      <c r="F3236" t="s">
        <v>30</v>
      </c>
      <c r="N3236" s="2" t="s">
        <v>18</v>
      </c>
      <c r="O3236" s="2" t="s">
        <v>3235</v>
      </c>
      <c r="P3236" s="2">
        <v>4800000</v>
      </c>
      <c r="Q3236" s="2">
        <v>5.7</v>
      </c>
      <c r="R3236" s="2" t="s">
        <v>5804</v>
      </c>
      <c r="S3236" s="2"/>
      <c r="AC3236" s="2"/>
      <c r="AD3236" t="str">
        <f>IFERROR(__xludf.DUMMYFUNCTION("""COMPUTED_VALUE"""),"Surfer, Dude ")</f>
        <v>Surfer, Dude </v>
      </c>
      <c r="AE3236">
        <f t="shared" si="79"/>
        <v>54499</v>
      </c>
    </row>
    <row r="3237" customHeight="1" spans="1:31">
      <c r="A3237" s="2" t="s">
        <v>3512</v>
      </c>
      <c r="B3237" s="2">
        <v>100</v>
      </c>
      <c r="C3237" s="2">
        <v>513836</v>
      </c>
      <c r="D3237" s="2" t="s">
        <v>521</v>
      </c>
      <c r="E3237" s="2" t="s">
        <v>40</v>
      </c>
      <c r="F3237" t="s">
        <v>30</v>
      </c>
      <c r="N3237" s="2" t="s">
        <v>1125</v>
      </c>
      <c r="O3237" s="2" t="s">
        <v>707</v>
      </c>
      <c r="P3237" s="2">
        <v>4600000</v>
      </c>
      <c r="Q3237" s="2">
        <v>7.2</v>
      </c>
      <c r="R3237" s="2" t="s">
        <v>5805</v>
      </c>
      <c r="S3237" s="2"/>
      <c r="AC3237" s="2"/>
      <c r="AD3237" t="str">
        <f>IFERROR(__xludf.DUMMYFUNCTION("""COMPUTED_VALUE"""),"Deadfall ")</f>
        <v>Deadfall </v>
      </c>
      <c r="AE3237">
        <f t="shared" si="79"/>
        <v>36412</v>
      </c>
    </row>
    <row r="3238" customHeight="1" spans="1:31">
      <c r="A3238" s="2" t="s">
        <v>3514</v>
      </c>
      <c r="B3238" s="2">
        <v>97</v>
      </c>
      <c r="C3238" s="2">
        <v>434417</v>
      </c>
      <c r="D3238" s="2" t="s">
        <v>30</v>
      </c>
      <c r="E3238" s="2" t="s">
        <v>30</v>
      </c>
      <c r="F3238" t="s">
        <v>30</v>
      </c>
      <c r="N3238" s="2" t="s">
        <v>18</v>
      </c>
      <c r="O3238" s="2" t="s">
        <v>1431</v>
      </c>
      <c r="P3238" s="2">
        <v>4600000</v>
      </c>
      <c r="Q3238" s="2">
        <v>5.9</v>
      </c>
      <c r="R3238" s="2" t="s">
        <v>5806</v>
      </c>
      <c r="S3238" s="2"/>
      <c r="AC3238" s="2"/>
      <c r="AD3238" t="str">
        <f>IFERROR(__xludf.DUMMYFUNCTION("""COMPUTED_VALUE"""),"L'auberge espagnole ")</f>
        <v>L'auberge espagnole </v>
      </c>
      <c r="AE3238">
        <f t="shared" si="79"/>
        <v>65709</v>
      </c>
    </row>
    <row r="3239" customHeight="1" spans="1:31">
      <c r="A3239" s="2" t="s">
        <v>1681</v>
      </c>
      <c r="B3239" s="2">
        <v>96</v>
      </c>
      <c r="C3239" s="2">
        <v>81200000</v>
      </c>
      <c r="D3239" s="2" t="s">
        <v>40</v>
      </c>
      <c r="E3239" s="2" t="s">
        <v>40</v>
      </c>
      <c r="F3239" t="s">
        <v>83</v>
      </c>
      <c r="N3239" s="2" t="s">
        <v>18</v>
      </c>
      <c r="O3239" s="2" t="s">
        <v>19</v>
      </c>
      <c r="P3239" s="2">
        <v>4500000</v>
      </c>
      <c r="Q3239" s="2">
        <v>6.7</v>
      </c>
      <c r="R3239" s="2" t="s">
        <v>5807</v>
      </c>
      <c r="S3239" s="2"/>
      <c r="AC3239" s="2"/>
      <c r="AD3239" t="str">
        <f>IFERROR(__xludf.DUMMYFUNCTION("""COMPUTED_VALUE"""),"Song One ")</f>
        <v>Song One </v>
      </c>
      <c r="AE3239">
        <f t="shared" si="79"/>
        <v>3895553</v>
      </c>
    </row>
    <row r="3240" customHeight="1" spans="1:31">
      <c r="A3240" s="2" t="s">
        <v>161</v>
      </c>
      <c r="B3240" s="2">
        <v>117</v>
      </c>
      <c r="C3240" s="2">
        <v>52700832</v>
      </c>
      <c r="D3240" s="2" t="s">
        <v>521</v>
      </c>
      <c r="E3240" s="2" t="s">
        <v>40</v>
      </c>
      <c r="F3240" t="s">
        <v>65</v>
      </c>
      <c r="N3240" s="2" t="s">
        <v>18</v>
      </c>
      <c r="O3240" s="2" t="s">
        <v>31</v>
      </c>
      <c r="P3240" s="2">
        <v>4500000</v>
      </c>
      <c r="Q3240" s="2">
        <v>7.1</v>
      </c>
      <c r="R3240" s="2" t="s">
        <v>5808</v>
      </c>
      <c r="S3240" s="2"/>
      <c r="AC3240" s="2"/>
      <c r="AD3240" t="str">
        <f>IFERROR(__xludf.DUMMYFUNCTION("""COMPUTED_VALUE"""),"Winter in Wartime ")</f>
        <v>Winter in Wartime </v>
      </c>
      <c r="AE3240">
        <f t="shared" si="79"/>
        <v>20114</v>
      </c>
    </row>
    <row r="3241" customHeight="1" spans="1:31">
      <c r="A3241" s="2" t="s">
        <v>1259</v>
      </c>
      <c r="B3241" s="2">
        <v>108</v>
      </c>
      <c r="C3241" s="2">
        <v>13060843</v>
      </c>
      <c r="D3241" s="2" t="s">
        <v>30</v>
      </c>
      <c r="E3241" s="2" t="s">
        <v>30</v>
      </c>
      <c r="F3241" t="s">
        <v>30</v>
      </c>
      <c r="N3241" s="2" t="s">
        <v>18</v>
      </c>
      <c r="O3241" s="2" t="s">
        <v>19</v>
      </c>
      <c r="P3241" s="2">
        <v>15000000</v>
      </c>
      <c r="Q3241" s="2">
        <v>7.7</v>
      </c>
      <c r="R3241" s="2" t="s">
        <v>5809</v>
      </c>
      <c r="S3241" s="2"/>
      <c r="AC3241" s="2"/>
      <c r="AD3241" t="str">
        <f>IFERROR(__xludf.DUMMYFUNCTION("""COMPUTED_VALUE"""),"The Protector ")</f>
        <v>The Protector </v>
      </c>
      <c r="AE3241">
        <f t="shared" si="79"/>
        <v>542757</v>
      </c>
    </row>
    <row r="3242" customHeight="1" spans="1:31">
      <c r="A3242" s="2" t="s">
        <v>181</v>
      </c>
      <c r="B3242" s="2">
        <v>109</v>
      </c>
      <c r="C3242" s="2">
        <v>3798532</v>
      </c>
      <c r="D3242" s="2" t="s">
        <v>2171</v>
      </c>
      <c r="E3242" s="2" t="s">
        <v>56</v>
      </c>
      <c r="F3242" t="s">
        <v>40</v>
      </c>
      <c r="N3242" s="2" t="s">
        <v>18</v>
      </c>
      <c r="O3242" s="2" t="s">
        <v>19</v>
      </c>
      <c r="P3242" s="2">
        <v>4500000</v>
      </c>
      <c r="Q3242" s="2">
        <v>7.4</v>
      </c>
      <c r="R3242" s="2" t="s">
        <v>5810</v>
      </c>
      <c r="S3242" s="2"/>
      <c r="AC3242" s="2"/>
      <c r="AD3242" t="str">
        <f>IFERROR(__xludf.DUMMYFUNCTION("""COMPUTED_VALUE"""),"Bend It Like Beckham ")</f>
        <v>Bend It Like Beckham </v>
      </c>
      <c r="AE3242">
        <f t="shared" si="79"/>
        <v>11905408</v>
      </c>
    </row>
    <row r="3243" customHeight="1" spans="1:31">
      <c r="A3243" s="2" t="s">
        <v>450</v>
      </c>
      <c r="B3243" s="2">
        <v>102</v>
      </c>
      <c r="C3243" s="2">
        <v>3609278</v>
      </c>
      <c r="D3243" s="2" t="s">
        <v>30</v>
      </c>
      <c r="E3243" s="2" t="s">
        <v>30</v>
      </c>
      <c r="F3243" t="s">
        <v>30</v>
      </c>
      <c r="N3243" s="2" t="s">
        <v>18</v>
      </c>
      <c r="O3243" s="2" t="s">
        <v>19</v>
      </c>
      <c r="P3243" s="2">
        <v>4500000</v>
      </c>
      <c r="Q3243" s="2">
        <v>8.4</v>
      </c>
      <c r="R3243" s="2" t="s">
        <v>5811</v>
      </c>
      <c r="S3243" s="2"/>
      <c r="AC3243" s="2"/>
      <c r="AD3243" t="str">
        <f>IFERROR(__xludf.DUMMYFUNCTION("""COMPUTED_VALUE"""),"Sunshine State ")</f>
        <v>Sunshine State </v>
      </c>
      <c r="AE3243">
        <f t="shared" si="79"/>
        <v>32541607</v>
      </c>
    </row>
    <row r="3244" customHeight="1" spans="1:31">
      <c r="A3244" s="2" t="s">
        <v>3517</v>
      </c>
      <c r="B3244" s="2">
        <v>115</v>
      </c>
      <c r="C3244" s="2">
        <v>1687311</v>
      </c>
      <c r="D3244" s="2" t="s">
        <v>5812</v>
      </c>
      <c r="E3244" s="2" t="s">
        <v>30</v>
      </c>
      <c r="F3244" t="s">
        <v>30</v>
      </c>
      <c r="N3244" s="2" t="s">
        <v>1081</v>
      </c>
      <c r="O3244" s="2" t="s">
        <v>1431</v>
      </c>
      <c r="P3244" s="2">
        <v>700000000</v>
      </c>
      <c r="Q3244" s="2">
        <v>7.2</v>
      </c>
      <c r="R3244" s="2" t="s">
        <v>5813</v>
      </c>
      <c r="S3244" s="2"/>
      <c r="AC3244" s="2"/>
      <c r="AD3244" t="str">
        <f>IFERROR(__xludf.DUMMYFUNCTION("""COMPUTED_VALUE"""),"Crossover ")</f>
        <v>Crossover </v>
      </c>
      <c r="AE3244">
        <f t="shared" si="79"/>
        <v>3064215</v>
      </c>
    </row>
    <row r="3245" customHeight="1" spans="1:31">
      <c r="A3245" s="2" t="s">
        <v>3519</v>
      </c>
      <c r="B3245" s="2">
        <v>98</v>
      </c>
      <c r="C3245" s="2">
        <v>10429707</v>
      </c>
      <c r="D3245" s="2" t="s">
        <v>40</v>
      </c>
      <c r="E3245" s="2" t="s">
        <v>40</v>
      </c>
      <c r="F3245" t="s">
        <v>72</v>
      </c>
      <c r="N3245" s="2" t="s">
        <v>18</v>
      </c>
      <c r="O3245" s="2" t="s">
        <v>19</v>
      </c>
      <c r="P3245" s="2">
        <v>5000000</v>
      </c>
      <c r="Q3245" s="2">
        <v>5.4</v>
      </c>
      <c r="R3245" s="2" t="s">
        <v>5814</v>
      </c>
      <c r="S3245" s="2"/>
      <c r="AC3245" s="2"/>
      <c r="AD3245" t="str">
        <f>IFERROR(__xludf.DUMMYFUNCTION("""COMPUTED_VALUE"""),"[Rec] 2 ")</f>
        <v>[Rec] 2 </v>
      </c>
      <c r="AE3245">
        <f t="shared" si="79"/>
        <v>7009573</v>
      </c>
    </row>
    <row r="3246" customHeight="1" spans="1:31">
      <c r="A3246" s="2" t="s">
        <v>2068</v>
      </c>
      <c r="B3246" s="2">
        <v>133</v>
      </c>
      <c r="C3246" s="2">
        <v>727883</v>
      </c>
      <c r="D3246" s="2" t="s">
        <v>1045</v>
      </c>
      <c r="E3246" s="2" t="s">
        <v>30</v>
      </c>
      <c r="F3246" t="s">
        <v>24</v>
      </c>
      <c r="N3246" s="2" t="s">
        <v>18</v>
      </c>
      <c r="O3246" s="2" t="s">
        <v>19</v>
      </c>
      <c r="P3246" s="2">
        <v>4500000</v>
      </c>
      <c r="Q3246" s="2">
        <v>8.1</v>
      </c>
      <c r="R3246" s="2" t="s">
        <v>5815</v>
      </c>
      <c r="S3246" s="2"/>
      <c r="AC3246" s="2"/>
      <c r="AD3246" t="str">
        <f>IFERROR(__xludf.DUMMYFUNCTION("""COMPUTED_VALUE"""),"The Sting ")</f>
        <v>The Sting </v>
      </c>
      <c r="AE3246">
        <f t="shared" si="79"/>
        <v>26939</v>
      </c>
    </row>
    <row r="3247" customHeight="1" spans="1:31">
      <c r="A3247" s="2" t="s">
        <v>3521</v>
      </c>
      <c r="B3247" s="2">
        <v>122</v>
      </c>
      <c r="C3247" s="2">
        <v>713413</v>
      </c>
      <c r="D3247" s="2" t="s">
        <v>4570</v>
      </c>
      <c r="E3247" s="2" t="s">
        <v>56</v>
      </c>
      <c r="F3247" t="s">
        <v>56</v>
      </c>
      <c r="N3247" s="2" t="s">
        <v>4330</v>
      </c>
      <c r="O3247" s="2" t="s">
        <v>4331</v>
      </c>
      <c r="P3247" s="2">
        <v>4500000</v>
      </c>
      <c r="Q3247" s="2">
        <v>7.8</v>
      </c>
      <c r="R3247" s="2" t="s">
        <v>5816</v>
      </c>
      <c r="S3247" s="2"/>
      <c r="AC3247" s="2"/>
      <c r="AD3247" t="str">
        <f>IFERROR(__xludf.DUMMYFUNCTION("""COMPUTED_VALUE"""),"Chariots of Fire ")</f>
        <v>Chariots of Fire </v>
      </c>
      <c r="AE3247">
        <f t="shared" si="79"/>
        <v>159599871</v>
      </c>
    </row>
    <row r="3248" customHeight="1" spans="1:31">
      <c r="A3248" s="2" t="s">
        <v>3523</v>
      </c>
      <c r="B3248" s="2">
        <v>106</v>
      </c>
      <c r="C3248" s="2">
        <v>410241</v>
      </c>
      <c r="D3248" s="2" t="s">
        <v>3855</v>
      </c>
      <c r="E3248" s="2" t="s">
        <v>40</v>
      </c>
      <c r="F3248" t="s">
        <v>39</v>
      </c>
      <c r="N3248" s="2" t="s">
        <v>18</v>
      </c>
      <c r="O3248" s="2" t="s">
        <v>19</v>
      </c>
      <c r="P3248" s="2">
        <v>2000000</v>
      </c>
      <c r="Q3248" s="2">
        <v>6.8</v>
      </c>
      <c r="R3248" s="2" t="s">
        <v>5817</v>
      </c>
      <c r="S3248" s="2"/>
      <c r="AC3248" s="2"/>
      <c r="AD3248" t="str">
        <f>IFERROR(__xludf.DUMMYFUNCTION("""COMPUTED_VALUE"""),"Diary of a Mad Black Woman ")</f>
        <v>Diary of a Mad Black Woman </v>
      </c>
      <c r="AE3248">
        <f t="shared" si="79"/>
        <v>58799875</v>
      </c>
    </row>
    <row r="3249" customHeight="1" spans="1:31">
      <c r="A3249" s="2" t="s">
        <v>2879</v>
      </c>
      <c r="B3249" s="2">
        <v>112</v>
      </c>
      <c r="C3249" s="2">
        <v>211667</v>
      </c>
      <c r="D3249" s="2" t="s">
        <v>718</v>
      </c>
      <c r="E3249" s="2" t="s">
        <v>56</v>
      </c>
      <c r="F3249" t="s">
        <v>28</v>
      </c>
      <c r="N3249" s="2" t="s">
        <v>5086</v>
      </c>
      <c r="O3249" s="2" t="s">
        <v>2880</v>
      </c>
      <c r="P3249" s="2">
        <v>4200000000</v>
      </c>
      <c r="Q3249" s="2">
        <v>7.7</v>
      </c>
      <c r="R3249" s="2" t="s">
        <v>5818</v>
      </c>
      <c r="S3249" s="2"/>
      <c r="AC3249" s="2"/>
      <c r="AD3249" t="str">
        <f>IFERROR(__xludf.DUMMYFUNCTION("""COMPUTED_VALUE"""),"Shine ")</f>
        <v>Shine </v>
      </c>
      <c r="AE3249">
        <f t="shared" si="79"/>
        <v>50382012</v>
      </c>
    </row>
    <row r="3250" customHeight="1" spans="1:31">
      <c r="A3250" s="2" t="s">
        <v>3525</v>
      </c>
      <c r="B3250" s="2">
        <v>99</v>
      </c>
      <c r="C3250" s="2">
        <v>92191</v>
      </c>
      <c r="D3250" s="2" t="s">
        <v>2602</v>
      </c>
      <c r="E3250" s="2" t="s">
        <v>40</v>
      </c>
      <c r="F3250" t="s">
        <v>13</v>
      </c>
      <c r="N3250" s="2" t="s">
        <v>18</v>
      </c>
      <c r="O3250" s="2" t="s">
        <v>31</v>
      </c>
      <c r="P3250" s="2">
        <v>2500000</v>
      </c>
      <c r="Q3250" s="2">
        <v>6.5</v>
      </c>
      <c r="R3250" s="2" t="s">
        <v>5819</v>
      </c>
      <c r="S3250" s="2"/>
      <c r="AC3250" s="2"/>
      <c r="AD3250" t="str">
        <f>IFERROR(__xludf.DUMMYFUNCTION("""COMPUTED_VALUE"""),"Don Jon ")</f>
        <v>Don Jon </v>
      </c>
      <c r="AE3250">
        <f t="shared" si="79"/>
        <v>35811404</v>
      </c>
    </row>
    <row r="3251" customHeight="1" spans="1:31">
      <c r="A3251" s="2" t="s">
        <v>3527</v>
      </c>
      <c r="B3251" s="2">
        <v>110</v>
      </c>
      <c r="C3251" s="2">
        <v>49413</v>
      </c>
      <c r="D3251" s="2" t="s">
        <v>150</v>
      </c>
      <c r="E3251" s="2" t="s">
        <v>12</v>
      </c>
      <c r="F3251" t="s">
        <v>28</v>
      </c>
      <c r="N3251" s="2" t="s">
        <v>3028</v>
      </c>
      <c r="O3251" s="2" t="s">
        <v>1554</v>
      </c>
      <c r="P3251" s="2">
        <v>35000000</v>
      </c>
      <c r="Q3251" s="2">
        <v>7.3</v>
      </c>
      <c r="R3251" s="2" t="s">
        <v>5820</v>
      </c>
      <c r="S3251" s="2"/>
      <c r="AC3251" s="2"/>
      <c r="AD3251" t="str">
        <f>IFERROR(__xludf.DUMMYFUNCTION("""COMPUTED_VALUE"""),"Ghost World ")</f>
        <v>Ghost World </v>
      </c>
      <c r="AE3251">
        <f t="shared" si="79"/>
        <v>24475103</v>
      </c>
    </row>
    <row r="3252" customHeight="1" spans="1:31">
      <c r="A3252" s="2" t="s">
        <v>3529</v>
      </c>
      <c r="B3252" s="2">
        <v>104</v>
      </c>
      <c r="C3252" s="2">
        <v>108229</v>
      </c>
      <c r="D3252" s="2" t="s">
        <v>2539</v>
      </c>
      <c r="E3252" s="2" t="s">
        <v>30</v>
      </c>
      <c r="F3252" t="s">
        <v>72</v>
      </c>
      <c r="N3252" s="2" t="s">
        <v>18</v>
      </c>
      <c r="O3252" s="2" t="s">
        <v>19</v>
      </c>
      <c r="P3252" s="2">
        <v>4500000</v>
      </c>
      <c r="Q3252" s="2">
        <v>5.9</v>
      </c>
      <c r="R3252" s="2" t="s">
        <v>5821</v>
      </c>
      <c r="S3252" s="2"/>
      <c r="AC3252" s="2"/>
      <c r="AD3252" t="str">
        <f>IFERROR(__xludf.DUMMYFUNCTION("""COMPUTED_VALUE"""),"Iris ")</f>
        <v>Iris </v>
      </c>
      <c r="AE3252">
        <f t="shared" si="79"/>
        <v>6200645</v>
      </c>
    </row>
    <row r="3253" customHeight="1" spans="1:31">
      <c r="A3253" s="2" t="s">
        <v>1242</v>
      </c>
      <c r="B3253" s="2">
        <v>133</v>
      </c>
      <c r="C3253" s="2">
        <v>112000000</v>
      </c>
      <c r="D3253" s="2" t="s">
        <v>30</v>
      </c>
      <c r="E3253" s="2" t="s">
        <v>30</v>
      </c>
      <c r="F3253" t="s">
        <v>72</v>
      </c>
      <c r="N3253" s="2" t="s">
        <v>18</v>
      </c>
      <c r="O3253" s="2" t="s">
        <v>19</v>
      </c>
      <c r="P3253" s="2">
        <v>4400000</v>
      </c>
      <c r="Q3253" s="2">
        <v>8.7</v>
      </c>
      <c r="R3253" s="2" t="s">
        <v>5822</v>
      </c>
      <c r="S3253" s="2"/>
      <c r="AC3253" s="2"/>
      <c r="AD3253" t="str">
        <f>IFERROR(__xludf.DUMMYFUNCTION("""COMPUTED_VALUE"""),"The Chorus ")</f>
        <v>The Chorus </v>
      </c>
      <c r="AE3253">
        <f t="shared" si="79"/>
        <v>1292028</v>
      </c>
    </row>
    <row r="3254" customHeight="1" spans="1:31">
      <c r="A3254" s="2" t="s">
        <v>3531</v>
      </c>
      <c r="B3254" s="2">
        <v>103</v>
      </c>
      <c r="C3254" s="2">
        <v>8691</v>
      </c>
      <c r="D3254" s="2" t="s">
        <v>70</v>
      </c>
      <c r="E3254" s="2" t="s">
        <v>12</v>
      </c>
      <c r="F3254" t="s">
        <v>13</v>
      </c>
      <c r="N3254" s="2" t="s">
        <v>18</v>
      </c>
      <c r="O3254" s="2" t="s">
        <v>19</v>
      </c>
      <c r="P3254" s="2">
        <v>4500000</v>
      </c>
      <c r="Q3254" s="2">
        <v>5.8</v>
      </c>
      <c r="R3254" s="2" t="s">
        <v>5823</v>
      </c>
      <c r="S3254" s="2"/>
      <c r="AC3254" s="2"/>
      <c r="AD3254" t="str">
        <f>IFERROR(__xludf.DUMMYFUNCTION("""COMPUTED_VALUE"""),"Mambo Italiano ")</f>
        <v>Mambo Italiano </v>
      </c>
      <c r="AE3254">
        <f t="shared" si="79"/>
        <v>3629661</v>
      </c>
    </row>
    <row r="3255" customHeight="1" spans="1:31">
      <c r="A3255" s="2" t="s">
        <v>3533</v>
      </c>
      <c r="B3255" s="2">
        <v>112</v>
      </c>
      <c r="C3255" s="2">
        <v>26345</v>
      </c>
      <c r="D3255" s="2" t="s">
        <v>5324</v>
      </c>
      <c r="E3255" s="2" t="s">
        <v>12</v>
      </c>
      <c r="F3255" t="s">
        <v>17</v>
      </c>
      <c r="N3255" s="2" t="s">
        <v>18</v>
      </c>
      <c r="O3255" s="2" t="s">
        <v>31</v>
      </c>
      <c r="P3255" s="2">
        <v>3000000</v>
      </c>
      <c r="Q3255" s="2">
        <v>6.1</v>
      </c>
      <c r="R3255" s="2" t="s">
        <v>5824</v>
      </c>
      <c r="S3255" s="2"/>
      <c r="AC3255" s="2"/>
      <c r="AD3255" t="str">
        <f>IFERROR(__xludf.DUMMYFUNCTION("""COMPUTED_VALUE"""),"Wonderland ")</f>
        <v>Wonderland </v>
      </c>
      <c r="AE3255">
        <f t="shared" ref="AE3255:AE3318" si="80">C3139-B3139</f>
        <v>6239466</v>
      </c>
    </row>
    <row r="3256" customHeight="1" spans="1:31">
      <c r="A3256" s="2" t="s">
        <v>1881</v>
      </c>
      <c r="B3256" s="2">
        <v>101</v>
      </c>
      <c r="C3256" s="2">
        <v>20772796</v>
      </c>
      <c r="D3256" s="2" t="s">
        <v>2984</v>
      </c>
      <c r="E3256" s="2" t="s">
        <v>30</v>
      </c>
      <c r="F3256" t="s">
        <v>40</v>
      </c>
      <c r="N3256" s="2" t="s">
        <v>18</v>
      </c>
      <c r="O3256" s="2" t="s">
        <v>90</v>
      </c>
      <c r="P3256" s="2">
        <v>6000000</v>
      </c>
      <c r="Q3256" s="2">
        <v>7.6</v>
      </c>
      <c r="R3256" s="2" t="s">
        <v>5825</v>
      </c>
      <c r="S3256" s="2"/>
      <c r="AC3256" s="2"/>
      <c r="AD3256" t="str">
        <f>IFERROR(__xludf.DUMMYFUNCTION("""COMPUTED_VALUE"""),"Do the Right Thing ")</f>
        <v>Do the Right Thing </v>
      </c>
      <c r="AE3256">
        <f t="shared" si="80"/>
        <v>1055998</v>
      </c>
    </row>
    <row r="3257" customHeight="1" spans="1:31">
      <c r="A3257" s="2" t="s">
        <v>3535</v>
      </c>
      <c r="B3257" s="2">
        <v>133</v>
      </c>
      <c r="C3257" s="2">
        <v>199228</v>
      </c>
      <c r="D3257" s="2" t="s">
        <v>975</v>
      </c>
      <c r="E3257" s="2" t="s">
        <v>40</v>
      </c>
      <c r="F3257" t="s">
        <v>30</v>
      </c>
      <c r="N3257" s="2" t="s">
        <v>5227</v>
      </c>
      <c r="O3257" s="2" t="s">
        <v>2888</v>
      </c>
      <c r="P3257" s="2">
        <v>150000000</v>
      </c>
      <c r="Q3257" s="2">
        <v>7.2</v>
      </c>
      <c r="R3257" s="2" t="s">
        <v>5826</v>
      </c>
      <c r="S3257" s="2"/>
      <c r="AC3257" s="2"/>
      <c r="AD3257" t="str">
        <f>IFERROR(__xludf.DUMMYFUNCTION("""COMPUTED_VALUE"""),"Harvard Man ")</f>
        <v>Harvard Man </v>
      </c>
      <c r="AE3257">
        <f t="shared" si="80"/>
        <v>27545325</v>
      </c>
    </row>
    <row r="3258" customHeight="1" spans="1:31">
      <c r="A3258" s="2" t="s">
        <v>872</v>
      </c>
      <c r="B3258" s="2">
        <v>104</v>
      </c>
      <c r="C3258" s="2">
        <v>1487477</v>
      </c>
      <c r="D3258" s="2" t="s">
        <v>5827</v>
      </c>
      <c r="E3258" s="2" t="s">
        <v>14</v>
      </c>
      <c r="F3258" t="s">
        <v>72</v>
      </c>
      <c r="N3258" s="2" t="s">
        <v>5828</v>
      </c>
      <c r="O3258" s="2" t="s">
        <v>4525</v>
      </c>
      <c r="P3258" s="2">
        <v>4200000</v>
      </c>
      <c r="Q3258" s="2">
        <v>6.5</v>
      </c>
      <c r="R3258" s="2" t="s">
        <v>5829</v>
      </c>
      <c r="S3258" s="2"/>
      <c r="AC3258" s="2"/>
      <c r="AD3258" t="str">
        <f>IFERROR(__xludf.DUMMYFUNCTION("""COMPUTED_VALUE"""),"Le Havre ")</f>
        <v>Le Havre </v>
      </c>
      <c r="AE3258">
        <f t="shared" si="80"/>
        <v>55908</v>
      </c>
    </row>
    <row r="3259" customHeight="1" spans="1:31">
      <c r="A3259" s="2" t="s">
        <v>1255</v>
      </c>
      <c r="B3259" s="2">
        <v>112</v>
      </c>
      <c r="C3259" s="2">
        <v>62549000</v>
      </c>
      <c r="D3259" s="2" t="s">
        <v>2171</v>
      </c>
      <c r="E3259" s="2" t="s">
        <v>56</v>
      </c>
      <c r="F3259" t="s">
        <v>40</v>
      </c>
      <c r="N3259" s="2" t="s">
        <v>18</v>
      </c>
      <c r="O3259" s="2" t="s">
        <v>31</v>
      </c>
      <c r="P3259" s="2">
        <v>2300000</v>
      </c>
      <c r="Q3259" s="2">
        <v>7.3</v>
      </c>
      <c r="R3259" s="2" t="s">
        <v>5830</v>
      </c>
      <c r="S3259" s="2"/>
      <c r="AC3259" s="2"/>
      <c r="AD3259" t="str">
        <f>IFERROR(__xludf.DUMMYFUNCTION("""COMPUTED_VALUE"""),"R100 ")</f>
        <v>R100 </v>
      </c>
      <c r="AE3259">
        <f t="shared" si="80"/>
        <v>611616</v>
      </c>
    </row>
    <row r="3260" customHeight="1" spans="1:31">
      <c r="A3260" s="2" t="s">
        <v>2306</v>
      </c>
      <c r="B3260" s="2">
        <v>94</v>
      </c>
      <c r="C3260" s="2">
        <v>105500000</v>
      </c>
      <c r="D3260" s="2" t="s">
        <v>40</v>
      </c>
      <c r="E3260" s="2" t="s">
        <v>40</v>
      </c>
      <c r="F3260" t="s">
        <v>30</v>
      </c>
      <c r="N3260" s="2" t="s">
        <v>18</v>
      </c>
      <c r="O3260" s="2" t="s">
        <v>121</v>
      </c>
      <c r="P3260" s="2">
        <v>4000000</v>
      </c>
      <c r="Q3260" s="2">
        <v>6.2</v>
      </c>
      <c r="R3260" s="2" t="s">
        <v>5831</v>
      </c>
      <c r="S3260" s="2"/>
      <c r="AC3260" s="2"/>
      <c r="AD3260" t="str">
        <f>IFERROR(__xludf.DUMMYFUNCTION("""COMPUTED_VALUE"""),"Salvation Boulevard ")</f>
        <v>Salvation Boulevard </v>
      </c>
      <c r="AE3260">
        <f t="shared" si="80"/>
        <v>22671</v>
      </c>
    </row>
    <row r="3261" customHeight="1" spans="1:31">
      <c r="A3261" s="2" t="s">
        <v>2369</v>
      </c>
      <c r="B3261" s="2">
        <v>90</v>
      </c>
      <c r="C3261" s="2">
        <v>101055</v>
      </c>
      <c r="D3261" s="2" t="s">
        <v>72</v>
      </c>
      <c r="E3261" s="2" t="s">
        <v>72</v>
      </c>
      <c r="F3261" t="s">
        <v>30</v>
      </c>
      <c r="N3261" s="2" t="s">
        <v>18</v>
      </c>
      <c r="O3261" s="2" t="s">
        <v>19</v>
      </c>
      <c r="P3261" s="2">
        <v>4000000</v>
      </c>
      <c r="Q3261" s="2">
        <v>5</v>
      </c>
      <c r="R3261" s="2" t="s">
        <v>5832</v>
      </c>
      <c r="S3261" s="2"/>
      <c r="AC3261" s="2"/>
      <c r="AD3261" t="str">
        <f>IFERROR(__xludf.DUMMYFUNCTION("""COMPUTED_VALUE"""),"The Ten ")</f>
        <v>The Ten </v>
      </c>
      <c r="AE3261">
        <f t="shared" si="80"/>
        <v>27349</v>
      </c>
    </row>
    <row r="3262" customHeight="1" spans="1:31">
      <c r="A3262" s="2" t="s">
        <v>1556</v>
      </c>
      <c r="B3262" s="2">
        <v>101</v>
      </c>
      <c r="C3262" s="2">
        <v>44566004</v>
      </c>
      <c r="D3262" s="2" t="s">
        <v>30</v>
      </c>
      <c r="E3262" s="2" t="s">
        <v>30</v>
      </c>
      <c r="F3262" t="s">
        <v>83</v>
      </c>
      <c r="N3262" s="2" t="s">
        <v>18</v>
      </c>
      <c r="O3262" s="2" t="s">
        <v>19</v>
      </c>
      <c r="P3262" s="2">
        <v>4000000</v>
      </c>
      <c r="Q3262" s="2">
        <v>7.8</v>
      </c>
      <c r="R3262" s="2" t="s">
        <v>5833</v>
      </c>
      <c r="S3262" s="2"/>
      <c r="AC3262" s="2"/>
      <c r="AD3262" t="str">
        <f>IFERROR(__xludf.DUMMYFUNCTION("""COMPUTED_VALUE"""),"Headhunters ")</f>
        <v>Headhunters </v>
      </c>
      <c r="AE3262">
        <f t="shared" si="80"/>
        <v>766391</v>
      </c>
    </row>
    <row r="3263" customHeight="1" spans="1:31">
      <c r="A3263" s="2" t="s">
        <v>1814</v>
      </c>
      <c r="B3263" s="2">
        <v>93</v>
      </c>
      <c r="C3263" s="2">
        <v>39200000</v>
      </c>
      <c r="D3263" s="2" t="s">
        <v>607</v>
      </c>
      <c r="E3263" s="2" t="s">
        <v>40</v>
      </c>
      <c r="F3263" t="s">
        <v>30</v>
      </c>
      <c r="N3263" s="2" t="s">
        <v>18</v>
      </c>
      <c r="O3263" s="2" t="s">
        <v>19</v>
      </c>
      <c r="P3263" s="2">
        <v>4000000</v>
      </c>
      <c r="Q3263" s="2">
        <v>8.1</v>
      </c>
      <c r="R3263" s="2" t="s">
        <v>5834</v>
      </c>
      <c r="S3263" s="2"/>
      <c r="AC3263" s="2"/>
      <c r="AD3263" t="str">
        <f>IFERROR(__xludf.DUMMYFUNCTION("""COMPUTED_VALUE"""),"Saint Ralph ")</f>
        <v>Saint Ralph </v>
      </c>
      <c r="AE3263">
        <f t="shared" si="80"/>
        <v>1196652</v>
      </c>
    </row>
    <row r="3264" customHeight="1" spans="1:31">
      <c r="A3264" s="2" t="s">
        <v>3537</v>
      </c>
      <c r="B3264" s="2">
        <v>152</v>
      </c>
      <c r="C3264" s="2">
        <v>36000000</v>
      </c>
      <c r="D3264" s="2" t="s">
        <v>4820</v>
      </c>
      <c r="E3264" s="2" t="s">
        <v>30</v>
      </c>
      <c r="F3264" t="s">
        <v>30</v>
      </c>
      <c r="N3264" s="2" t="s">
        <v>18</v>
      </c>
      <c r="O3264" s="2" t="s">
        <v>19</v>
      </c>
      <c r="P3264" s="2">
        <v>4000000</v>
      </c>
      <c r="Q3264" s="2">
        <v>6.7</v>
      </c>
      <c r="R3264" s="2" t="s">
        <v>5835</v>
      </c>
      <c r="S3264" s="2"/>
      <c r="AC3264" s="2"/>
      <c r="AD3264" t="str">
        <f>IFERROR(__xludf.DUMMYFUNCTION("""COMPUTED_VALUE"""),"Insidious: Chapter 2 ")</f>
        <v>Insidious: Chapter 2 </v>
      </c>
      <c r="AE3264">
        <f t="shared" si="80"/>
        <v>795028</v>
      </c>
    </row>
    <row r="3265" customHeight="1" spans="1:31">
      <c r="A3265" s="2" t="s">
        <v>69</v>
      </c>
      <c r="B3265" s="2">
        <v>112</v>
      </c>
      <c r="C3265" s="2">
        <v>31252964</v>
      </c>
      <c r="D3265" s="2" t="s">
        <v>103</v>
      </c>
      <c r="E3265" s="2" t="s">
        <v>30</v>
      </c>
      <c r="F3265" t="s">
        <v>30</v>
      </c>
      <c r="N3265" s="2" t="s">
        <v>18</v>
      </c>
      <c r="O3265" s="2" t="s">
        <v>19</v>
      </c>
      <c r="P3265" s="2">
        <v>4000000</v>
      </c>
      <c r="Q3265" s="2">
        <v>7.1</v>
      </c>
      <c r="R3265" s="2" t="s">
        <v>5836</v>
      </c>
      <c r="S3265" s="2"/>
      <c r="AC3265" s="2"/>
      <c r="AD3265" t="str">
        <f>IFERROR(__xludf.DUMMYFUNCTION("""COMPUTED_VALUE"""),"Saw II ")</f>
        <v>Saw II </v>
      </c>
      <c r="AE3265">
        <f t="shared" si="80"/>
        <v>83574725</v>
      </c>
    </row>
    <row r="3266" customHeight="1" spans="1:31">
      <c r="A3266" s="2" t="s">
        <v>3539</v>
      </c>
      <c r="B3266" s="2">
        <v>95</v>
      </c>
      <c r="C3266" s="2">
        <v>131175</v>
      </c>
      <c r="D3266" s="2" t="s">
        <v>5467</v>
      </c>
      <c r="E3266" s="2" t="s">
        <v>30</v>
      </c>
      <c r="F3266" t="s">
        <v>30</v>
      </c>
      <c r="N3266" s="2" t="s">
        <v>18</v>
      </c>
      <c r="O3266" s="2" t="s">
        <v>19</v>
      </c>
      <c r="P3266" s="2">
        <v>8500000</v>
      </c>
      <c r="Q3266" s="2">
        <v>5.6</v>
      </c>
      <c r="R3266" s="2" t="s">
        <v>5837</v>
      </c>
      <c r="S3266" s="2"/>
      <c r="AC3266" s="2"/>
      <c r="AD3266" t="str">
        <f>IFERROR(__xludf.DUMMYFUNCTION("""COMPUTED_VALUE"""),"10 Cloverfield Lane ")</f>
        <v>10 Cloverfield Lane </v>
      </c>
      <c r="AE3266">
        <f t="shared" si="80"/>
        <v>87024998</v>
      </c>
    </row>
    <row r="3267" customHeight="1" spans="1:31">
      <c r="A3267" s="2" t="s">
        <v>3541</v>
      </c>
      <c r="B3267" s="2">
        <v>111</v>
      </c>
      <c r="C3267" s="2">
        <v>31968347</v>
      </c>
      <c r="D3267" s="2" t="s">
        <v>103</v>
      </c>
      <c r="E3267" s="2" t="s">
        <v>30</v>
      </c>
      <c r="F3267" t="s">
        <v>17</v>
      </c>
      <c r="N3267" s="2" t="s">
        <v>18</v>
      </c>
      <c r="O3267" s="2" t="s">
        <v>19</v>
      </c>
      <c r="P3267" s="2">
        <v>3600000</v>
      </c>
      <c r="Q3267" s="2">
        <v>7.6</v>
      </c>
      <c r="R3267" s="2" t="s">
        <v>5838</v>
      </c>
      <c r="S3267" s="2"/>
      <c r="AC3267" s="2"/>
      <c r="AD3267" t="str">
        <f>IFERROR(__xludf.DUMMYFUNCTION("""COMPUTED_VALUE"""),"Jackass: The Movie ")</f>
        <v>Jackass: The Movie </v>
      </c>
      <c r="AE3267">
        <f t="shared" si="80"/>
        <v>71897111</v>
      </c>
    </row>
    <row r="3268" customHeight="1" spans="1:31">
      <c r="A3268" s="2" t="s">
        <v>207</v>
      </c>
      <c r="B3268" s="2">
        <v>91</v>
      </c>
      <c r="C3268" s="2">
        <v>35385560</v>
      </c>
      <c r="D3268" s="2" t="s">
        <v>328</v>
      </c>
      <c r="E3268" s="2" t="s">
        <v>28</v>
      </c>
      <c r="F3268" t="s">
        <v>15</v>
      </c>
      <c r="N3268" s="2" t="s">
        <v>18</v>
      </c>
      <c r="O3268" s="2" t="s">
        <v>19</v>
      </c>
      <c r="P3268" s="2">
        <v>4000000</v>
      </c>
      <c r="Q3268" s="2">
        <v>4.6</v>
      </c>
      <c r="R3268" s="2" t="s">
        <v>5839</v>
      </c>
      <c r="S3268" s="2"/>
      <c r="AC3268" s="2"/>
      <c r="AD3268" t="str">
        <f>IFERROR(__xludf.DUMMYFUNCTION("""COMPUTED_VALUE"""),"Lights Out ")</f>
        <v>Lights Out </v>
      </c>
      <c r="AE3268">
        <f t="shared" si="80"/>
        <v>64267810</v>
      </c>
    </row>
    <row r="3269" customHeight="1" spans="1:31">
      <c r="A3269" s="2" t="s">
        <v>3543</v>
      </c>
      <c r="B3269" s="2">
        <v>106</v>
      </c>
      <c r="C3269" s="2">
        <v>20803237</v>
      </c>
      <c r="D3269" s="2" t="s">
        <v>975</v>
      </c>
      <c r="E3269" s="2" t="s">
        <v>40</v>
      </c>
      <c r="F3269" t="s">
        <v>17</v>
      </c>
      <c r="N3269" s="2" t="s">
        <v>18</v>
      </c>
      <c r="O3269" s="2" t="s">
        <v>19</v>
      </c>
      <c r="P3269" s="2">
        <v>3500000</v>
      </c>
      <c r="Q3269" s="2">
        <v>7.1</v>
      </c>
      <c r="R3269" s="2" t="s">
        <v>5840</v>
      </c>
      <c r="S3269" s="2"/>
      <c r="AC3269" s="2"/>
      <c r="AD3269" t="str">
        <f>IFERROR(__xludf.DUMMYFUNCTION("""COMPUTED_VALUE"""),"Paranormal Activity 3 ")</f>
        <v>Paranormal Activity 3 </v>
      </c>
      <c r="AE3269">
        <f t="shared" si="80"/>
        <v>56535935</v>
      </c>
    </row>
    <row r="3270" customHeight="1" spans="1:31">
      <c r="A3270" s="2" t="s">
        <v>1335</v>
      </c>
      <c r="B3270" s="2">
        <v>93</v>
      </c>
      <c r="C3270" s="2">
        <v>13008928</v>
      </c>
      <c r="D3270" s="2" t="s">
        <v>1764</v>
      </c>
      <c r="E3270" s="2" t="s">
        <v>72</v>
      </c>
      <c r="F3270" t="s">
        <v>30</v>
      </c>
      <c r="N3270" s="2" t="s">
        <v>18</v>
      </c>
      <c r="O3270" s="2" t="s">
        <v>19</v>
      </c>
      <c r="P3270" s="2">
        <v>4000000</v>
      </c>
      <c r="Q3270" s="2">
        <v>7.3</v>
      </c>
      <c r="R3270" s="2" t="s">
        <v>5841</v>
      </c>
      <c r="S3270" s="2"/>
      <c r="AC3270" s="2"/>
      <c r="AD3270" t="str">
        <f>IFERROR(__xludf.DUMMYFUNCTION("""COMPUTED_VALUE"""),"Ouija ")</f>
        <v>Ouija </v>
      </c>
      <c r="AE3270">
        <f t="shared" si="80"/>
        <v>104007734</v>
      </c>
    </row>
    <row r="3271" customHeight="1" spans="1:31">
      <c r="A3271" s="2" t="s">
        <v>3546</v>
      </c>
      <c r="B3271" s="2">
        <v>93</v>
      </c>
      <c r="C3271" s="2">
        <v>15152879</v>
      </c>
      <c r="D3271" s="2" t="s">
        <v>1788</v>
      </c>
      <c r="E3271" s="2" t="s">
        <v>30</v>
      </c>
      <c r="F3271" t="s">
        <v>17</v>
      </c>
      <c r="N3271" s="2" t="s">
        <v>18</v>
      </c>
      <c r="O3271" s="2" t="s">
        <v>707</v>
      </c>
      <c r="P3271" s="2">
        <v>5000000</v>
      </c>
      <c r="Q3271" s="2">
        <v>4</v>
      </c>
      <c r="R3271" s="2" t="s">
        <v>5842</v>
      </c>
      <c r="S3271" s="2"/>
      <c r="AC3271" s="2"/>
      <c r="AD3271" t="str">
        <f>IFERROR(__xludf.DUMMYFUNCTION("""COMPUTED_VALUE"""),"A Nightmare on Elm Street 3: Dream Warriors ")</f>
        <v>A Nightmare on Elm Street 3: Dream Warriors </v>
      </c>
      <c r="AE3271">
        <f t="shared" si="80"/>
        <v>50820851</v>
      </c>
    </row>
    <row r="3272" customHeight="1" spans="1:31">
      <c r="A3272" s="2" t="s">
        <v>1971</v>
      </c>
      <c r="B3272" s="2">
        <v>165</v>
      </c>
      <c r="C3272" s="2">
        <v>25359200</v>
      </c>
      <c r="D3272" s="2" t="s">
        <v>30</v>
      </c>
      <c r="E3272" s="2" t="s">
        <v>30</v>
      </c>
      <c r="F3272" t="s">
        <v>30</v>
      </c>
      <c r="N3272" s="2" t="s">
        <v>18</v>
      </c>
      <c r="O3272" s="2" t="s">
        <v>19</v>
      </c>
      <c r="P3272" s="2">
        <v>4000000</v>
      </c>
      <c r="Q3272" s="2">
        <v>8</v>
      </c>
      <c r="R3272" s="2" t="s">
        <v>5843</v>
      </c>
      <c r="S3272" s="2"/>
      <c r="AC3272" s="2"/>
      <c r="AD3272" t="str">
        <f>IFERROR(__xludf.DUMMYFUNCTION("""COMPUTED_VALUE"""),"Instructions Not Included ")</f>
        <v>Instructions Not Included </v>
      </c>
      <c r="AE3272">
        <f t="shared" si="80"/>
        <v>44793112</v>
      </c>
    </row>
    <row r="3273" customHeight="1" spans="1:31">
      <c r="A3273" s="2" t="s">
        <v>1814</v>
      </c>
      <c r="B3273" s="2">
        <v>96</v>
      </c>
      <c r="C3273" s="2">
        <v>10515579</v>
      </c>
      <c r="D3273" s="2" t="s">
        <v>4771</v>
      </c>
      <c r="E3273" s="2" t="s">
        <v>40</v>
      </c>
      <c r="F3273" t="s">
        <v>30</v>
      </c>
      <c r="N3273" s="2" t="s">
        <v>18</v>
      </c>
      <c r="O3273" s="2" t="s">
        <v>31</v>
      </c>
      <c r="P3273" s="2">
        <v>4000000</v>
      </c>
      <c r="Q3273" s="2">
        <v>6.7</v>
      </c>
      <c r="R3273" s="2" t="s">
        <v>5844</v>
      </c>
      <c r="S3273" s="2"/>
      <c r="AC3273" s="2"/>
      <c r="AD3273" t="str">
        <f>IFERROR(__xludf.DUMMYFUNCTION("""COMPUTED_VALUE"""),"Paranormal Activity 4 ")</f>
        <v>Paranormal Activity 4 </v>
      </c>
      <c r="AE3273">
        <f t="shared" si="80"/>
        <v>44456394</v>
      </c>
    </row>
    <row r="3274" customHeight="1" spans="1:31">
      <c r="A3274" s="2" t="s">
        <v>3548</v>
      </c>
      <c r="B3274" s="2">
        <v>93</v>
      </c>
      <c r="C3274" s="2">
        <v>10097096</v>
      </c>
      <c r="D3274" s="2" t="s">
        <v>40</v>
      </c>
      <c r="E3274" s="2" t="s">
        <v>40</v>
      </c>
      <c r="F3274" t="s">
        <v>56</v>
      </c>
      <c r="N3274" s="2" t="s">
        <v>18</v>
      </c>
      <c r="O3274" s="2" t="s">
        <v>19</v>
      </c>
      <c r="P3274" s="2">
        <v>4000000</v>
      </c>
      <c r="Q3274" s="2">
        <v>4.6</v>
      </c>
      <c r="R3274" s="2" t="s">
        <v>5845</v>
      </c>
      <c r="S3274" s="2"/>
      <c r="AC3274" s="2"/>
      <c r="AD3274" t="str">
        <f>IFERROR(__xludf.DUMMYFUNCTION("""COMPUTED_VALUE"""),"The Robe ")</f>
        <v>The Robe </v>
      </c>
      <c r="AE3274">
        <f t="shared" si="80"/>
        <v>53884725</v>
      </c>
    </row>
    <row r="3275" customHeight="1" spans="1:31">
      <c r="A3275" s="2" t="s">
        <v>3548</v>
      </c>
      <c r="B3275" s="2">
        <v>82</v>
      </c>
      <c r="C3275" s="2">
        <v>9821335</v>
      </c>
      <c r="D3275" s="2" t="s">
        <v>40</v>
      </c>
      <c r="E3275" s="2" t="s">
        <v>40</v>
      </c>
      <c r="F3275" t="s">
        <v>65</v>
      </c>
      <c r="N3275" s="2" t="s">
        <v>18</v>
      </c>
      <c r="O3275" s="2" t="s">
        <v>19</v>
      </c>
      <c r="P3275" s="2">
        <v>6000000</v>
      </c>
      <c r="Q3275" s="2">
        <v>4</v>
      </c>
      <c r="R3275" s="2" t="s">
        <v>5846</v>
      </c>
      <c r="S3275" s="2"/>
      <c r="AC3275" s="2"/>
      <c r="AD3275" t="str">
        <f>IFERROR(__xludf.DUMMYFUNCTION("""COMPUTED_VALUE"""),"Freddy's Dead: The Final Nightmare ")</f>
        <v>Freddy's Dead: The Final Nightmare </v>
      </c>
      <c r="AE3275">
        <f t="shared" si="80"/>
        <v>35999865</v>
      </c>
    </row>
    <row r="3276" customHeight="1" spans="1:31">
      <c r="A3276" s="2" t="s">
        <v>2470</v>
      </c>
      <c r="B3276" s="2">
        <v>101</v>
      </c>
      <c r="C3276" s="2">
        <v>8243880</v>
      </c>
      <c r="D3276" s="2" t="s">
        <v>5847</v>
      </c>
      <c r="E3276" s="2" t="s">
        <v>56</v>
      </c>
      <c r="F3276" t="s">
        <v>39</v>
      </c>
      <c r="N3276" s="2" t="s">
        <v>18</v>
      </c>
      <c r="O3276" s="2" t="s">
        <v>19</v>
      </c>
      <c r="P3276" s="2">
        <v>3200000</v>
      </c>
      <c r="Q3276" s="2">
        <v>7</v>
      </c>
      <c r="R3276" s="2" t="s">
        <v>5848</v>
      </c>
      <c r="S3276" s="2"/>
      <c r="AC3276" s="2"/>
      <c r="AD3276" t="str">
        <f>IFERROR(__xludf.DUMMYFUNCTION("""COMPUTED_VALUE"""),"Monster ")</f>
        <v>Monster </v>
      </c>
      <c r="AE3276">
        <f t="shared" si="80"/>
        <v>34872200</v>
      </c>
    </row>
    <row r="3277" customHeight="1" spans="1:31">
      <c r="A3277" s="2" t="s">
        <v>3550</v>
      </c>
      <c r="B3277" s="2">
        <v>81</v>
      </c>
      <c r="C3277" s="2">
        <v>7825820</v>
      </c>
      <c r="D3277" s="2" t="s">
        <v>846</v>
      </c>
      <c r="E3277" s="2" t="s">
        <v>56</v>
      </c>
      <c r="F3277" t="s">
        <v>59</v>
      </c>
      <c r="N3277" s="2" t="s">
        <v>18</v>
      </c>
      <c r="O3277" s="2" t="s">
        <v>19</v>
      </c>
      <c r="P3277" s="2">
        <v>4000000</v>
      </c>
      <c r="Q3277" s="2">
        <v>5.9</v>
      </c>
      <c r="R3277" s="2" t="s">
        <v>5849</v>
      </c>
      <c r="S3277" s="2"/>
      <c r="AC3277" s="2"/>
      <c r="AD3277" t="str">
        <f>IFERROR(__xludf.DUMMYFUNCTION("""COMPUTED_VALUE"""),"Paranormal Activity: The Marked Ones ")</f>
        <v>Paranormal Activity: The Marked Ones </v>
      </c>
      <c r="AE3277">
        <f t="shared" si="80"/>
        <v>34468115</v>
      </c>
    </row>
    <row r="3278" customHeight="1" spans="1:31">
      <c r="A3278" s="2" t="s">
        <v>1561</v>
      </c>
      <c r="B3278" s="2">
        <v>105</v>
      </c>
      <c r="C3278" s="2">
        <v>7159147</v>
      </c>
      <c r="D3278" s="2" t="s">
        <v>712</v>
      </c>
      <c r="E3278" s="2" t="s">
        <v>30</v>
      </c>
      <c r="F3278" t="s">
        <v>30</v>
      </c>
      <c r="N3278" s="2" t="s">
        <v>1081</v>
      </c>
      <c r="O3278" s="2" t="s">
        <v>1431</v>
      </c>
      <c r="P3278" s="2">
        <v>3400000</v>
      </c>
      <c r="Q3278" s="2">
        <v>7.5</v>
      </c>
      <c r="R3278" s="2" t="s">
        <v>5850</v>
      </c>
      <c r="S3278" s="2"/>
      <c r="AC3278" s="2"/>
      <c r="AD3278" t="str">
        <f>IFERROR(__xludf.DUMMYFUNCTION("""COMPUTED_VALUE"""),"Dallas Buyers Club ")</f>
        <v>Dallas Buyers Club </v>
      </c>
      <c r="AE3278">
        <f t="shared" si="80"/>
        <v>32453244</v>
      </c>
    </row>
    <row r="3279" customHeight="1" spans="1:31">
      <c r="A3279" s="2" t="s">
        <v>3464</v>
      </c>
      <c r="B3279" s="2">
        <v>86</v>
      </c>
      <c r="C3279" s="2">
        <v>17314483</v>
      </c>
      <c r="D3279" s="2" t="s">
        <v>1086</v>
      </c>
      <c r="E3279" s="2" t="s">
        <v>40</v>
      </c>
      <c r="F3279" t="s">
        <v>56</v>
      </c>
      <c r="N3279" s="2" t="s">
        <v>18</v>
      </c>
      <c r="O3279" s="2" t="s">
        <v>19</v>
      </c>
      <c r="P3279" s="2">
        <v>4000000</v>
      </c>
      <c r="Q3279" s="2">
        <v>4.7</v>
      </c>
      <c r="R3279" s="2" t="s">
        <v>5851</v>
      </c>
      <c r="S3279" s="2"/>
      <c r="AC3279" s="2"/>
      <c r="AD3279" t="str">
        <f>IFERROR(__xludf.DUMMYFUNCTION("""COMPUTED_VALUE"""),"The Lazarus Effect ")</f>
        <v>The Lazarus Effect </v>
      </c>
      <c r="AE3279">
        <f t="shared" si="80"/>
        <v>27296397</v>
      </c>
    </row>
    <row r="3280" customHeight="1" spans="1:31">
      <c r="A3280" s="2" t="s">
        <v>3552</v>
      </c>
      <c r="B3280" s="2">
        <v>110</v>
      </c>
      <c r="C3280" s="2">
        <v>6525762</v>
      </c>
      <c r="D3280" s="2" t="s">
        <v>521</v>
      </c>
      <c r="E3280" s="2" t="s">
        <v>40</v>
      </c>
      <c r="F3280" t="s">
        <v>56</v>
      </c>
      <c r="N3280" s="2" t="s">
        <v>18</v>
      </c>
      <c r="O3280" s="2" t="s">
        <v>19</v>
      </c>
      <c r="P3280" s="2">
        <v>4000000</v>
      </c>
      <c r="Q3280" s="2">
        <v>6.7</v>
      </c>
      <c r="R3280" s="2" t="s">
        <v>5852</v>
      </c>
      <c r="S3280" s="2"/>
      <c r="AC3280" s="2"/>
      <c r="AD3280" t="str">
        <f>IFERROR(__xludf.DUMMYFUNCTION("""COMPUTED_VALUE"""),"Memento ")</f>
        <v>Memento </v>
      </c>
      <c r="AE3280">
        <f t="shared" si="80"/>
        <v>25798960</v>
      </c>
    </row>
    <row r="3281" customHeight="1" spans="1:31">
      <c r="A3281" s="2" t="s">
        <v>3554</v>
      </c>
      <c r="B3281" s="2">
        <v>110</v>
      </c>
      <c r="C3281" s="2">
        <v>4301331</v>
      </c>
      <c r="D3281" s="2" t="s">
        <v>1086</v>
      </c>
      <c r="E3281" s="2" t="s">
        <v>40</v>
      </c>
      <c r="F3281" t="s">
        <v>40</v>
      </c>
      <c r="N3281" s="2" t="s">
        <v>18</v>
      </c>
      <c r="O3281" s="2" t="s">
        <v>19</v>
      </c>
      <c r="P3281" s="2">
        <v>4000000</v>
      </c>
      <c r="Q3281" s="2">
        <v>6.7</v>
      </c>
      <c r="R3281" s="2" t="s">
        <v>5853</v>
      </c>
      <c r="S3281" s="2"/>
      <c r="AC3281" s="2"/>
      <c r="AD3281" t="str">
        <f>IFERROR(__xludf.DUMMYFUNCTION("""COMPUTED_VALUE"""),"Oculus ")</f>
        <v>Oculus </v>
      </c>
      <c r="AE3281">
        <f t="shared" si="80"/>
        <v>25530771</v>
      </c>
    </row>
    <row r="3282" customHeight="1" spans="1:31">
      <c r="A3282" s="2" t="s">
        <v>2485</v>
      </c>
      <c r="B3282" s="2">
        <v>104</v>
      </c>
      <c r="C3282" s="2">
        <v>4046737</v>
      </c>
      <c r="D3282" s="2" t="s">
        <v>521</v>
      </c>
      <c r="E3282" s="2" t="s">
        <v>40</v>
      </c>
      <c r="F3282" t="s">
        <v>30</v>
      </c>
      <c r="N3282" s="2" t="s">
        <v>18</v>
      </c>
      <c r="O3282" s="2" t="s">
        <v>19</v>
      </c>
      <c r="P3282" s="2">
        <v>4000000</v>
      </c>
      <c r="Q3282" s="2">
        <v>7.1</v>
      </c>
      <c r="R3282" s="2" t="s">
        <v>5854</v>
      </c>
      <c r="S3282" s="2"/>
      <c r="AC3282" s="2"/>
      <c r="AD3282" t="str">
        <f>IFERROR(__xludf.DUMMYFUNCTION("""COMPUTED_VALUE"""),"Clerks II ")</f>
        <v>Clerks II </v>
      </c>
      <c r="AE3282">
        <f t="shared" si="80"/>
        <v>27689370</v>
      </c>
    </row>
    <row r="3283" customHeight="1" spans="1:31">
      <c r="A3283" s="2" t="s">
        <v>3556</v>
      </c>
      <c r="B3283" s="2">
        <v>96</v>
      </c>
      <c r="C3283" s="2">
        <v>3713002</v>
      </c>
      <c r="D3283" s="2" t="s">
        <v>65</v>
      </c>
      <c r="E3283" s="2" t="s">
        <v>65</v>
      </c>
      <c r="F3283" t="s">
        <v>15</v>
      </c>
      <c r="N3283" s="2" t="s">
        <v>18</v>
      </c>
      <c r="O3283" s="2" t="s">
        <v>19</v>
      </c>
      <c r="P3283" s="2">
        <v>8000000</v>
      </c>
      <c r="Q3283" s="2">
        <v>2.7</v>
      </c>
      <c r="R3283" s="2" t="s">
        <v>5855</v>
      </c>
      <c r="S3283" s="2"/>
      <c r="AC3283" s="2"/>
      <c r="AD3283" t="str">
        <f>IFERROR(__xludf.DUMMYFUNCTION("""COMPUTED_VALUE"""),"Billy Elliot ")</f>
        <v>Billy Elliot </v>
      </c>
      <c r="AE3283">
        <f t="shared" si="80"/>
        <v>24138750</v>
      </c>
    </row>
    <row r="3284" customHeight="1" spans="1:31">
      <c r="A3284" s="2" t="s">
        <v>291</v>
      </c>
      <c r="B3284" s="2">
        <v>110</v>
      </c>
      <c r="C3284" s="2">
        <v>3468572</v>
      </c>
      <c r="D3284" s="2" t="s">
        <v>30</v>
      </c>
      <c r="E3284" s="2" t="s">
        <v>30</v>
      </c>
      <c r="F3284" t="s">
        <v>30</v>
      </c>
      <c r="N3284" s="2" t="s">
        <v>18</v>
      </c>
      <c r="O3284" s="2" t="s">
        <v>19</v>
      </c>
      <c r="P3284" s="2">
        <v>4000000</v>
      </c>
      <c r="Q3284" s="2">
        <v>7.3</v>
      </c>
      <c r="R3284" s="2" t="s">
        <v>5856</v>
      </c>
      <c r="S3284" s="2"/>
      <c r="AC3284" s="2"/>
      <c r="AD3284" t="str">
        <f>IFERROR(__xludf.DUMMYFUNCTION("""COMPUTED_VALUE"""),"The Way Way Back ")</f>
        <v>The Way Way Back </v>
      </c>
      <c r="AE3284">
        <f t="shared" si="80"/>
        <v>21994801</v>
      </c>
    </row>
    <row r="3285" customHeight="1" spans="1:31">
      <c r="A3285" s="2" t="s">
        <v>2862</v>
      </c>
      <c r="B3285" s="2">
        <v>84</v>
      </c>
      <c r="C3285" s="2">
        <v>2892582</v>
      </c>
      <c r="D3285" s="2" t="s">
        <v>40</v>
      </c>
      <c r="E3285" s="2" t="s">
        <v>40</v>
      </c>
      <c r="F3285" t="s">
        <v>30</v>
      </c>
      <c r="N3285" s="2" t="s">
        <v>18</v>
      </c>
      <c r="O3285" s="2" t="s">
        <v>19</v>
      </c>
      <c r="P3285" s="2">
        <v>4000000</v>
      </c>
      <c r="Q3285" s="2">
        <v>7.6</v>
      </c>
      <c r="R3285" s="2" t="s">
        <v>5857</v>
      </c>
      <c r="S3285" s="2"/>
      <c r="AC3285" s="2"/>
      <c r="AD3285" t="str">
        <f>IFERROR(__xludf.DUMMYFUNCTION("""COMPUTED_VALUE"""),"House Party 2 ")</f>
        <v>House Party 2 </v>
      </c>
      <c r="AE3285">
        <f t="shared" si="80"/>
        <v>21500995</v>
      </c>
    </row>
    <row r="3286" customHeight="1" spans="1:31">
      <c r="A3286" s="2" t="s">
        <v>3559</v>
      </c>
      <c r="B3286" s="2">
        <v>94</v>
      </c>
      <c r="C3286" s="2">
        <v>2800000</v>
      </c>
      <c r="D3286" s="2" t="s">
        <v>40</v>
      </c>
      <c r="E3286" s="2" t="s">
        <v>40</v>
      </c>
      <c r="F3286" t="s">
        <v>30</v>
      </c>
      <c r="N3286" s="2" t="s">
        <v>18</v>
      </c>
      <c r="O3286" s="2" t="s">
        <v>19</v>
      </c>
      <c r="P3286" s="2">
        <v>4000000</v>
      </c>
      <c r="Q3286" s="2">
        <v>5.8</v>
      </c>
      <c r="R3286" s="2" t="s">
        <v>5858</v>
      </c>
      <c r="S3286" s="2"/>
      <c r="AC3286" s="2"/>
      <c r="AD3286" t="str">
        <f>IFERROR(__xludf.DUMMYFUNCTION("""COMPUTED_VALUE"""),"Doug's 1st Movie ")</f>
        <v>Doug's 1st Movie </v>
      </c>
      <c r="AE3286">
        <f t="shared" si="80"/>
        <v>19281141</v>
      </c>
    </row>
    <row r="3287" customHeight="1" spans="1:31">
      <c r="A3287" s="2" t="s">
        <v>1148</v>
      </c>
      <c r="B3287" s="2">
        <v>93</v>
      </c>
      <c r="C3287" s="2">
        <v>2426851</v>
      </c>
      <c r="D3287" s="2" t="s">
        <v>1722</v>
      </c>
      <c r="E3287" s="2" t="s">
        <v>40</v>
      </c>
      <c r="F3287" t="s">
        <v>30</v>
      </c>
      <c r="N3287" s="2" t="s">
        <v>18</v>
      </c>
      <c r="O3287" s="2" t="s">
        <v>19</v>
      </c>
      <c r="P3287" s="2">
        <v>4000000</v>
      </c>
      <c r="Q3287" s="2">
        <v>6.5</v>
      </c>
      <c r="R3287" s="2" t="s">
        <v>5859</v>
      </c>
      <c r="S3287" s="2"/>
      <c r="AC3287" s="2"/>
      <c r="AD3287" t="str">
        <f>IFERROR(__xludf.DUMMYFUNCTION("""COMPUTED_VALUE"""),"The Apostle ")</f>
        <v>The Apostle </v>
      </c>
      <c r="AE3287">
        <f t="shared" si="80"/>
        <v>19421194</v>
      </c>
    </row>
    <row r="3288" customHeight="1" spans="1:31">
      <c r="A3288" s="2" t="s">
        <v>3561</v>
      </c>
      <c r="B3288" s="2">
        <v>96</v>
      </c>
      <c r="C3288" s="2">
        <v>1325073</v>
      </c>
      <c r="D3288" s="2" t="s">
        <v>975</v>
      </c>
      <c r="E3288" s="2" t="s">
        <v>40</v>
      </c>
      <c r="F3288" t="s">
        <v>30</v>
      </c>
      <c r="N3288" s="2" t="s">
        <v>18</v>
      </c>
      <c r="O3288" s="2" t="s">
        <v>19</v>
      </c>
      <c r="P3288" s="2">
        <v>4000000</v>
      </c>
      <c r="Q3288" s="2">
        <v>6.6</v>
      </c>
      <c r="R3288" s="2" t="s">
        <v>5860</v>
      </c>
      <c r="S3288" s="2"/>
      <c r="AC3288" s="2"/>
      <c r="AD3288" t="str">
        <f>IFERROR(__xludf.DUMMYFUNCTION("""COMPUTED_VALUE"""),"Our Idiot Brother ")</f>
        <v>Our Idiot Brother </v>
      </c>
      <c r="AE3288">
        <f t="shared" si="80"/>
        <v>20733351</v>
      </c>
    </row>
    <row r="3289" customHeight="1" spans="1:31">
      <c r="A3289" s="2" t="s">
        <v>3564</v>
      </c>
      <c r="B3289" s="2">
        <v>101</v>
      </c>
      <c r="C3289" s="2">
        <v>864959</v>
      </c>
      <c r="D3289" s="2" t="s">
        <v>89</v>
      </c>
      <c r="E3289" s="2" t="s">
        <v>13</v>
      </c>
      <c r="F3289" t="s">
        <v>24</v>
      </c>
      <c r="N3289" s="2" t="s">
        <v>18</v>
      </c>
      <c r="O3289" s="2" t="s">
        <v>31</v>
      </c>
      <c r="P3289" s="2">
        <v>4000000</v>
      </c>
      <c r="Q3289" s="2">
        <v>6.9</v>
      </c>
      <c r="R3289" s="2" t="s">
        <v>5861</v>
      </c>
      <c r="S3289" s="2"/>
      <c r="AC3289" s="2"/>
      <c r="AD3289" t="str">
        <f>IFERROR(__xludf.DUMMYFUNCTION("""COMPUTED_VALUE"""),"The Players Club ")</f>
        <v>The Players Club </v>
      </c>
      <c r="AE3289">
        <f t="shared" si="80"/>
        <v>24809457</v>
      </c>
    </row>
    <row r="3290" customHeight="1" spans="1:31">
      <c r="A3290" s="2" t="s">
        <v>3566</v>
      </c>
      <c r="B3290" s="2">
        <v>102</v>
      </c>
      <c r="C3290" s="2">
        <v>2601847</v>
      </c>
      <c r="D3290" s="2" t="s">
        <v>1652</v>
      </c>
      <c r="E3290" s="2" t="s">
        <v>65</v>
      </c>
      <c r="F3290" t="s">
        <v>30</v>
      </c>
      <c r="N3290" s="2" t="s">
        <v>5862</v>
      </c>
      <c r="O3290" s="2" t="s">
        <v>19</v>
      </c>
      <c r="P3290" s="2">
        <v>4000000</v>
      </c>
      <c r="Q3290" s="2">
        <v>8.5</v>
      </c>
      <c r="R3290" s="2" t="s">
        <v>5863</v>
      </c>
      <c r="S3290" s="2"/>
      <c r="AC3290" s="2"/>
      <c r="AD3290" t="str">
        <f>IFERROR(__xludf.DUMMYFUNCTION("""COMPUTED_VALUE"""),"As Above, So Below ")</f>
        <v>As Above, So Below </v>
      </c>
      <c r="AE3290">
        <f t="shared" si="80"/>
        <v>23031286</v>
      </c>
    </row>
    <row r="3291" customHeight="1" spans="1:31">
      <c r="A3291" s="2" t="s">
        <v>3568</v>
      </c>
      <c r="B3291" s="2">
        <v>87</v>
      </c>
      <c r="C3291" s="2">
        <v>800000</v>
      </c>
      <c r="D3291" s="2" t="s">
        <v>89</v>
      </c>
      <c r="E3291" s="2" t="s">
        <v>13</v>
      </c>
      <c r="F3291" t="s">
        <v>14</v>
      </c>
      <c r="N3291" s="2" t="s">
        <v>18</v>
      </c>
      <c r="O3291" s="2" t="s">
        <v>19</v>
      </c>
      <c r="P3291" s="2">
        <v>4000000</v>
      </c>
      <c r="Q3291" s="2">
        <v>4.8</v>
      </c>
      <c r="R3291" s="2" t="s">
        <v>5864</v>
      </c>
      <c r="S3291" s="2"/>
      <c r="AC3291" s="2"/>
      <c r="AD3291" t="str">
        <f>IFERROR(__xludf.DUMMYFUNCTION("""COMPUTED_VALUE"""),"Addicted ")</f>
        <v>Addicted </v>
      </c>
      <c r="AE3291">
        <f t="shared" si="80"/>
        <v>21197222</v>
      </c>
    </row>
    <row r="3292" customHeight="1" spans="1:31">
      <c r="A3292" s="2" t="s">
        <v>3570</v>
      </c>
      <c r="B3292" s="2">
        <v>99</v>
      </c>
      <c r="C3292" s="2">
        <v>562059</v>
      </c>
      <c r="D3292" s="2" t="s">
        <v>1655</v>
      </c>
      <c r="E3292" s="2" t="s">
        <v>30</v>
      </c>
      <c r="F3292" t="s">
        <v>17</v>
      </c>
      <c r="N3292" s="2" t="s">
        <v>18</v>
      </c>
      <c r="O3292" s="2" t="s">
        <v>19</v>
      </c>
      <c r="P3292" s="2">
        <v>4000000</v>
      </c>
      <c r="Q3292" s="2">
        <v>7</v>
      </c>
      <c r="R3292" s="2" t="s">
        <v>5865</v>
      </c>
      <c r="S3292" s="2"/>
      <c r="AC3292" s="2"/>
      <c r="AD3292" t="str">
        <f>IFERROR(__xludf.DUMMYFUNCTION("""COMPUTED_VALUE"""),"Eve's Bayou ")</f>
        <v>Eve's Bayou </v>
      </c>
      <c r="AE3292">
        <f t="shared" si="80"/>
        <v>17382876</v>
      </c>
    </row>
    <row r="3293" customHeight="1" spans="1:31">
      <c r="A3293" s="2" t="s">
        <v>3541</v>
      </c>
      <c r="B3293" s="2">
        <v>106</v>
      </c>
      <c r="C3293" s="2">
        <v>399793</v>
      </c>
      <c r="D3293" s="2" t="s">
        <v>30</v>
      </c>
      <c r="E3293" s="2" t="s">
        <v>30</v>
      </c>
      <c r="F3293" t="s">
        <v>30</v>
      </c>
      <c r="N3293" s="2" t="s">
        <v>18</v>
      </c>
      <c r="O3293" s="2" t="s">
        <v>19</v>
      </c>
      <c r="P3293" s="2">
        <v>4000000</v>
      </c>
      <c r="Q3293" s="2">
        <v>5.4</v>
      </c>
      <c r="R3293" s="2" t="s">
        <v>5866</v>
      </c>
      <c r="S3293" s="2"/>
      <c r="AC3293" s="2"/>
      <c r="AD3293" t="str">
        <f>IFERROR(__xludf.DUMMYFUNCTION("""COMPUTED_VALUE"""),"Still Alice ")</f>
        <v>Still Alice </v>
      </c>
      <c r="AE3293">
        <f t="shared" si="80"/>
        <v>14821422</v>
      </c>
    </row>
    <row r="3294" customHeight="1" spans="1:31">
      <c r="A3294" s="2" t="s">
        <v>1344</v>
      </c>
      <c r="B3294" s="2">
        <v>117</v>
      </c>
      <c r="C3294" s="2">
        <v>371897</v>
      </c>
      <c r="D3294" s="2" t="s">
        <v>30</v>
      </c>
      <c r="E3294" s="2" t="s">
        <v>30</v>
      </c>
      <c r="F3294" t="s">
        <v>14</v>
      </c>
      <c r="N3294" s="2" t="s">
        <v>18</v>
      </c>
      <c r="O3294" s="2" t="s">
        <v>19</v>
      </c>
      <c r="P3294" s="2">
        <v>4000000</v>
      </c>
      <c r="Q3294" s="2">
        <v>6.9</v>
      </c>
      <c r="R3294" s="2" t="s">
        <v>5867</v>
      </c>
      <c r="S3294" s="2"/>
      <c r="AC3294" s="2"/>
      <c r="AD3294" t="str">
        <f>IFERROR(__xludf.DUMMYFUNCTION("""COMPUTED_VALUE"""),"Friday the 13th Part VIII: Jason Takes Manhattan ")</f>
        <v>Friday the 13th Part VIII: Jason Takes Manhattan </v>
      </c>
      <c r="AE3294">
        <f t="shared" si="80"/>
        <v>18656299</v>
      </c>
    </row>
    <row r="3295" customHeight="1" spans="1:31">
      <c r="A3295" s="2" t="s">
        <v>3572</v>
      </c>
      <c r="B3295" s="2">
        <v>99</v>
      </c>
      <c r="C3295" s="2">
        <v>302204</v>
      </c>
      <c r="D3295" s="2" t="s">
        <v>1733</v>
      </c>
      <c r="E3295" s="2" t="s">
        <v>40</v>
      </c>
      <c r="F3295" t="s">
        <v>28</v>
      </c>
      <c r="N3295" s="2" t="s">
        <v>18</v>
      </c>
      <c r="O3295" s="2" t="s">
        <v>31</v>
      </c>
      <c r="P3295" s="2">
        <v>3000000</v>
      </c>
      <c r="Q3295" s="2">
        <v>6.6</v>
      </c>
      <c r="R3295" s="2" t="s">
        <v>5868</v>
      </c>
      <c r="S3295" s="2"/>
      <c r="AC3295" s="2"/>
      <c r="AD3295" t="str">
        <f>IFERROR(__xludf.DUMMYFUNCTION("""COMPUTED_VALUE"""),"My Big Fat Greek Wedding ")</f>
        <v>My Big Fat Greek Wedding </v>
      </c>
      <c r="AE3295">
        <f t="shared" si="80"/>
        <v>14343876</v>
      </c>
    </row>
    <row r="3296" customHeight="1" spans="1:31">
      <c r="A3296" s="2" t="s">
        <v>709</v>
      </c>
      <c r="B3296" s="2">
        <v>102</v>
      </c>
      <c r="C3296" s="2">
        <v>354704</v>
      </c>
      <c r="D3296" s="2" t="s">
        <v>2768</v>
      </c>
      <c r="E3296" s="2" t="s">
        <v>56</v>
      </c>
      <c r="F3296" t="s">
        <v>30</v>
      </c>
      <c r="N3296" s="2" t="s">
        <v>18</v>
      </c>
      <c r="O3296" s="2" t="s">
        <v>19</v>
      </c>
      <c r="P3296" s="2">
        <v>1300000</v>
      </c>
      <c r="Q3296" s="2">
        <v>5.9</v>
      </c>
      <c r="R3296" s="2" t="s">
        <v>5869</v>
      </c>
      <c r="S3296" s="2"/>
      <c r="AC3296" s="2"/>
      <c r="AD3296" t="str">
        <f>IFERROR(__xludf.DUMMYFUNCTION("""COMPUTED_VALUE"""),"Spring Breakers ")</f>
        <v>Spring Breakers </v>
      </c>
      <c r="AE3296">
        <f t="shared" si="80"/>
        <v>241437332</v>
      </c>
    </row>
    <row r="3297" customHeight="1" spans="1:31">
      <c r="A3297" s="2" t="s">
        <v>3574</v>
      </c>
      <c r="B3297" s="2">
        <v>85</v>
      </c>
      <c r="C3297" s="2">
        <v>265107</v>
      </c>
      <c r="D3297" s="2" t="s">
        <v>5870</v>
      </c>
      <c r="E3297" s="2" t="s">
        <v>40</v>
      </c>
      <c r="F3297" t="s">
        <v>17</v>
      </c>
      <c r="N3297" s="2" t="s">
        <v>18</v>
      </c>
      <c r="O3297" s="2" t="s">
        <v>159</v>
      </c>
      <c r="P3297" s="2">
        <v>1500000</v>
      </c>
      <c r="Q3297" s="2">
        <v>6.3</v>
      </c>
      <c r="R3297" s="2" t="s">
        <v>5871</v>
      </c>
      <c r="S3297" s="2"/>
      <c r="AC3297" s="2"/>
      <c r="AD3297" t="str">
        <f>IFERROR(__xludf.DUMMYFUNCTION("""COMPUTED_VALUE"""),"Halloween: The Curse of Michael Myers ")</f>
        <v>Halloween: The Curse of Michael Myers </v>
      </c>
      <c r="AE3297">
        <f t="shared" si="80"/>
        <v>14123679</v>
      </c>
    </row>
    <row r="3298" customHeight="1" spans="1:31">
      <c r="A3298" s="2" t="s">
        <v>1982</v>
      </c>
      <c r="B3298" s="2">
        <v>86</v>
      </c>
      <c r="C3298" s="2">
        <v>185577</v>
      </c>
      <c r="D3298" s="2" t="s">
        <v>40</v>
      </c>
      <c r="E3298" s="2" t="s">
        <v>40</v>
      </c>
      <c r="F3298" t="s">
        <v>17</v>
      </c>
      <c r="N3298" s="2" t="s">
        <v>18</v>
      </c>
      <c r="O3298" s="2" t="s">
        <v>31</v>
      </c>
      <c r="P3298" s="2">
        <v>4000000</v>
      </c>
      <c r="Q3298" s="2">
        <v>6.3</v>
      </c>
      <c r="R3298" s="2" t="s">
        <v>5872</v>
      </c>
      <c r="S3298" s="2"/>
      <c r="AC3298" s="2"/>
      <c r="AD3298" t="str">
        <f>IFERROR(__xludf.DUMMYFUNCTION("""COMPUTED_VALUE"""),"Y Tu Mamá También ")</f>
        <v>Y Tu Mamá También </v>
      </c>
      <c r="AE3298">
        <f t="shared" si="80"/>
        <v>15126855</v>
      </c>
    </row>
    <row r="3299" customHeight="1" spans="1:31">
      <c r="A3299" s="2" t="s">
        <v>3576</v>
      </c>
      <c r="B3299" s="2">
        <v>120</v>
      </c>
      <c r="C3299" s="2">
        <v>100412</v>
      </c>
      <c r="D3299" s="2" t="s">
        <v>30</v>
      </c>
      <c r="E3299" s="2" t="s">
        <v>30</v>
      </c>
      <c r="F3299" t="s">
        <v>24</v>
      </c>
      <c r="N3299" s="2" t="s">
        <v>4574</v>
      </c>
      <c r="O3299" s="2" t="s">
        <v>4531</v>
      </c>
      <c r="P3299" s="2">
        <v>4000000</v>
      </c>
      <c r="Q3299" s="2">
        <v>7.7</v>
      </c>
      <c r="R3299" s="2" t="s">
        <v>5873</v>
      </c>
      <c r="S3299" s="2"/>
      <c r="AC3299" s="2"/>
      <c r="AD3299" t="str">
        <f>IFERROR(__xludf.DUMMYFUNCTION("""COMPUTED_VALUE"""),"Shaun of the Dead ")</f>
        <v>Shaun of the Dead </v>
      </c>
      <c r="AE3299">
        <f t="shared" si="80"/>
        <v>13622227</v>
      </c>
    </row>
    <row r="3300" customHeight="1" spans="1:31">
      <c r="A3300" s="2" t="s">
        <v>3578</v>
      </c>
      <c r="B3300" s="2">
        <v>106</v>
      </c>
      <c r="C3300" s="2">
        <v>58214</v>
      </c>
      <c r="D3300" s="2" t="s">
        <v>805</v>
      </c>
      <c r="E3300" s="2" t="s">
        <v>56</v>
      </c>
      <c r="F3300" t="s">
        <v>72</v>
      </c>
      <c r="N3300" s="2" t="s">
        <v>18</v>
      </c>
      <c r="O3300" s="2" t="s">
        <v>19</v>
      </c>
      <c r="P3300" s="2">
        <v>9500000</v>
      </c>
      <c r="Q3300" s="2">
        <v>7</v>
      </c>
      <c r="R3300" s="2" t="s">
        <v>5874</v>
      </c>
      <c r="S3300" s="2"/>
      <c r="AC3300" s="2"/>
      <c r="AD3300" t="str">
        <f>IFERROR(__xludf.DUMMYFUNCTION("""COMPUTED_VALUE"""),"The Haunting of Molly Hartley ")</f>
        <v>The Haunting of Molly Hartley </v>
      </c>
      <c r="AE3300">
        <f t="shared" si="80"/>
        <v>13464289</v>
      </c>
    </row>
    <row r="3301" customHeight="1" spans="1:31">
      <c r="A3301" s="2" t="s">
        <v>889</v>
      </c>
      <c r="B3301" s="2">
        <v>103</v>
      </c>
      <c r="C3301" s="2">
        <v>75078</v>
      </c>
      <c r="D3301" s="2" t="s">
        <v>40</v>
      </c>
      <c r="E3301" s="2" t="s">
        <v>40</v>
      </c>
      <c r="F3301" t="s">
        <v>13</v>
      </c>
      <c r="N3301" s="2" t="s">
        <v>18</v>
      </c>
      <c r="O3301" s="2" t="s">
        <v>19</v>
      </c>
      <c r="P3301" s="2">
        <v>14000000</v>
      </c>
      <c r="Q3301" s="2">
        <v>6.3</v>
      </c>
      <c r="R3301" s="2" t="s">
        <v>5875</v>
      </c>
      <c r="S3301" s="2"/>
      <c r="AC3301" s="2"/>
      <c r="AD3301" t="str">
        <f>IFERROR(__xludf.DUMMYFUNCTION("""COMPUTED_VALUE"""),"Lone Star ")</f>
        <v>Lone Star </v>
      </c>
      <c r="AE3301">
        <f t="shared" si="80"/>
        <v>13350095</v>
      </c>
    </row>
    <row r="3302" customHeight="1" spans="1:31">
      <c r="A3302" s="2" t="s">
        <v>2752</v>
      </c>
      <c r="B3302" s="2">
        <v>93</v>
      </c>
      <c r="C3302" s="2">
        <v>64359</v>
      </c>
      <c r="D3302" s="2" t="s">
        <v>607</v>
      </c>
      <c r="E3302" s="2" t="s">
        <v>40</v>
      </c>
      <c r="F3302" t="s">
        <v>30</v>
      </c>
      <c r="N3302" s="2" t="s">
        <v>18</v>
      </c>
      <c r="O3302" s="2" t="s">
        <v>31</v>
      </c>
      <c r="P3302" s="2">
        <v>2500000</v>
      </c>
      <c r="Q3302" s="2">
        <v>5.9</v>
      </c>
      <c r="R3302" s="2" t="s">
        <v>5876</v>
      </c>
      <c r="S3302" s="2"/>
      <c r="AC3302" s="2"/>
      <c r="AD3302" t="str">
        <f>IFERROR(__xludf.DUMMYFUNCTION("""COMPUTED_VALUE"""),"Halloween 4: The Return of Michael Myers ")</f>
        <v>Halloween 4: The Return of Michael Myers </v>
      </c>
      <c r="AE3302">
        <f t="shared" si="80"/>
        <v>13269828</v>
      </c>
    </row>
    <row r="3303" customHeight="1" spans="1:31">
      <c r="A3303" s="2" t="s">
        <v>2147</v>
      </c>
      <c r="B3303" s="2">
        <v>112</v>
      </c>
      <c r="C3303" s="2">
        <v>317125</v>
      </c>
      <c r="D3303" s="2" t="s">
        <v>103</v>
      </c>
      <c r="E3303" s="2" t="s">
        <v>30</v>
      </c>
      <c r="F3303" t="s">
        <v>13</v>
      </c>
      <c r="N3303" s="2" t="s">
        <v>18</v>
      </c>
      <c r="O3303" s="2" t="s">
        <v>159</v>
      </c>
      <c r="P3303" s="2">
        <v>16000000</v>
      </c>
      <c r="Q3303" s="2">
        <v>6.2</v>
      </c>
      <c r="R3303" s="2" t="s">
        <v>5877</v>
      </c>
      <c r="S3303" s="2"/>
      <c r="AC3303" s="2"/>
      <c r="AD3303" t="str">
        <f>IFERROR(__xludf.DUMMYFUNCTION("""COMPUTED_VALUE"""),"April Fool's Day ")</f>
        <v>April Fool's Day </v>
      </c>
      <c r="AE3303">
        <f t="shared" si="80"/>
        <v>17767912</v>
      </c>
    </row>
    <row r="3304" customHeight="1" spans="1:31">
      <c r="A3304" s="2" t="s">
        <v>3580</v>
      </c>
      <c r="B3304" s="2">
        <v>113</v>
      </c>
      <c r="C3304" s="2">
        <v>146402</v>
      </c>
      <c r="D3304" s="2" t="s">
        <v>975</v>
      </c>
      <c r="E3304" s="2" t="s">
        <v>40</v>
      </c>
      <c r="F3304" t="s">
        <v>30</v>
      </c>
      <c r="N3304" s="2" t="s">
        <v>1081</v>
      </c>
      <c r="O3304" s="2" t="s">
        <v>1431</v>
      </c>
      <c r="P3304" s="2">
        <v>4000000</v>
      </c>
      <c r="Q3304" s="2">
        <v>7.7</v>
      </c>
      <c r="R3304" s="2" t="s">
        <v>5878</v>
      </c>
      <c r="S3304" s="2"/>
      <c r="AC3304" s="2"/>
      <c r="AD3304" t="str">
        <f>IFERROR(__xludf.DUMMYFUNCTION("""COMPUTED_VALUE"""),"Diner ")</f>
        <v>Diner </v>
      </c>
      <c r="AE3304">
        <f t="shared" si="80"/>
        <v>12947674</v>
      </c>
    </row>
    <row r="3305" customHeight="1" spans="1:31">
      <c r="A3305" s="2" t="s">
        <v>3582</v>
      </c>
      <c r="B3305" s="2">
        <v>98</v>
      </c>
      <c r="C3305" s="2">
        <v>18469</v>
      </c>
      <c r="D3305" s="2" t="s">
        <v>299</v>
      </c>
      <c r="E3305" s="2" t="s">
        <v>30</v>
      </c>
      <c r="F3305" t="s">
        <v>72</v>
      </c>
      <c r="N3305" s="2" t="s">
        <v>18</v>
      </c>
      <c r="O3305" s="2" t="s">
        <v>19</v>
      </c>
      <c r="P3305" s="2">
        <v>650000</v>
      </c>
      <c r="Q3305" s="2">
        <v>6.5</v>
      </c>
      <c r="R3305" s="2" t="s">
        <v>5879</v>
      </c>
      <c r="S3305" s="2"/>
      <c r="AC3305" s="2"/>
      <c r="AD3305" t="str">
        <f>IFERROR(__xludf.DUMMYFUNCTION("""COMPUTED_VALUE"""),"Lone Wolf McQuade ")</f>
        <v>Lone Wolf McQuade </v>
      </c>
      <c r="AE3305">
        <f t="shared" si="80"/>
        <v>14099890</v>
      </c>
    </row>
    <row r="3306" customHeight="1" spans="1:31">
      <c r="A3306" s="2" t="s">
        <v>1558</v>
      </c>
      <c r="B3306" s="2">
        <v>92</v>
      </c>
      <c r="C3306" s="2">
        <v>12836</v>
      </c>
      <c r="D3306" s="2" t="s">
        <v>562</v>
      </c>
      <c r="E3306" s="2" t="s">
        <v>59</v>
      </c>
      <c r="F3306" t="s">
        <v>30</v>
      </c>
      <c r="N3306" s="2" t="s">
        <v>18</v>
      </c>
      <c r="O3306" s="2" t="s">
        <v>19</v>
      </c>
      <c r="P3306" s="2">
        <v>4000000</v>
      </c>
      <c r="Q3306" s="2">
        <v>5.8</v>
      </c>
      <c r="R3306" s="2" t="s">
        <v>5880</v>
      </c>
      <c r="S3306" s="2"/>
      <c r="AC3306" s="2"/>
      <c r="AD3306" t="str">
        <f>IFERROR(__xludf.DUMMYFUNCTION("""COMPUTED_VALUE"""),"Apollo 18 ")</f>
        <v>Apollo 18 </v>
      </c>
      <c r="AE3306">
        <f t="shared" si="80"/>
        <v>12199893</v>
      </c>
    </row>
    <row r="3307" customHeight="1" spans="1:31">
      <c r="A3307" s="2" t="s">
        <v>3584</v>
      </c>
      <c r="B3307" s="2">
        <v>106</v>
      </c>
      <c r="C3307" s="2">
        <v>20262</v>
      </c>
      <c r="D3307" s="2" t="s">
        <v>30</v>
      </c>
      <c r="E3307" s="2" t="s">
        <v>30</v>
      </c>
      <c r="F3307" t="s">
        <v>30</v>
      </c>
      <c r="N3307" s="2" t="s">
        <v>5590</v>
      </c>
      <c r="O3307" s="2" t="s">
        <v>5591</v>
      </c>
      <c r="P3307" s="2">
        <v>4000000</v>
      </c>
      <c r="Q3307" s="2">
        <v>6.1</v>
      </c>
      <c r="R3307" s="2" t="s">
        <v>5881</v>
      </c>
      <c r="S3307" s="2"/>
      <c r="AC3307" s="2"/>
      <c r="AD3307" t="str">
        <f>IFERROR(__xludf.DUMMYFUNCTION("""COMPUTED_VALUE"""),"Sunshine Cleaning ")</f>
        <v>Sunshine Cleaning </v>
      </c>
      <c r="AE3307">
        <f t="shared" si="80"/>
        <v>17683584</v>
      </c>
    </row>
    <row r="3308" customHeight="1" spans="1:31">
      <c r="A3308" s="2" t="s">
        <v>3586</v>
      </c>
      <c r="B3308" s="2">
        <v>93</v>
      </c>
      <c r="C3308" s="2">
        <v>4063</v>
      </c>
      <c r="D3308" s="2" t="s">
        <v>1300</v>
      </c>
      <c r="E3308" s="2" t="s">
        <v>30</v>
      </c>
      <c r="F3308" t="s">
        <v>30</v>
      </c>
      <c r="N3308" s="2" t="s">
        <v>18</v>
      </c>
      <c r="O3308" s="2" t="s">
        <v>121</v>
      </c>
      <c r="P3308" s="2">
        <v>4000000</v>
      </c>
      <c r="Q3308" s="2">
        <v>5.2</v>
      </c>
      <c r="R3308" s="2" t="s">
        <v>5882</v>
      </c>
      <c r="S3308" s="2"/>
      <c r="AC3308" s="2"/>
      <c r="AD3308" t="str">
        <f>IFERROR(__xludf.DUMMYFUNCTION("""COMPUTED_VALUE"""),"No Escape ")</f>
        <v>No Escape </v>
      </c>
      <c r="AE3308">
        <f t="shared" si="80"/>
        <v>12055017</v>
      </c>
    </row>
    <row r="3309" customHeight="1" spans="1:31">
      <c r="A3309" s="2" t="s">
        <v>3588</v>
      </c>
      <c r="B3309" s="2">
        <v>226</v>
      </c>
      <c r="C3309" s="2">
        <v>198655278</v>
      </c>
      <c r="D3309" s="2" t="s">
        <v>721</v>
      </c>
      <c r="E3309" s="2" t="s">
        <v>30</v>
      </c>
      <c r="F3309" t="s">
        <v>16</v>
      </c>
      <c r="N3309" s="2" t="s">
        <v>18</v>
      </c>
      <c r="O3309" s="2" t="s">
        <v>19</v>
      </c>
      <c r="P3309" s="2">
        <v>3977000</v>
      </c>
      <c r="Q3309" s="2">
        <v>8.2</v>
      </c>
      <c r="R3309" s="2" t="s">
        <v>5883</v>
      </c>
      <c r="S3309" s="2"/>
      <c r="AC3309" s="2"/>
      <c r="AD3309" t="str">
        <f>IFERROR(__xludf.DUMMYFUNCTION("""COMPUTED_VALUE"""),"Fifty Shades of Black ")</f>
        <v>Fifty Shades of Black </v>
      </c>
      <c r="AE3309">
        <f t="shared" si="80"/>
        <v>27285850</v>
      </c>
    </row>
    <row r="3310" customHeight="1" spans="1:31">
      <c r="A3310" s="2" t="s">
        <v>3590</v>
      </c>
      <c r="B3310" s="2">
        <v>104</v>
      </c>
      <c r="C3310" s="2">
        <v>143653</v>
      </c>
      <c r="D3310" s="2" t="s">
        <v>562</v>
      </c>
      <c r="E3310" s="2" t="s">
        <v>59</v>
      </c>
      <c r="F3310" t="s">
        <v>55</v>
      </c>
      <c r="N3310" s="2" t="s">
        <v>18</v>
      </c>
      <c r="O3310" s="2" t="s">
        <v>31</v>
      </c>
      <c r="P3310" s="2">
        <v>4000000</v>
      </c>
      <c r="Q3310" s="2">
        <v>6</v>
      </c>
      <c r="R3310" s="2" t="s">
        <v>5884</v>
      </c>
      <c r="S3310" s="2"/>
      <c r="AC3310" s="2"/>
      <c r="AD3310" t="str">
        <f>IFERROR(__xludf.DUMMYFUNCTION("""COMPUTED_VALUE"""),"Not Easily Broken ")</f>
        <v>Not Easily Broken </v>
      </c>
      <c r="AE3310">
        <f t="shared" si="80"/>
        <v>11675086</v>
      </c>
    </row>
    <row r="3311" customHeight="1" spans="1:31">
      <c r="A3311" s="2" t="s">
        <v>3592</v>
      </c>
      <c r="B3311" s="2">
        <v>152</v>
      </c>
      <c r="C3311" s="2">
        <v>14873</v>
      </c>
      <c r="D3311" s="2" t="s">
        <v>5885</v>
      </c>
      <c r="E3311" s="2" t="s">
        <v>13</v>
      </c>
      <c r="F3311" t="s">
        <v>56</v>
      </c>
      <c r="N3311" s="2" t="s">
        <v>18</v>
      </c>
      <c r="O3311" s="2" t="s">
        <v>19</v>
      </c>
      <c r="P3311" s="2">
        <v>3800000</v>
      </c>
      <c r="Q3311" s="2">
        <v>6.8</v>
      </c>
      <c r="R3311" s="2" t="s">
        <v>5886</v>
      </c>
      <c r="S3311" s="2"/>
      <c r="AC3311" s="2"/>
      <c r="AD3311" t="str">
        <f>IFERROR(__xludf.DUMMYFUNCTION("""COMPUTED_VALUE"""),"The Perfect Match ")</f>
        <v>The Perfect Match </v>
      </c>
      <c r="AE3311">
        <f t="shared" si="80"/>
        <v>10572643</v>
      </c>
    </row>
    <row r="3312" customHeight="1" spans="1:31">
      <c r="A3312" s="2" t="s">
        <v>3594</v>
      </c>
      <c r="B3312" s="2">
        <v>107</v>
      </c>
      <c r="C3312" s="2">
        <v>8000000</v>
      </c>
      <c r="D3312" s="2" t="s">
        <v>5887</v>
      </c>
      <c r="E3312" s="2" t="s">
        <v>59</v>
      </c>
      <c r="F3312" t="s">
        <v>24</v>
      </c>
      <c r="N3312" s="2" t="s">
        <v>18</v>
      </c>
      <c r="O3312" s="2" t="s">
        <v>19</v>
      </c>
      <c r="P3312" s="2">
        <v>3768785</v>
      </c>
      <c r="Q3312" s="2">
        <v>7</v>
      </c>
      <c r="R3312" s="2" t="s">
        <v>5888</v>
      </c>
      <c r="S3312" s="2"/>
      <c r="AC3312" s="2"/>
      <c r="AD3312" t="str">
        <f>IFERROR(__xludf.DUMMYFUNCTION("""COMPUTED_VALUE"""),"Digimon: The Movie ")</f>
        <v>Digimon: The Movie </v>
      </c>
      <c r="AE3312">
        <f t="shared" si="80"/>
        <v>9658274</v>
      </c>
    </row>
    <row r="3313" customHeight="1" spans="1:31">
      <c r="A3313" s="2" t="s">
        <v>3596</v>
      </c>
      <c r="B3313" s="2">
        <v>95</v>
      </c>
      <c r="C3313" s="2">
        <v>37606</v>
      </c>
      <c r="D3313" s="2" t="s">
        <v>3855</v>
      </c>
      <c r="E3313" s="2" t="s">
        <v>40</v>
      </c>
      <c r="F3313" t="s">
        <v>16</v>
      </c>
      <c r="N3313" s="2" t="s">
        <v>18</v>
      </c>
      <c r="O3313" s="2" t="s">
        <v>121</v>
      </c>
      <c r="P3313" s="2">
        <v>3500000</v>
      </c>
      <c r="Q3313" s="2">
        <v>6.8</v>
      </c>
      <c r="R3313" s="2" t="s">
        <v>5889</v>
      </c>
      <c r="S3313" s="2"/>
      <c r="AC3313" s="2"/>
      <c r="AD3313" t="str">
        <f>IFERROR(__xludf.DUMMYFUNCTION("""COMPUTED_VALUE"""),"Saved! ")</f>
        <v>Saved! </v>
      </c>
      <c r="AE3313">
        <f t="shared" si="80"/>
        <v>9628669</v>
      </c>
    </row>
    <row r="3314" customHeight="1" spans="1:31">
      <c r="A3314" s="2" t="s">
        <v>3598</v>
      </c>
      <c r="B3314" s="2">
        <v>102</v>
      </c>
      <c r="C3314" s="2">
        <v>2956000</v>
      </c>
      <c r="D3314" s="2" t="s">
        <v>5890</v>
      </c>
      <c r="E3314" s="2" t="s">
        <v>13</v>
      </c>
      <c r="F3314" t="s">
        <v>17</v>
      </c>
      <c r="N3314" s="2" t="s">
        <v>18</v>
      </c>
      <c r="O3314" s="2" t="s">
        <v>19</v>
      </c>
      <c r="P3314" s="2">
        <v>3700000</v>
      </c>
      <c r="Q3314" s="2">
        <v>7.1</v>
      </c>
      <c r="R3314" s="2" t="s">
        <v>5891</v>
      </c>
      <c r="S3314" s="2"/>
      <c r="AC3314" s="2"/>
      <c r="AD3314" t="str">
        <f>IFERROR(__xludf.DUMMYFUNCTION("""COMPUTED_VALUE"""),"The Barbarian Invasions ")</f>
        <v>The Barbarian Invasions </v>
      </c>
      <c r="AE3314">
        <f t="shared" si="80"/>
        <v>8786623</v>
      </c>
    </row>
    <row r="3315" customHeight="1" spans="1:31">
      <c r="A3315" s="2" t="s">
        <v>3601</v>
      </c>
      <c r="B3315" s="2">
        <v>99</v>
      </c>
      <c r="C3315" s="2">
        <v>19959</v>
      </c>
      <c r="D3315" s="2" t="s">
        <v>30</v>
      </c>
      <c r="E3315" s="2" t="s">
        <v>30</v>
      </c>
      <c r="F3315" t="s">
        <v>23</v>
      </c>
      <c r="N3315" s="2" t="s">
        <v>18</v>
      </c>
      <c r="O3315" s="2" t="s">
        <v>5378</v>
      </c>
      <c r="P3315" s="2">
        <v>3800000</v>
      </c>
      <c r="Q3315" s="2">
        <v>6.9</v>
      </c>
      <c r="R3315" s="2" t="s">
        <v>5892</v>
      </c>
      <c r="S3315" s="2"/>
      <c r="AC3315" s="2"/>
      <c r="AD3315" t="str">
        <f>IFERROR(__xludf.DUMMYFUNCTION("""COMPUTED_VALUE"""),"The Forsaken ")</f>
        <v>The Forsaken </v>
      </c>
      <c r="AE3315">
        <f t="shared" si="80"/>
        <v>3432230</v>
      </c>
    </row>
    <row r="3316" customHeight="1" spans="1:31">
      <c r="A3316" s="2" t="s">
        <v>2397</v>
      </c>
      <c r="B3316" s="2">
        <v>109</v>
      </c>
      <c r="C3316" s="2">
        <v>2706659</v>
      </c>
      <c r="D3316" s="2" t="s">
        <v>975</v>
      </c>
      <c r="E3316" s="2" t="s">
        <v>40</v>
      </c>
      <c r="F3316" t="s">
        <v>59</v>
      </c>
      <c r="N3316" s="2" t="s">
        <v>18</v>
      </c>
      <c r="O3316" s="2" t="s">
        <v>31</v>
      </c>
      <c r="P3316" s="2">
        <v>2000000</v>
      </c>
      <c r="Q3316" s="2">
        <v>6.9</v>
      </c>
      <c r="R3316" s="2" t="s">
        <v>5893</v>
      </c>
      <c r="S3316" s="2"/>
      <c r="AC3316" s="2"/>
      <c r="AD3316" t="str">
        <f>IFERROR(__xludf.DUMMYFUNCTION("""COMPUTED_VALUE"""),"UHF ")</f>
        <v>UHF </v>
      </c>
      <c r="AE3316">
        <f t="shared" si="80"/>
        <v>6755181</v>
      </c>
    </row>
    <row r="3317" customHeight="1" spans="1:31">
      <c r="A3317" s="2" t="s">
        <v>2655</v>
      </c>
      <c r="B3317" s="2">
        <v>91</v>
      </c>
      <c r="C3317" s="2">
        <v>45857453</v>
      </c>
      <c r="D3317" s="2" t="s">
        <v>3722</v>
      </c>
      <c r="E3317" s="2" t="s">
        <v>40</v>
      </c>
      <c r="F3317" t="s">
        <v>15</v>
      </c>
      <c r="N3317" s="2" t="s">
        <v>18</v>
      </c>
      <c r="O3317" s="2" t="s">
        <v>31</v>
      </c>
      <c r="P3317" s="2">
        <v>3500000</v>
      </c>
      <c r="Q3317" s="2">
        <v>7.2</v>
      </c>
      <c r="R3317" s="2" t="s">
        <v>5894</v>
      </c>
      <c r="S3317" s="2"/>
      <c r="AC3317" s="2"/>
      <c r="AD3317" t="str">
        <f>IFERROR(__xludf.DUMMYFUNCTION("""COMPUTED_VALUE"""),"Slums of Beverly Hills ")</f>
        <v>Slums of Beverly Hills </v>
      </c>
      <c r="AE3317">
        <f t="shared" si="80"/>
        <v>6157007</v>
      </c>
    </row>
    <row r="3318" customHeight="1" spans="1:31">
      <c r="A3318" s="2" t="s">
        <v>3604</v>
      </c>
      <c r="B3318" s="2">
        <v>88</v>
      </c>
      <c r="C3318" s="2">
        <v>83400000</v>
      </c>
      <c r="D3318" s="2" t="s">
        <v>40</v>
      </c>
      <c r="E3318" s="2" t="s">
        <v>40</v>
      </c>
      <c r="F3318" t="s">
        <v>30</v>
      </c>
      <c r="N3318" s="2" t="s">
        <v>18</v>
      </c>
      <c r="O3318" s="2" t="s">
        <v>19</v>
      </c>
      <c r="P3318" s="2">
        <v>3500000</v>
      </c>
      <c r="Q3318" s="2">
        <v>7.8</v>
      </c>
      <c r="R3318" s="2" t="s">
        <v>5895</v>
      </c>
      <c r="S3318" s="2"/>
      <c r="AC3318" s="2"/>
      <c r="AD3318" t="str">
        <f>IFERROR(__xludf.DUMMYFUNCTION("""COMPUTED_VALUE"""),"Made ")</f>
        <v>Made </v>
      </c>
      <c r="AE3318">
        <f t="shared" si="80"/>
        <v>5480227</v>
      </c>
    </row>
    <row r="3319" customHeight="1" spans="1:31">
      <c r="A3319" s="2" t="s">
        <v>878</v>
      </c>
      <c r="B3319" s="2">
        <v>97</v>
      </c>
      <c r="C3319" s="2">
        <v>27900000</v>
      </c>
      <c r="D3319" s="2" t="s">
        <v>975</v>
      </c>
      <c r="E3319" s="2" t="s">
        <v>40</v>
      </c>
      <c r="F3319" t="s">
        <v>65</v>
      </c>
      <c r="N3319" s="2" t="s">
        <v>18</v>
      </c>
      <c r="O3319" s="2" t="s">
        <v>19</v>
      </c>
      <c r="P3319" s="2">
        <v>3500000</v>
      </c>
      <c r="Q3319" s="2">
        <v>7.3</v>
      </c>
      <c r="R3319" s="2" t="s">
        <v>5896</v>
      </c>
      <c r="S3319" s="2"/>
      <c r="AC3319" s="2"/>
      <c r="AD3319" t="str">
        <f>IFERROR(__xludf.DUMMYFUNCTION("""COMPUTED_VALUE"""),"Moon ")</f>
        <v>Moon </v>
      </c>
      <c r="AE3319">
        <f t="shared" ref="AE3319:AE3382" si="81">C3203-B3203</f>
        <v>5308612</v>
      </c>
    </row>
    <row r="3320" customHeight="1" spans="1:31">
      <c r="A3320" s="2" t="s">
        <v>804</v>
      </c>
      <c r="B3320" s="2">
        <v>97</v>
      </c>
      <c r="C3320" s="2">
        <v>27900000</v>
      </c>
      <c r="D3320" s="2" t="s">
        <v>805</v>
      </c>
      <c r="E3320" s="2" t="s">
        <v>56</v>
      </c>
      <c r="F3320" t="s">
        <v>30</v>
      </c>
      <c r="N3320" s="2" t="s">
        <v>18</v>
      </c>
      <c r="O3320" s="2" t="s">
        <v>19</v>
      </c>
      <c r="P3320" s="2">
        <v>3500000</v>
      </c>
      <c r="Q3320" s="2">
        <v>7.5</v>
      </c>
      <c r="R3320" s="2" t="s">
        <v>5897</v>
      </c>
      <c r="S3320" s="2"/>
      <c r="AC3320" s="2"/>
      <c r="AD3320" t="str">
        <f>IFERROR(__xludf.DUMMYFUNCTION("""COMPUTED_VALUE"""),"Sea Rex 3D: Journey to a Prehistoric World ")</f>
        <v>Sea Rex 3D: Journey to a Prehistoric World </v>
      </c>
      <c r="AE3320">
        <f t="shared" si="81"/>
        <v>5009580</v>
      </c>
    </row>
    <row r="3321" customHeight="1" spans="1:31">
      <c r="A3321" s="2" t="s">
        <v>3606</v>
      </c>
      <c r="B3321" s="2">
        <v>85</v>
      </c>
      <c r="C3321" s="2">
        <v>14000000</v>
      </c>
      <c r="D3321" s="2" t="s">
        <v>3391</v>
      </c>
      <c r="E3321" s="2" t="s">
        <v>40</v>
      </c>
      <c r="F3321" t="s">
        <v>83</v>
      </c>
      <c r="N3321" s="2" t="s">
        <v>18</v>
      </c>
      <c r="O3321" s="2" t="s">
        <v>19</v>
      </c>
      <c r="P3321" s="2">
        <v>3500000</v>
      </c>
      <c r="Q3321" s="2">
        <v>6</v>
      </c>
      <c r="R3321" s="2" t="s">
        <v>5898</v>
      </c>
      <c r="S3321" s="2"/>
      <c r="AC3321" s="2"/>
      <c r="AD3321" t="str">
        <f>IFERROR(__xludf.DUMMYFUNCTION("""COMPUTED_VALUE"""),"The Sweet Hereafter ")</f>
        <v>The Sweet Hereafter </v>
      </c>
      <c r="AE3321">
        <f t="shared" si="81"/>
        <v>4073982</v>
      </c>
    </row>
    <row r="3322" customHeight="1" spans="1:31">
      <c r="A3322" s="2" t="s">
        <v>3608</v>
      </c>
      <c r="B3322" s="2">
        <v>92</v>
      </c>
      <c r="C3322" s="2">
        <v>25138292</v>
      </c>
      <c r="D3322" s="2" t="s">
        <v>2613</v>
      </c>
      <c r="E3322" s="2" t="s">
        <v>72</v>
      </c>
      <c r="F3322" t="s">
        <v>56</v>
      </c>
      <c r="N3322" s="2" t="s">
        <v>18</v>
      </c>
      <c r="O3322" s="2" t="s">
        <v>19</v>
      </c>
      <c r="P3322" s="2">
        <v>3500000</v>
      </c>
      <c r="Q3322" s="2">
        <v>6.8</v>
      </c>
      <c r="R3322" s="2" t="s">
        <v>5899</v>
      </c>
      <c r="S3322" s="2"/>
      <c r="AC3322" s="2"/>
      <c r="AD3322" t="str">
        <f>IFERROR(__xludf.DUMMYFUNCTION("""COMPUTED_VALUE"""),"Of Gods and Men ")</f>
        <v>Of Gods and Men </v>
      </c>
      <c r="AE3322">
        <f t="shared" si="81"/>
        <v>4306585</v>
      </c>
    </row>
    <row r="3323" customHeight="1" spans="1:31">
      <c r="A3323" s="2" t="s">
        <v>3610</v>
      </c>
      <c r="B3323" s="2">
        <v>93</v>
      </c>
      <c r="C3323" s="2">
        <v>10305534</v>
      </c>
      <c r="D3323" s="2" t="s">
        <v>40</v>
      </c>
      <c r="E3323" s="2" t="s">
        <v>40</v>
      </c>
      <c r="F3323" t="s">
        <v>30</v>
      </c>
      <c r="N3323" s="2" t="s">
        <v>18</v>
      </c>
      <c r="O3323" s="2" t="s">
        <v>19</v>
      </c>
      <c r="P3323" s="2">
        <v>3500000</v>
      </c>
      <c r="Q3323" s="2">
        <v>3.9</v>
      </c>
      <c r="R3323" s="2" t="s">
        <v>5900</v>
      </c>
      <c r="S3323" s="2"/>
      <c r="AC3323" s="2"/>
      <c r="AD3323" t="str">
        <f>IFERROR(__xludf.DUMMYFUNCTION("""COMPUTED_VALUE"""),"Bottle Shock ")</f>
        <v>Bottle Shock </v>
      </c>
      <c r="AE3323">
        <f t="shared" si="81"/>
        <v>3949907</v>
      </c>
    </row>
    <row r="3324" customHeight="1" spans="1:31">
      <c r="A3324" s="2" t="s">
        <v>3612</v>
      </c>
      <c r="B3324" s="2">
        <v>96</v>
      </c>
      <c r="C3324" s="2">
        <v>9449219</v>
      </c>
      <c r="D3324" s="2" t="s">
        <v>521</v>
      </c>
      <c r="E3324" s="2" t="s">
        <v>40</v>
      </c>
      <c r="F3324" t="s">
        <v>30</v>
      </c>
      <c r="N3324" s="2" t="s">
        <v>18</v>
      </c>
      <c r="O3324" s="2" t="s">
        <v>19</v>
      </c>
      <c r="P3324" s="2">
        <v>3500000</v>
      </c>
      <c r="Q3324" s="2">
        <v>6.1</v>
      </c>
      <c r="R3324" s="2" t="s">
        <v>5901</v>
      </c>
      <c r="S3324" s="2"/>
      <c r="AC3324" s="2"/>
      <c r="AD3324" t="str">
        <f>IFERROR(__xludf.DUMMYFUNCTION("""COMPUTED_VALUE"""),"Heavenly Creatures ")</f>
        <v>Heavenly Creatures </v>
      </c>
      <c r="AE3324">
        <f t="shared" si="81"/>
        <v>4040478</v>
      </c>
    </row>
    <row r="3325" customHeight="1" spans="1:31">
      <c r="A3325" s="2" t="s">
        <v>416</v>
      </c>
      <c r="B3325" s="2">
        <v>105</v>
      </c>
      <c r="C3325" s="2">
        <v>6390032</v>
      </c>
      <c r="D3325" s="2" t="s">
        <v>562</v>
      </c>
      <c r="E3325" s="2" t="s">
        <v>59</v>
      </c>
      <c r="F3325" t="s">
        <v>17</v>
      </c>
      <c r="N3325" s="2" t="s">
        <v>18</v>
      </c>
      <c r="O3325" s="2" t="s">
        <v>19</v>
      </c>
      <c r="P3325" s="2">
        <v>3500000</v>
      </c>
      <c r="Q3325" s="2">
        <v>7.5</v>
      </c>
      <c r="R3325" s="2" t="s">
        <v>5902</v>
      </c>
      <c r="S3325" s="2"/>
      <c r="AC3325" s="2"/>
      <c r="AD3325" t="str">
        <f>IFERROR(__xludf.DUMMYFUNCTION("""COMPUTED_VALUE"""),"90 Minutes in Heaven ")</f>
        <v>90 Minutes in Heaven </v>
      </c>
      <c r="AE3325">
        <f t="shared" si="81"/>
        <v>3049027</v>
      </c>
    </row>
    <row r="3326" customHeight="1" spans="1:31">
      <c r="A3326" s="2" t="s">
        <v>3614</v>
      </c>
      <c r="B3326" s="2">
        <v>129</v>
      </c>
      <c r="C3326" s="2">
        <v>20167424</v>
      </c>
      <c r="D3326" s="2" t="s">
        <v>712</v>
      </c>
      <c r="E3326" s="2" t="s">
        <v>30</v>
      </c>
      <c r="F3326" t="s">
        <v>30</v>
      </c>
      <c r="N3326" s="2" t="s">
        <v>1081</v>
      </c>
      <c r="O3326" s="2" t="s">
        <v>5903</v>
      </c>
      <c r="P3326" s="2">
        <v>2000000</v>
      </c>
      <c r="Q3326" s="2">
        <v>8.2</v>
      </c>
      <c r="R3326" s="2" t="s">
        <v>5904</v>
      </c>
      <c r="S3326" s="2"/>
      <c r="AC3326" s="2"/>
      <c r="AD3326" t="str">
        <f>IFERROR(__xludf.DUMMYFUNCTION("""COMPUTED_VALUE"""),"Everything Must Go ")</f>
        <v>Everything Must Go </v>
      </c>
      <c r="AE3326">
        <f t="shared" si="81"/>
        <v>4700240</v>
      </c>
    </row>
    <row r="3327" customHeight="1" spans="1:31">
      <c r="A3327" s="2" t="s">
        <v>50</v>
      </c>
      <c r="B3327" s="2">
        <v>37</v>
      </c>
      <c r="C3327" s="2">
        <v>5923044</v>
      </c>
      <c r="D3327" s="2" t="s">
        <v>3391</v>
      </c>
      <c r="E3327" s="2" t="s">
        <v>40</v>
      </c>
      <c r="F3327" t="s">
        <v>30</v>
      </c>
      <c r="N3327" s="2" t="s">
        <v>18</v>
      </c>
      <c r="O3327" s="2" t="s">
        <v>19</v>
      </c>
      <c r="P3327" s="2">
        <v>3600000</v>
      </c>
      <c r="Q3327" s="2">
        <v>7.8</v>
      </c>
      <c r="R3327" s="2" t="s">
        <v>5905</v>
      </c>
      <c r="S3327" s="2"/>
      <c r="AC3327" s="2"/>
      <c r="AD3327" t="str">
        <f>IFERROR(__xludf.DUMMYFUNCTION("""COMPUTED_VALUE"""),"Zero Effect ")</f>
        <v>Zero Effect </v>
      </c>
      <c r="AE3327">
        <f t="shared" si="81"/>
        <v>2711113</v>
      </c>
    </row>
    <row r="3328" customHeight="1" spans="1:31">
      <c r="A3328" s="2" t="s">
        <v>3616</v>
      </c>
      <c r="B3328" s="2">
        <v>81</v>
      </c>
      <c r="C3328" s="2">
        <v>3293258</v>
      </c>
      <c r="D3328" s="2" t="s">
        <v>5906</v>
      </c>
      <c r="E3328" s="2" t="s">
        <v>12</v>
      </c>
      <c r="F3328" t="s">
        <v>13</v>
      </c>
      <c r="N3328" s="2" t="s">
        <v>18</v>
      </c>
      <c r="O3328" s="2" t="s">
        <v>19</v>
      </c>
      <c r="P3328" s="2">
        <v>3000000</v>
      </c>
      <c r="Q3328" s="2">
        <v>5.2</v>
      </c>
      <c r="R3328" s="2" t="s">
        <v>5907</v>
      </c>
      <c r="S3328" s="2"/>
      <c r="AC3328" s="2"/>
      <c r="AD3328" t="str">
        <f>IFERROR(__xludf.DUMMYFUNCTION("""COMPUTED_VALUE"""),"The Machinist ")</f>
        <v>The Machinist </v>
      </c>
      <c r="AE3328">
        <f t="shared" si="81"/>
        <v>1980222</v>
      </c>
    </row>
    <row r="3329" customHeight="1" spans="1:31">
      <c r="A3329" s="2" t="s">
        <v>3618</v>
      </c>
      <c r="B3329" s="2">
        <v>106</v>
      </c>
      <c r="C3329" s="2">
        <v>886410</v>
      </c>
      <c r="D3329" s="2" t="s">
        <v>2715</v>
      </c>
      <c r="E3329" s="2" t="s">
        <v>30</v>
      </c>
      <c r="F3329" t="s">
        <v>39</v>
      </c>
      <c r="N3329" s="2" t="s">
        <v>1081</v>
      </c>
      <c r="O3329" s="2" t="s">
        <v>4531</v>
      </c>
      <c r="P3329" s="2">
        <v>3500000</v>
      </c>
      <c r="Q3329" s="2">
        <v>6.8</v>
      </c>
      <c r="R3329" s="2" t="s">
        <v>5908</v>
      </c>
      <c r="S3329" s="2"/>
      <c r="AC3329" s="2"/>
      <c r="AD3329" t="str">
        <f>IFERROR(__xludf.DUMMYFUNCTION("""COMPUTED_VALUE"""),"Light Sleeper ")</f>
        <v>Light Sleeper </v>
      </c>
      <c r="AE3329">
        <f t="shared" si="81"/>
        <v>1081950</v>
      </c>
    </row>
    <row r="3330" customHeight="1" spans="1:31">
      <c r="A3330" s="2" t="s">
        <v>3621</v>
      </c>
      <c r="B3330" s="2">
        <v>103</v>
      </c>
      <c r="C3330" s="2">
        <v>252652</v>
      </c>
      <c r="D3330" s="2" t="s">
        <v>5909</v>
      </c>
      <c r="E3330" s="2" t="s">
        <v>40</v>
      </c>
      <c r="F3330" t="s">
        <v>14</v>
      </c>
      <c r="N3330" s="2" t="s">
        <v>5703</v>
      </c>
      <c r="O3330" s="2" t="s">
        <v>5704</v>
      </c>
      <c r="P3330" s="2">
        <v>19900000</v>
      </c>
      <c r="Q3330" s="2">
        <v>7</v>
      </c>
      <c r="R3330" s="2" t="s">
        <v>5910</v>
      </c>
      <c r="S3330" s="2"/>
      <c r="AC3330" s="2"/>
      <c r="AD3330" t="str">
        <f>IFERROR(__xludf.DUMMYFUNCTION("""COMPUTED_VALUE"""),"Kill the Messenger ")</f>
        <v>Kill the Messenger </v>
      </c>
      <c r="AE3330">
        <f t="shared" si="81"/>
        <v>1099897</v>
      </c>
    </row>
    <row r="3331" customHeight="1" spans="1:31">
      <c r="A3331" s="2" t="s">
        <v>3623</v>
      </c>
      <c r="B3331" s="2">
        <v>101</v>
      </c>
      <c r="C3331" s="2">
        <v>220234</v>
      </c>
      <c r="D3331" s="2" t="s">
        <v>607</v>
      </c>
      <c r="E3331" s="2" t="s">
        <v>40</v>
      </c>
      <c r="F3331" t="s">
        <v>17</v>
      </c>
      <c r="N3331" s="2" t="s">
        <v>18</v>
      </c>
      <c r="O3331" s="2" t="s">
        <v>19</v>
      </c>
      <c r="P3331" s="2">
        <v>3500000</v>
      </c>
      <c r="Q3331" s="2">
        <v>6.5</v>
      </c>
      <c r="R3331" s="2" t="s">
        <v>5911</v>
      </c>
      <c r="S3331" s="2"/>
      <c r="AC3331" s="2"/>
      <c r="AD3331" t="str">
        <f>IFERROR(__xludf.DUMMYFUNCTION("""COMPUTED_VALUE"""),"Rabbit Hole ")</f>
        <v>Rabbit Hole </v>
      </c>
      <c r="AE3331">
        <f t="shared" si="81"/>
        <v>2445534</v>
      </c>
    </row>
    <row r="3332" customHeight="1" spans="1:31">
      <c r="A3332" s="2" t="s">
        <v>3625</v>
      </c>
      <c r="B3332" s="2">
        <v>98</v>
      </c>
      <c r="C3332" s="2">
        <v>101228</v>
      </c>
      <c r="D3332" s="2" t="s">
        <v>975</v>
      </c>
      <c r="E3332" s="2" t="s">
        <v>40</v>
      </c>
      <c r="F3332" t="s">
        <v>39</v>
      </c>
      <c r="N3332" s="2" t="s">
        <v>18</v>
      </c>
      <c r="O3332" s="2" t="s">
        <v>19</v>
      </c>
      <c r="P3332" s="2">
        <v>3500000</v>
      </c>
      <c r="Q3332" s="2">
        <v>6.4</v>
      </c>
      <c r="R3332" s="2" t="s">
        <v>5912</v>
      </c>
      <c r="S3332" s="2"/>
      <c r="AC3332" s="2"/>
      <c r="AD3332" t="str">
        <f>IFERROR(__xludf.DUMMYFUNCTION("""COMPUTED_VALUE"""),"Party Monster ")</f>
        <v>Party Monster </v>
      </c>
      <c r="AE3332">
        <f t="shared" si="81"/>
        <v>2221718</v>
      </c>
    </row>
    <row r="3333" customHeight="1" spans="1:31">
      <c r="A3333" s="2" t="s">
        <v>1283</v>
      </c>
      <c r="B3333" s="2">
        <v>91</v>
      </c>
      <c r="C3333" s="2">
        <v>96793</v>
      </c>
      <c r="D3333" s="2" t="s">
        <v>524</v>
      </c>
      <c r="E3333" s="2" t="s">
        <v>12</v>
      </c>
      <c r="F3333" t="s">
        <v>15</v>
      </c>
      <c r="N3333" s="2" t="s">
        <v>18</v>
      </c>
      <c r="O3333" s="2" t="s">
        <v>19</v>
      </c>
      <c r="P3333" s="2">
        <v>3500000</v>
      </c>
      <c r="Q3333" s="2">
        <v>5.3</v>
      </c>
      <c r="R3333" s="2" t="s">
        <v>5913</v>
      </c>
      <c r="S3333" s="2"/>
      <c r="AC3333" s="2"/>
      <c r="AD3333" t="str">
        <f>IFERROR(__xludf.DUMMYFUNCTION("""COMPUTED_VALUE"""),"Green Room ")</f>
        <v>Green Room </v>
      </c>
      <c r="AE3333">
        <f t="shared" si="81"/>
        <v>296567</v>
      </c>
    </row>
    <row r="3334" customHeight="1" spans="1:31">
      <c r="A3334" s="2" t="s">
        <v>3627</v>
      </c>
      <c r="B3334" s="2">
        <v>105</v>
      </c>
      <c r="C3334" s="2">
        <v>123777</v>
      </c>
      <c r="D3334" s="2" t="s">
        <v>5914</v>
      </c>
      <c r="E3334" s="2" t="s">
        <v>12</v>
      </c>
      <c r="F3334" t="s">
        <v>72</v>
      </c>
      <c r="N3334" s="2" t="s">
        <v>18</v>
      </c>
      <c r="O3334" s="2" t="s">
        <v>121</v>
      </c>
      <c r="P3334" s="2">
        <v>3500000</v>
      </c>
      <c r="Q3334" s="2">
        <v>4.7</v>
      </c>
      <c r="R3334" s="2" t="s">
        <v>5915</v>
      </c>
      <c r="S3334" s="2"/>
      <c r="AC3334" s="2"/>
      <c r="AD3334" t="str">
        <f>IFERROR(__xludf.DUMMYFUNCTION("""COMPUTED_VALUE"""),"Atlas Shrugged: Who Is John Galt? ")</f>
        <v>Atlas Shrugged: Who Is John Galt? </v>
      </c>
      <c r="AE3334">
        <f t="shared" si="81"/>
        <v>3218934</v>
      </c>
    </row>
    <row r="3335" customHeight="1" spans="1:31">
      <c r="A3335" s="2" t="s">
        <v>3629</v>
      </c>
      <c r="B3335" s="2">
        <v>100</v>
      </c>
      <c r="C3335" s="2">
        <v>29233</v>
      </c>
      <c r="D3335" s="2" t="s">
        <v>65</v>
      </c>
      <c r="E3335" s="2" t="s">
        <v>65</v>
      </c>
      <c r="F3335" t="s">
        <v>59</v>
      </c>
      <c r="N3335" s="2" t="s">
        <v>18</v>
      </c>
      <c r="O3335" s="2" t="s">
        <v>19</v>
      </c>
      <c r="P3335" s="2">
        <v>3500000</v>
      </c>
      <c r="Q3335" s="2">
        <v>7</v>
      </c>
      <c r="R3335" s="2" t="s">
        <v>5916</v>
      </c>
      <c r="S3335" s="2"/>
      <c r="AC3335" s="2"/>
      <c r="AD3335" t="str">
        <f>IFERROR(__xludf.DUMMYFUNCTION("""COMPUTED_VALUE"""),"Bottle Rocket ")</f>
        <v>Bottle Rocket </v>
      </c>
      <c r="AE3335">
        <f t="shared" si="81"/>
        <v>830111</v>
      </c>
    </row>
    <row r="3336" customHeight="1" spans="1:31">
      <c r="A3336" s="2" t="s">
        <v>3631</v>
      </c>
      <c r="B3336" s="2">
        <v>80</v>
      </c>
      <c r="C3336" s="2">
        <v>77413017</v>
      </c>
      <c r="D3336" s="2" t="s">
        <v>65</v>
      </c>
      <c r="E3336" s="2" t="s">
        <v>65</v>
      </c>
      <c r="F3336" t="s">
        <v>30</v>
      </c>
      <c r="N3336" s="2" t="s">
        <v>1125</v>
      </c>
      <c r="O3336" s="2" t="s">
        <v>707</v>
      </c>
      <c r="P3336" s="2">
        <v>8000000</v>
      </c>
      <c r="Q3336" s="2">
        <v>7.6</v>
      </c>
      <c r="R3336" s="2" t="s">
        <v>5917</v>
      </c>
      <c r="S3336" s="2"/>
      <c r="AC3336" s="2"/>
      <c r="AD3336" t="str">
        <f>IFERROR(__xludf.DUMMYFUNCTION("""COMPUTED_VALUE"""),"Albino Alligator ")</f>
        <v>Albino Alligator </v>
      </c>
      <c r="AE3336">
        <f t="shared" si="81"/>
        <v>1040788</v>
      </c>
    </row>
    <row r="3337" customHeight="1" spans="1:31">
      <c r="A3337" s="2" t="s">
        <v>2323</v>
      </c>
      <c r="B3337" s="2">
        <v>107</v>
      </c>
      <c r="C3337" s="2">
        <v>5354039</v>
      </c>
      <c r="D3337" s="2" t="s">
        <v>1438</v>
      </c>
      <c r="E3337" s="2" t="s">
        <v>59</v>
      </c>
      <c r="F3337" t="s">
        <v>55</v>
      </c>
      <c r="N3337" s="2" t="s">
        <v>18</v>
      </c>
      <c r="O3337" s="2" t="s">
        <v>19</v>
      </c>
      <c r="P3337" s="2">
        <v>3500000</v>
      </c>
      <c r="Q3337" s="2">
        <v>7.1</v>
      </c>
      <c r="R3337" s="2" t="s">
        <v>5918</v>
      </c>
      <c r="S3337" s="2"/>
      <c r="AC3337" s="2"/>
      <c r="AD3337" t="str">
        <f>IFERROR(__xludf.DUMMYFUNCTION("""COMPUTED_VALUE"""),"Lovely, Still ")</f>
        <v>Lovely, Still </v>
      </c>
      <c r="AE3337">
        <f t="shared" si="81"/>
        <v>326211</v>
      </c>
    </row>
    <row r="3338" customHeight="1" spans="1:31">
      <c r="A3338" s="2" t="s">
        <v>3633</v>
      </c>
      <c r="B3338" s="2">
        <v>92</v>
      </c>
      <c r="C3338" s="2">
        <v>2926565</v>
      </c>
      <c r="D3338" s="2" t="s">
        <v>975</v>
      </c>
      <c r="E3338" s="2" t="s">
        <v>40</v>
      </c>
      <c r="F3338" t="s">
        <v>30</v>
      </c>
      <c r="N3338" s="2" t="s">
        <v>18</v>
      </c>
      <c r="O3338" s="2" t="s">
        <v>19</v>
      </c>
      <c r="P3338" s="2">
        <v>3000000</v>
      </c>
      <c r="Q3338" s="2">
        <v>6.5</v>
      </c>
      <c r="R3338" s="2" t="s">
        <v>5919</v>
      </c>
      <c r="S3338" s="2"/>
      <c r="AC3338" s="2"/>
      <c r="AD3338" t="str">
        <f>IFERROR(__xludf.DUMMYFUNCTION("""COMPUTED_VALUE"""),"Desert Blue ")</f>
        <v>Desert Blue </v>
      </c>
      <c r="AE3338">
        <f t="shared" si="81"/>
        <v>124630</v>
      </c>
    </row>
    <row r="3339" customHeight="1" spans="1:31">
      <c r="A3339" s="2" t="s">
        <v>3635</v>
      </c>
      <c r="B3339" s="2">
        <v>107</v>
      </c>
      <c r="C3339" s="2">
        <v>13092000</v>
      </c>
      <c r="D3339" s="2" t="s">
        <v>2565</v>
      </c>
      <c r="E3339" s="2" t="s">
        <v>30</v>
      </c>
      <c r="F3339" t="s">
        <v>72</v>
      </c>
      <c r="N3339" s="2" t="s">
        <v>18</v>
      </c>
      <c r="O3339" s="2" t="s">
        <v>19</v>
      </c>
      <c r="P3339" s="2">
        <v>3300000</v>
      </c>
      <c r="Q3339" s="2">
        <v>8.5</v>
      </c>
      <c r="R3339" s="2" t="s">
        <v>5920</v>
      </c>
      <c r="S3339" s="2"/>
      <c r="AC3339" s="2"/>
      <c r="AD3339" t="str">
        <f>IFERROR(__xludf.DUMMYFUNCTION("""COMPUTED_VALUE"""),"The Visit ")</f>
        <v>The Visit </v>
      </c>
      <c r="AE3339">
        <f t="shared" si="81"/>
        <v>99057</v>
      </c>
    </row>
    <row r="3340" customHeight="1" spans="1:31">
      <c r="A3340" s="2" t="s">
        <v>1993</v>
      </c>
      <c r="B3340" s="2">
        <v>135</v>
      </c>
      <c r="C3340" s="2">
        <v>7563397</v>
      </c>
      <c r="D3340" s="2" t="s">
        <v>718</v>
      </c>
      <c r="E3340" s="2" t="s">
        <v>56</v>
      </c>
      <c r="F3340" t="s">
        <v>16</v>
      </c>
      <c r="N3340" s="2" t="s">
        <v>5590</v>
      </c>
      <c r="O3340" s="2" t="s">
        <v>5591</v>
      </c>
      <c r="P3340" s="2">
        <v>3300000</v>
      </c>
      <c r="Q3340" s="2">
        <v>8.7</v>
      </c>
      <c r="R3340" s="2" t="s">
        <v>5921</v>
      </c>
      <c r="S3340" s="2"/>
      <c r="AC3340" s="2"/>
      <c r="AD3340" t="str">
        <f>IFERROR(__xludf.DUMMYFUNCTION("""COMPUTED_VALUE"""),"Redacted ")</f>
        <v>Redacted </v>
      </c>
      <c r="AE3340">
        <f t="shared" si="81"/>
        <v>65069046</v>
      </c>
    </row>
    <row r="3341" customHeight="1" spans="1:31">
      <c r="A3341" s="2" t="s">
        <v>3637</v>
      </c>
      <c r="B3341" s="2">
        <v>99</v>
      </c>
      <c r="C3341" s="2">
        <v>104257</v>
      </c>
      <c r="D3341" s="2" t="s">
        <v>3198</v>
      </c>
      <c r="E3341" s="2" t="s">
        <v>40</v>
      </c>
      <c r="F3341" t="s">
        <v>30</v>
      </c>
      <c r="N3341" s="2" t="s">
        <v>18</v>
      </c>
      <c r="O3341" s="2" t="s">
        <v>31</v>
      </c>
      <c r="P3341" s="2">
        <v>2200000</v>
      </c>
      <c r="Q3341" s="2">
        <v>7.1</v>
      </c>
      <c r="R3341" s="2" t="s">
        <v>5922</v>
      </c>
      <c r="S3341" s="2"/>
      <c r="AC3341" s="2"/>
      <c r="AD3341" t="str">
        <f>IFERROR(__xludf.DUMMYFUNCTION("""COMPUTED_VALUE"""),"Fascination ")</f>
        <v>Fascination </v>
      </c>
      <c r="AE3341">
        <f t="shared" si="81"/>
        <v>64997</v>
      </c>
    </row>
    <row r="3342" customHeight="1" spans="1:31">
      <c r="A3342" s="2" t="s">
        <v>3209</v>
      </c>
      <c r="B3342" s="2">
        <v>115</v>
      </c>
      <c r="C3342" s="2">
        <v>610968</v>
      </c>
      <c r="D3342" s="2" t="s">
        <v>30</v>
      </c>
      <c r="E3342" s="2" t="s">
        <v>30</v>
      </c>
      <c r="F3342" t="s">
        <v>30</v>
      </c>
      <c r="N3342" s="2" t="s">
        <v>5421</v>
      </c>
      <c r="O3342" s="2" t="s">
        <v>3235</v>
      </c>
      <c r="P3342" s="2">
        <v>3800000</v>
      </c>
      <c r="Q3342" s="2">
        <v>8.3</v>
      </c>
      <c r="R3342" s="2" t="s">
        <v>5923</v>
      </c>
      <c r="S3342" s="2"/>
      <c r="AC3342" s="2"/>
      <c r="AD3342" t="str">
        <f>IFERROR(__xludf.DUMMYFUNCTION("""COMPUTED_VALUE"""),"Rudderless ")</f>
        <v>Rudderless </v>
      </c>
      <c r="AE3342">
        <f t="shared" si="81"/>
        <v>15963</v>
      </c>
    </row>
    <row r="3343" customHeight="1" spans="1:31">
      <c r="A3343" s="2" t="s">
        <v>2319</v>
      </c>
      <c r="B3343" s="2">
        <v>91</v>
      </c>
      <c r="C3343" s="2">
        <v>8108247</v>
      </c>
      <c r="D3343" s="2" t="s">
        <v>103</v>
      </c>
      <c r="E3343" s="2" t="s">
        <v>30</v>
      </c>
      <c r="F3343" t="s">
        <v>30</v>
      </c>
      <c r="N3343" s="2" t="s">
        <v>18</v>
      </c>
      <c r="O3343" s="2" t="s">
        <v>19</v>
      </c>
      <c r="P3343" s="2">
        <v>3300000</v>
      </c>
      <c r="Q3343" s="2">
        <v>7.4</v>
      </c>
      <c r="R3343" s="2" t="s">
        <v>5924</v>
      </c>
      <c r="S3343" s="2"/>
      <c r="AC3343" s="2"/>
      <c r="AD3343" t="str">
        <f>IFERROR(__xludf.DUMMYFUNCTION("""COMPUTED_VALUE"""),"I Served the King of England ")</f>
        <v>I Served the King of England </v>
      </c>
      <c r="AE3343">
        <f t="shared" si="81"/>
        <v>37335</v>
      </c>
    </row>
    <row r="3344" customHeight="1" spans="1:31">
      <c r="A3344" s="2" t="s">
        <v>3639</v>
      </c>
      <c r="B3344" s="2">
        <v>92</v>
      </c>
      <c r="C3344" s="2">
        <v>7680</v>
      </c>
      <c r="D3344" s="2" t="s">
        <v>103</v>
      </c>
      <c r="E3344" s="2" t="s">
        <v>30</v>
      </c>
      <c r="F3344" t="s">
        <v>40</v>
      </c>
      <c r="N3344" s="2" t="s">
        <v>18</v>
      </c>
      <c r="O3344" s="2" t="s">
        <v>19</v>
      </c>
      <c r="P3344" s="2">
        <v>2000000</v>
      </c>
      <c r="Q3344" s="2">
        <v>6.4</v>
      </c>
      <c r="R3344" s="2" t="s">
        <v>5925</v>
      </c>
      <c r="S3344" s="2"/>
      <c r="AC3344" s="2"/>
      <c r="AD3344" t="str">
        <f>IFERROR(__xludf.DUMMYFUNCTION("""COMPUTED_VALUE"""),"Soul Kitchen ")</f>
        <v>Soul Kitchen </v>
      </c>
      <c r="AE3344">
        <f t="shared" si="81"/>
        <v>617115</v>
      </c>
    </row>
    <row r="3345" customHeight="1" spans="1:31">
      <c r="A3345" s="2" t="s">
        <v>3641</v>
      </c>
      <c r="B3345" s="2">
        <v>101</v>
      </c>
      <c r="C3345" s="2">
        <v>6517198</v>
      </c>
      <c r="D3345" s="2" t="s">
        <v>718</v>
      </c>
      <c r="E3345" s="2" t="s">
        <v>56</v>
      </c>
      <c r="F3345" t="s">
        <v>14</v>
      </c>
      <c r="N3345" s="2" t="s">
        <v>1081</v>
      </c>
      <c r="O3345" s="2" t="s">
        <v>5926</v>
      </c>
      <c r="P3345" s="2">
        <v>3000000</v>
      </c>
      <c r="Q3345" s="2">
        <v>7.5</v>
      </c>
      <c r="R3345" s="2" t="s">
        <v>5927</v>
      </c>
      <c r="S3345" s="2"/>
      <c r="AC3345" s="2"/>
      <c r="AD3345" t="str">
        <f>IFERROR(__xludf.DUMMYFUNCTION("""COMPUTED_VALUE"""),"Sling Blade ")</f>
        <v>Sling Blade </v>
      </c>
      <c r="AE3345">
        <f t="shared" si="81"/>
        <v>274286</v>
      </c>
    </row>
    <row r="3346" customHeight="1" spans="1:31">
      <c r="A3346" s="2" t="s">
        <v>3561</v>
      </c>
      <c r="B3346" s="2">
        <v>105</v>
      </c>
      <c r="C3346" s="2">
        <v>5776314</v>
      </c>
      <c r="D3346" s="2" t="s">
        <v>521</v>
      </c>
      <c r="E3346" s="2" t="s">
        <v>40</v>
      </c>
      <c r="F3346" t="s">
        <v>65</v>
      </c>
      <c r="N3346" s="2" t="s">
        <v>18</v>
      </c>
      <c r="O3346" s="2" t="s">
        <v>19</v>
      </c>
      <c r="P3346" s="2">
        <v>3200000</v>
      </c>
      <c r="Q3346" s="2">
        <v>7.2</v>
      </c>
      <c r="R3346" s="2" t="s">
        <v>5928</v>
      </c>
      <c r="S3346" s="2"/>
      <c r="AC3346" s="2"/>
      <c r="AD3346" t="str">
        <f>IFERROR(__xludf.DUMMYFUNCTION("""COMPUTED_VALUE"""),"Hostel ")</f>
        <v>Hostel </v>
      </c>
      <c r="AE3346">
        <f t="shared" si="81"/>
        <v>24475268</v>
      </c>
    </row>
    <row r="3347" customHeight="1" spans="1:31">
      <c r="A3347" s="2" t="s">
        <v>1311</v>
      </c>
      <c r="B3347" s="2">
        <v>109</v>
      </c>
      <c r="C3347" s="2">
        <v>141600000</v>
      </c>
      <c r="D3347" s="2" t="s">
        <v>40</v>
      </c>
      <c r="E3347" s="2" t="s">
        <v>40</v>
      </c>
      <c r="F3347" t="s">
        <v>17</v>
      </c>
      <c r="N3347" s="2" t="s">
        <v>18</v>
      </c>
      <c r="O3347" s="2" t="s">
        <v>19</v>
      </c>
      <c r="P3347" s="2">
        <v>3000000</v>
      </c>
      <c r="Q3347" s="2">
        <v>7.6</v>
      </c>
      <c r="R3347" s="2" t="s">
        <v>5929</v>
      </c>
      <c r="S3347" s="2"/>
      <c r="AC3347" s="2"/>
      <c r="AD3347" t="str">
        <f>IFERROR(__xludf.DUMMYFUNCTION("""COMPUTED_VALUE"""),"Tristram Shandy: A Cock and Bull Story ")</f>
        <v>Tristram Shandy: A Cock and Bull Story </v>
      </c>
      <c r="AE3347">
        <f t="shared" si="81"/>
        <v>47277233</v>
      </c>
    </row>
    <row r="3348" customHeight="1" spans="1:31">
      <c r="A3348" s="2" t="s">
        <v>3246</v>
      </c>
      <c r="B3348" s="2">
        <v>110</v>
      </c>
      <c r="C3348" s="2">
        <v>51100000</v>
      </c>
      <c r="D3348" s="2" t="s">
        <v>27</v>
      </c>
      <c r="E3348" s="2" t="s">
        <v>12</v>
      </c>
      <c r="F3348" t="s">
        <v>17</v>
      </c>
      <c r="N3348" s="2" t="s">
        <v>18</v>
      </c>
      <c r="O3348" s="2" t="s">
        <v>31</v>
      </c>
      <c r="P3348" s="2">
        <v>3000000</v>
      </c>
      <c r="Q3348" s="2">
        <v>7.8</v>
      </c>
      <c r="R3348" s="2" t="s">
        <v>5930</v>
      </c>
      <c r="S3348" s="2"/>
      <c r="AC3348" s="2"/>
      <c r="AD3348" t="str">
        <f>IFERROR(__xludf.DUMMYFUNCTION("""COMPUTED_VALUE"""),"Take Shelter ")</f>
        <v>Take Shelter </v>
      </c>
      <c r="AE3348">
        <f t="shared" si="81"/>
        <v>1247359</v>
      </c>
    </row>
    <row r="3349" customHeight="1" spans="1:31">
      <c r="A3349" s="2" t="s">
        <v>1322</v>
      </c>
      <c r="B3349" s="2">
        <v>94</v>
      </c>
      <c r="C3349" s="2">
        <v>16501785</v>
      </c>
      <c r="D3349" s="2" t="s">
        <v>30</v>
      </c>
      <c r="E3349" s="2" t="s">
        <v>30</v>
      </c>
      <c r="F3349" t="s">
        <v>24</v>
      </c>
      <c r="N3349" s="2" t="s">
        <v>18</v>
      </c>
      <c r="O3349" s="2" t="s">
        <v>31</v>
      </c>
      <c r="P3349" s="2">
        <v>3500000</v>
      </c>
      <c r="Q3349" s="2">
        <v>8.2</v>
      </c>
      <c r="R3349" s="2" t="s">
        <v>5931</v>
      </c>
      <c r="S3349" s="2"/>
      <c r="AC3349" s="2"/>
      <c r="AD3349" t="str">
        <f>IFERROR(__xludf.DUMMYFUNCTION("""COMPUTED_VALUE"""),"Lady in White ")</f>
        <v>Lady in White </v>
      </c>
      <c r="AE3349">
        <f t="shared" si="81"/>
        <v>1729848</v>
      </c>
    </row>
    <row r="3350" customHeight="1" spans="1:31">
      <c r="A3350" s="2" t="s">
        <v>1259</v>
      </c>
      <c r="B3350" s="2">
        <v>115</v>
      </c>
      <c r="C3350" s="2">
        <v>38168022</v>
      </c>
      <c r="D3350" s="2" t="s">
        <v>5711</v>
      </c>
      <c r="E3350" s="2" t="s">
        <v>40</v>
      </c>
      <c r="F3350" t="s">
        <v>55</v>
      </c>
      <c r="N3350" s="2" t="s">
        <v>18</v>
      </c>
      <c r="O3350" s="2" t="s">
        <v>19</v>
      </c>
      <c r="P3350" s="2">
        <v>3000000</v>
      </c>
      <c r="Q3350" s="2">
        <v>6.6</v>
      </c>
      <c r="R3350" s="2" t="s">
        <v>5932</v>
      </c>
      <c r="S3350" s="2"/>
      <c r="AC3350" s="2"/>
      <c r="AD3350" t="str">
        <f>IFERROR(__xludf.DUMMYFUNCTION("""COMPUTED_VALUE"""),"The Texas Chainsaw Massacre 2 ")</f>
        <v>The Texas Chainsaw Massacre 2 </v>
      </c>
      <c r="AE3350">
        <f t="shared" si="81"/>
        <v>1705021</v>
      </c>
    </row>
    <row r="3351" customHeight="1" spans="1:31">
      <c r="A3351" s="2" t="s">
        <v>3643</v>
      </c>
      <c r="B3351" s="2">
        <v>98</v>
      </c>
      <c r="C3351" s="2">
        <v>84749884</v>
      </c>
      <c r="D3351" s="2" t="s">
        <v>72</v>
      </c>
      <c r="E3351" s="2" t="s">
        <v>72</v>
      </c>
      <c r="F3351" t="s">
        <v>39</v>
      </c>
      <c r="N3351" s="2" t="s">
        <v>18</v>
      </c>
      <c r="O3351" s="2" t="s">
        <v>19</v>
      </c>
      <c r="P3351" s="2">
        <v>3000000</v>
      </c>
      <c r="Q3351" s="2">
        <v>5.7</v>
      </c>
      <c r="R3351" s="2" t="s">
        <v>5933</v>
      </c>
      <c r="S3351" s="2"/>
      <c r="AC3351" s="2"/>
      <c r="AD3351" t="str">
        <f>IFERROR(__xludf.DUMMYFUNCTION("""COMPUTED_VALUE"""),"Only God Forgives ")</f>
        <v>Only God Forgives </v>
      </c>
      <c r="AE3351">
        <f t="shared" si="81"/>
        <v>8025771</v>
      </c>
    </row>
    <row r="3352" customHeight="1" spans="1:31">
      <c r="A3352" s="2" t="s">
        <v>1626</v>
      </c>
      <c r="B3352" s="2">
        <v>91</v>
      </c>
      <c r="C3352" s="2">
        <v>24788807</v>
      </c>
      <c r="D3352" s="2" t="s">
        <v>40</v>
      </c>
      <c r="E3352" s="2" t="s">
        <v>40</v>
      </c>
      <c r="F3352" t="s">
        <v>30</v>
      </c>
      <c r="N3352" s="2" t="s">
        <v>18</v>
      </c>
      <c r="O3352" s="2" t="s">
        <v>31</v>
      </c>
      <c r="P3352" s="2">
        <v>3000000</v>
      </c>
      <c r="Q3352" s="2">
        <v>7.4</v>
      </c>
      <c r="R3352" s="2" t="s">
        <v>5934</v>
      </c>
      <c r="S3352" s="2"/>
      <c r="AC3352" s="2"/>
      <c r="AD3352" t="str">
        <f>IFERROR(__xludf.DUMMYFUNCTION("""COMPUTED_VALUE"""),"The Names of Love ")</f>
        <v>The Names of Love </v>
      </c>
      <c r="AE3352">
        <f t="shared" si="81"/>
        <v>778475</v>
      </c>
    </row>
    <row r="3353" customHeight="1" spans="1:31">
      <c r="A3353" s="2" t="s">
        <v>3116</v>
      </c>
      <c r="B3353" s="2">
        <v>120</v>
      </c>
      <c r="C3353" s="2">
        <v>21244913</v>
      </c>
      <c r="D3353" s="2" t="s">
        <v>5935</v>
      </c>
      <c r="E3353" s="2" t="s">
        <v>56</v>
      </c>
      <c r="F3353" t="s">
        <v>30</v>
      </c>
      <c r="N3353" s="2" t="s">
        <v>18</v>
      </c>
      <c r="O3353" s="2" t="s">
        <v>293</v>
      </c>
      <c r="P3353" s="2">
        <v>4000000</v>
      </c>
      <c r="Q3353" s="2">
        <v>8</v>
      </c>
      <c r="R3353" s="2" t="s">
        <v>5936</v>
      </c>
      <c r="S3353" s="2"/>
      <c r="AC3353" s="2"/>
      <c r="AD3353" t="str">
        <f>IFERROR(__xludf.DUMMYFUNCTION("""COMPUTED_VALUE"""),"Savage Grace ")</f>
        <v>Savage Grace </v>
      </c>
      <c r="AE3353">
        <f t="shared" si="81"/>
        <v>513736</v>
      </c>
    </row>
    <row r="3354" customHeight="1" spans="1:31">
      <c r="A3354" s="2" t="s">
        <v>3645</v>
      </c>
      <c r="B3354" s="2">
        <v>87</v>
      </c>
      <c r="C3354" s="2">
        <v>30000000</v>
      </c>
      <c r="D3354" s="2" t="s">
        <v>3112</v>
      </c>
      <c r="E3354" s="2" t="s">
        <v>14</v>
      </c>
      <c r="F3354" t="s">
        <v>14</v>
      </c>
      <c r="N3354" s="2" t="s">
        <v>18</v>
      </c>
      <c r="O3354" s="2" t="s">
        <v>19</v>
      </c>
      <c r="P3354" s="2">
        <v>2200000</v>
      </c>
      <c r="Q3354" s="2">
        <v>5.4</v>
      </c>
      <c r="R3354" s="2" t="s">
        <v>5937</v>
      </c>
      <c r="S3354" s="2"/>
      <c r="AC3354" s="2"/>
      <c r="AD3354" t="str">
        <f>IFERROR(__xludf.DUMMYFUNCTION("""COMPUTED_VALUE"""),"Police Academy ")</f>
        <v>Police Academy </v>
      </c>
      <c r="AE3354">
        <f t="shared" si="81"/>
        <v>434320</v>
      </c>
    </row>
    <row r="3355" customHeight="1" spans="1:31">
      <c r="A3355" s="2" t="s">
        <v>2529</v>
      </c>
      <c r="B3355" s="2">
        <v>117</v>
      </c>
      <c r="C3355" s="2">
        <v>20966644</v>
      </c>
      <c r="D3355" s="2" t="s">
        <v>103</v>
      </c>
      <c r="E3355" s="2" t="s">
        <v>30</v>
      </c>
      <c r="F3355" t="s">
        <v>17</v>
      </c>
      <c r="N3355" s="2" t="s">
        <v>18</v>
      </c>
      <c r="O3355" s="2" t="s">
        <v>31</v>
      </c>
      <c r="P3355" s="2">
        <v>3000000</v>
      </c>
      <c r="Q3355" s="2">
        <v>7.4</v>
      </c>
      <c r="R3355" s="2" t="s">
        <v>5938</v>
      </c>
      <c r="S3355" s="2"/>
      <c r="AC3355" s="2"/>
      <c r="AD3355" t="str">
        <f>IFERROR(__xludf.DUMMYFUNCTION("""COMPUTED_VALUE"""),"Four Weddings and a Funeral ")</f>
        <v>Four Weddings and a Funeral </v>
      </c>
      <c r="AE3355">
        <f t="shared" si="81"/>
        <v>81199904</v>
      </c>
    </row>
    <row r="3356" customHeight="1" spans="1:31">
      <c r="A3356" s="2" t="s">
        <v>2960</v>
      </c>
      <c r="B3356" s="2">
        <v>85</v>
      </c>
      <c r="C3356" s="2">
        <v>64423650</v>
      </c>
      <c r="D3356" s="2" t="s">
        <v>1764</v>
      </c>
      <c r="E3356" s="2" t="s">
        <v>72</v>
      </c>
      <c r="F3356" t="s">
        <v>30</v>
      </c>
      <c r="N3356" s="2" t="s">
        <v>18</v>
      </c>
      <c r="O3356" s="2" t="s">
        <v>19</v>
      </c>
      <c r="P3356" s="2">
        <v>3000000</v>
      </c>
      <c r="Q3356" s="2">
        <v>5.7</v>
      </c>
      <c r="R3356" s="2" t="s">
        <v>5939</v>
      </c>
      <c r="S3356" s="2"/>
      <c r="AC3356" s="2"/>
      <c r="AD3356" t="str">
        <f>IFERROR(__xludf.DUMMYFUNCTION("""COMPUTED_VALUE"""),"25th Hour ")</f>
        <v>25th Hour </v>
      </c>
      <c r="AE3356">
        <f t="shared" si="81"/>
        <v>52700715</v>
      </c>
    </row>
    <row r="3357" customHeight="1" spans="1:31">
      <c r="A3357" s="2" t="s">
        <v>813</v>
      </c>
      <c r="B3357" s="2">
        <v>110</v>
      </c>
      <c r="C3357" s="2">
        <v>48056940</v>
      </c>
      <c r="D3357" s="2" t="s">
        <v>2613</v>
      </c>
      <c r="E3357" s="2" t="s">
        <v>72</v>
      </c>
      <c r="F3357" t="s">
        <v>17</v>
      </c>
      <c r="N3357" s="2" t="s">
        <v>18</v>
      </c>
      <c r="O3357" s="2" t="s">
        <v>19</v>
      </c>
      <c r="P3357" s="2">
        <v>3000000</v>
      </c>
      <c r="Q3357" s="2">
        <v>6.8</v>
      </c>
      <c r="R3357" s="2" t="s">
        <v>5940</v>
      </c>
      <c r="S3357" s="2"/>
      <c r="AC3357" s="2"/>
      <c r="AD3357" t="str">
        <f>IFERROR(__xludf.DUMMYFUNCTION("""COMPUTED_VALUE"""),"Bound ")</f>
        <v>Bound </v>
      </c>
      <c r="AE3357">
        <f t="shared" si="81"/>
        <v>13060735</v>
      </c>
    </row>
    <row r="3358" customHeight="1" spans="1:31">
      <c r="A3358" s="2" t="s">
        <v>2645</v>
      </c>
      <c r="B3358" s="2">
        <v>113</v>
      </c>
      <c r="C3358" s="2">
        <v>19184015</v>
      </c>
      <c r="D3358" s="2" t="s">
        <v>5941</v>
      </c>
      <c r="E3358" s="2" t="s">
        <v>59</v>
      </c>
      <c r="F3358" t="s">
        <v>17</v>
      </c>
      <c r="N3358" s="2" t="s">
        <v>18</v>
      </c>
      <c r="O3358" s="2" t="s">
        <v>19</v>
      </c>
      <c r="P3358" s="2">
        <v>3000000</v>
      </c>
      <c r="Q3358" s="2">
        <v>5.4</v>
      </c>
      <c r="R3358" s="2" t="s">
        <v>5942</v>
      </c>
      <c r="S3358" s="2"/>
      <c r="AC3358" s="2"/>
      <c r="AD3358" t="str">
        <f>IFERROR(__xludf.DUMMYFUNCTION("""COMPUTED_VALUE"""),"Requiem for a Dream ")</f>
        <v>Requiem for a Dream </v>
      </c>
      <c r="AE3358">
        <f t="shared" si="81"/>
        <v>3798423</v>
      </c>
    </row>
    <row r="3359" customHeight="1" spans="1:31">
      <c r="A3359" s="2" t="s">
        <v>1636</v>
      </c>
      <c r="B3359" s="2">
        <v>98</v>
      </c>
      <c r="C3359" s="2">
        <v>24629916</v>
      </c>
      <c r="D3359" s="2" t="s">
        <v>5088</v>
      </c>
      <c r="E3359" s="2" t="s">
        <v>40</v>
      </c>
      <c r="F3359" t="s">
        <v>39</v>
      </c>
      <c r="N3359" s="2" t="s">
        <v>18</v>
      </c>
      <c r="O3359" s="2" t="s">
        <v>19</v>
      </c>
      <c r="P3359" s="2">
        <v>3000000</v>
      </c>
      <c r="Q3359" s="2">
        <v>5.1</v>
      </c>
      <c r="R3359" s="2" t="s">
        <v>5943</v>
      </c>
      <c r="S3359" s="2"/>
      <c r="AC3359" s="2"/>
      <c r="AD3359" t="str">
        <f>IFERROR(__xludf.DUMMYFUNCTION("""COMPUTED_VALUE"""),"Tango ")</f>
        <v>Tango </v>
      </c>
      <c r="AE3359">
        <f t="shared" si="81"/>
        <v>3609176</v>
      </c>
    </row>
    <row r="3360" customHeight="1" spans="1:31">
      <c r="A3360" s="2" t="s">
        <v>3648</v>
      </c>
      <c r="B3360" s="2">
        <v>86</v>
      </c>
      <c r="C3360" s="2">
        <v>19472057</v>
      </c>
      <c r="D3360" s="2" t="s">
        <v>2781</v>
      </c>
      <c r="E3360" s="2" t="s">
        <v>72</v>
      </c>
      <c r="F3360" t="s">
        <v>56</v>
      </c>
      <c r="N3360" s="2" t="s">
        <v>18</v>
      </c>
      <c r="O3360" s="2" t="s">
        <v>19</v>
      </c>
      <c r="P3360" s="2">
        <v>3000000</v>
      </c>
      <c r="Q3360" s="2">
        <v>5.9</v>
      </c>
      <c r="R3360" s="2" t="s">
        <v>5944</v>
      </c>
      <c r="S3360" s="2"/>
      <c r="AC3360" s="2"/>
      <c r="AD3360" t="str">
        <f>IFERROR(__xludf.DUMMYFUNCTION("""COMPUTED_VALUE"""),"Moms' Night Out ")</f>
        <v>Moms' Night Out </v>
      </c>
      <c r="AE3360">
        <f t="shared" si="81"/>
        <v>1687196</v>
      </c>
    </row>
    <row r="3361" customHeight="1" spans="1:31">
      <c r="A3361" s="2" t="s">
        <v>1954</v>
      </c>
      <c r="B3361" s="2">
        <v>161</v>
      </c>
      <c r="C3361" s="2">
        <v>27200000</v>
      </c>
      <c r="D3361" s="2" t="s">
        <v>1320</v>
      </c>
      <c r="E3361" s="2" t="s">
        <v>13</v>
      </c>
      <c r="F3361" t="s">
        <v>30</v>
      </c>
      <c r="N3361" s="2" t="s">
        <v>18</v>
      </c>
      <c r="O3361" s="2" t="s">
        <v>31</v>
      </c>
      <c r="P3361" s="2">
        <v>3000000</v>
      </c>
      <c r="Q3361" s="2">
        <v>8.2</v>
      </c>
      <c r="R3361" s="2" t="s">
        <v>5945</v>
      </c>
      <c r="S3361" s="2"/>
      <c r="AC3361" s="2"/>
      <c r="AD3361" t="str">
        <f>IFERROR(__xludf.DUMMYFUNCTION("""COMPUTED_VALUE"""),"Donnie Darko ")</f>
        <v>Donnie Darko </v>
      </c>
      <c r="AE3361">
        <f t="shared" si="81"/>
        <v>10429609</v>
      </c>
    </row>
    <row r="3362" customHeight="1" spans="1:31">
      <c r="A3362" s="2" t="s">
        <v>1350</v>
      </c>
      <c r="B3362" s="2">
        <v>100</v>
      </c>
      <c r="C3362" s="2">
        <v>15369573</v>
      </c>
      <c r="D3362" s="2" t="s">
        <v>690</v>
      </c>
      <c r="E3362" s="2" t="s">
        <v>13</v>
      </c>
      <c r="F3362" t="s">
        <v>30</v>
      </c>
      <c r="N3362" s="2" t="s">
        <v>18</v>
      </c>
      <c r="O3362" s="2" t="s">
        <v>19</v>
      </c>
      <c r="P3362" s="2">
        <v>3000000</v>
      </c>
      <c r="Q3362" s="2">
        <v>5.3</v>
      </c>
      <c r="R3362" s="2" t="s">
        <v>5946</v>
      </c>
      <c r="S3362" s="2"/>
      <c r="AC3362" s="2"/>
      <c r="AD3362" t="str">
        <f>IFERROR(__xludf.DUMMYFUNCTION("""COMPUTED_VALUE"""),"Character ")</f>
        <v>Character </v>
      </c>
      <c r="AE3362">
        <f t="shared" si="81"/>
        <v>727750</v>
      </c>
    </row>
    <row r="3363" customHeight="1" spans="1:31">
      <c r="A3363" s="2" t="s">
        <v>3650</v>
      </c>
      <c r="B3363" s="2">
        <v>91</v>
      </c>
      <c r="C3363" s="2">
        <v>15935068</v>
      </c>
      <c r="D3363" s="2" t="s">
        <v>4101</v>
      </c>
      <c r="E3363" s="2" t="s">
        <v>14</v>
      </c>
      <c r="F3363" t="s">
        <v>30</v>
      </c>
      <c r="N3363" s="2" t="s">
        <v>18</v>
      </c>
      <c r="O3363" s="2" t="s">
        <v>19</v>
      </c>
      <c r="P3363" s="2">
        <v>2500000</v>
      </c>
      <c r="Q3363" s="2">
        <v>4.3</v>
      </c>
      <c r="R3363" s="2" t="s">
        <v>5947</v>
      </c>
      <c r="S3363" s="2"/>
      <c r="AC3363" s="2"/>
      <c r="AD3363" t="str">
        <f>IFERROR(__xludf.DUMMYFUNCTION("""COMPUTED_VALUE"""),"Spun ")</f>
        <v>Spun </v>
      </c>
      <c r="AE3363">
        <f t="shared" si="81"/>
        <v>713291</v>
      </c>
    </row>
    <row r="3364" customHeight="1" spans="1:31">
      <c r="A3364" s="2" t="s">
        <v>565</v>
      </c>
      <c r="B3364" s="2">
        <v>100</v>
      </c>
      <c r="C3364" s="2">
        <v>11694528</v>
      </c>
      <c r="D3364" s="2" t="s">
        <v>5948</v>
      </c>
      <c r="E3364" s="2" t="s">
        <v>40</v>
      </c>
      <c r="F3364" t="s">
        <v>30</v>
      </c>
      <c r="N3364" s="2" t="s">
        <v>18</v>
      </c>
      <c r="O3364" s="2" t="s">
        <v>19</v>
      </c>
      <c r="P3364" s="2">
        <v>3000000</v>
      </c>
      <c r="Q3364" s="2">
        <v>7.2</v>
      </c>
      <c r="R3364" s="2" t="s">
        <v>5949</v>
      </c>
      <c r="S3364" s="2"/>
      <c r="AC3364" s="2"/>
      <c r="AD3364" t="str">
        <f>IFERROR(__xludf.DUMMYFUNCTION("""COMPUTED_VALUE"""),"Lady Vengeance ")</f>
        <v>Lady Vengeance </v>
      </c>
      <c r="AE3364">
        <f t="shared" si="81"/>
        <v>410135</v>
      </c>
    </row>
    <row r="3365" customHeight="1" spans="1:31">
      <c r="A3365" s="2" t="s">
        <v>3652</v>
      </c>
      <c r="B3365" s="2">
        <v>84</v>
      </c>
      <c r="C3365" s="2">
        <v>10017041</v>
      </c>
      <c r="D3365" s="2" t="s">
        <v>635</v>
      </c>
      <c r="E3365" s="2" t="s">
        <v>12</v>
      </c>
      <c r="F3365" t="s">
        <v>30</v>
      </c>
      <c r="N3365" s="2" t="s">
        <v>18</v>
      </c>
      <c r="O3365" s="2" t="s">
        <v>19</v>
      </c>
      <c r="P3365" s="2">
        <v>3000000</v>
      </c>
      <c r="Q3365" s="2">
        <v>5.9</v>
      </c>
      <c r="R3365" s="2" t="s">
        <v>5950</v>
      </c>
      <c r="S3365" s="2"/>
      <c r="AC3365" s="2"/>
      <c r="AD3365" t="str">
        <f>IFERROR(__xludf.DUMMYFUNCTION("""COMPUTED_VALUE"""),"Mean Machine ")</f>
        <v>Mean Machine </v>
      </c>
      <c r="AE3365">
        <f t="shared" si="81"/>
        <v>211555</v>
      </c>
    </row>
    <row r="3366" customHeight="1" spans="1:31">
      <c r="A3366" s="2" t="s">
        <v>3654</v>
      </c>
      <c r="B3366" s="2">
        <v>99</v>
      </c>
      <c r="C3366" s="2">
        <v>7059537</v>
      </c>
      <c r="D3366" s="2" t="s">
        <v>40</v>
      </c>
      <c r="E3366" s="2" t="s">
        <v>40</v>
      </c>
      <c r="F3366" t="s">
        <v>30</v>
      </c>
      <c r="N3366" s="2" t="s">
        <v>18</v>
      </c>
      <c r="O3366" s="2" t="s">
        <v>19</v>
      </c>
      <c r="P3366" s="2">
        <v>3000000</v>
      </c>
      <c r="Q3366" s="2">
        <v>3</v>
      </c>
      <c r="R3366" s="2" t="s">
        <v>5951</v>
      </c>
      <c r="S3366" s="2"/>
      <c r="AC3366" s="2"/>
      <c r="AD3366" t="str">
        <f>IFERROR(__xludf.DUMMYFUNCTION("""COMPUTED_VALUE"""),"Exiled ")</f>
        <v>Exiled </v>
      </c>
      <c r="AE3366">
        <f t="shared" si="81"/>
        <v>92092</v>
      </c>
    </row>
    <row r="3367" customHeight="1" spans="1:31">
      <c r="A3367" s="2" t="s">
        <v>1971</v>
      </c>
      <c r="B3367" s="2">
        <v>109</v>
      </c>
      <c r="C3367" s="2">
        <v>8114507</v>
      </c>
      <c r="D3367" s="2" t="s">
        <v>103</v>
      </c>
      <c r="E3367" s="2" t="s">
        <v>30</v>
      </c>
      <c r="F3367" t="s">
        <v>15</v>
      </c>
      <c r="N3367" s="2" t="s">
        <v>18</v>
      </c>
      <c r="O3367" s="2" t="s">
        <v>19</v>
      </c>
      <c r="P3367" s="2">
        <v>3000000</v>
      </c>
      <c r="Q3367" s="2">
        <v>7.9</v>
      </c>
      <c r="R3367" s="2" t="s">
        <v>5952</v>
      </c>
      <c r="S3367" s="2"/>
      <c r="AC3367" s="2"/>
      <c r="AD3367" t="str">
        <f>IFERROR(__xludf.DUMMYFUNCTION("""COMPUTED_VALUE"""),"After.Life ")</f>
        <v>After.Life </v>
      </c>
      <c r="AE3367">
        <f t="shared" si="81"/>
        <v>49303</v>
      </c>
    </row>
    <row r="3368" customHeight="1" spans="1:31">
      <c r="A3368" s="2" t="s">
        <v>3657</v>
      </c>
      <c r="B3368" s="2">
        <v>95</v>
      </c>
      <c r="C3368" s="2">
        <v>7888703</v>
      </c>
      <c r="D3368" s="2" t="s">
        <v>1086</v>
      </c>
      <c r="E3368" s="2" t="s">
        <v>40</v>
      </c>
      <c r="F3368" t="s">
        <v>17</v>
      </c>
      <c r="N3368" s="2" t="s">
        <v>18</v>
      </c>
      <c r="O3368" s="2" t="s">
        <v>19</v>
      </c>
      <c r="P3368" s="2">
        <v>3000000</v>
      </c>
      <c r="Q3368" s="2">
        <v>3.2</v>
      </c>
      <c r="R3368" s="2" t="s">
        <v>5953</v>
      </c>
      <c r="S3368" s="2"/>
      <c r="AC3368" s="2"/>
      <c r="AD3368" t="str">
        <f>IFERROR(__xludf.DUMMYFUNCTION("""COMPUTED_VALUE"""),"One Flew Over the Cuckoo's Nest ")</f>
        <v>One Flew Over the Cuckoo's Nest </v>
      </c>
      <c r="AE3368">
        <f t="shared" si="81"/>
        <v>108125</v>
      </c>
    </row>
    <row r="3369" customHeight="1" spans="1:31">
      <c r="A3369" s="2" t="s">
        <v>3659</v>
      </c>
      <c r="B3369" s="2">
        <v>97</v>
      </c>
      <c r="C3369" s="2">
        <v>7282851</v>
      </c>
      <c r="D3369" s="2" t="s">
        <v>1758</v>
      </c>
      <c r="E3369" s="2" t="s">
        <v>12</v>
      </c>
      <c r="F3369" t="s">
        <v>40</v>
      </c>
      <c r="N3369" s="2" t="s">
        <v>18</v>
      </c>
      <c r="O3369" s="2" t="s">
        <v>19</v>
      </c>
      <c r="P3369" s="2">
        <v>3000000</v>
      </c>
      <c r="Q3369" s="2">
        <v>6.5</v>
      </c>
      <c r="R3369" s="2" t="s">
        <v>5954</v>
      </c>
      <c r="S3369" s="2"/>
      <c r="AC3369" s="2"/>
      <c r="AD3369" t="str">
        <f>IFERROR(__xludf.DUMMYFUNCTION("""COMPUTED_VALUE"""),"Falcon Rising ")</f>
        <v>Falcon Rising </v>
      </c>
      <c r="AE3369">
        <f t="shared" si="81"/>
        <v>111999867</v>
      </c>
    </row>
    <row r="3370" customHeight="1" spans="1:31">
      <c r="A3370" s="2" t="s">
        <v>3661</v>
      </c>
      <c r="B3370" s="2">
        <v>90</v>
      </c>
      <c r="C3370" s="2">
        <v>5844929</v>
      </c>
      <c r="D3370" s="2" t="s">
        <v>975</v>
      </c>
      <c r="E3370" s="2" t="s">
        <v>40</v>
      </c>
      <c r="F3370" t="s">
        <v>28</v>
      </c>
      <c r="N3370" s="2" t="s">
        <v>18</v>
      </c>
      <c r="O3370" s="2" t="s">
        <v>19</v>
      </c>
      <c r="P3370" s="2">
        <v>3000000</v>
      </c>
      <c r="Q3370" s="2">
        <v>7</v>
      </c>
      <c r="R3370" s="2" t="s">
        <v>5955</v>
      </c>
      <c r="S3370" s="2"/>
      <c r="AC3370" s="2"/>
      <c r="AD3370" t="str">
        <f>IFERROR(__xludf.DUMMYFUNCTION("""COMPUTED_VALUE"""),"The Sweeney ")</f>
        <v>The Sweeney </v>
      </c>
      <c r="AE3370">
        <f t="shared" si="81"/>
        <v>8588</v>
      </c>
    </row>
    <row r="3371" customHeight="1" spans="1:31">
      <c r="A3371" s="2" t="s">
        <v>3663</v>
      </c>
      <c r="B3371" s="2">
        <v>96</v>
      </c>
      <c r="C3371" s="2">
        <v>4170647</v>
      </c>
      <c r="D3371" s="2" t="s">
        <v>975</v>
      </c>
      <c r="E3371" s="2" t="s">
        <v>40</v>
      </c>
      <c r="F3371" t="s">
        <v>17</v>
      </c>
      <c r="N3371" s="2" t="s">
        <v>18</v>
      </c>
      <c r="O3371" s="2" t="s">
        <v>31</v>
      </c>
      <c r="P3371" s="2">
        <v>1900000</v>
      </c>
      <c r="Q3371" s="2">
        <v>6.9</v>
      </c>
      <c r="R3371" s="2" t="s">
        <v>5956</v>
      </c>
      <c r="S3371" s="2"/>
      <c r="AC3371" s="2"/>
      <c r="AD3371" t="str">
        <f>IFERROR(__xludf.DUMMYFUNCTION("""COMPUTED_VALUE"""),"Whale Rider ")</f>
        <v>Whale Rider </v>
      </c>
      <c r="AE3371">
        <f t="shared" si="81"/>
        <v>26233</v>
      </c>
    </row>
    <row r="3372" customHeight="1" spans="1:31">
      <c r="A3372" s="2" t="s">
        <v>3665</v>
      </c>
      <c r="B3372" s="2">
        <v>82</v>
      </c>
      <c r="C3372" s="2">
        <v>4142507</v>
      </c>
      <c r="D3372" s="2" t="s">
        <v>607</v>
      </c>
      <c r="E3372" s="2" t="s">
        <v>40</v>
      </c>
      <c r="F3372" t="s">
        <v>83</v>
      </c>
      <c r="N3372" s="2" t="s">
        <v>18</v>
      </c>
      <c r="O3372" s="2" t="s">
        <v>19</v>
      </c>
      <c r="P3372" s="2">
        <v>3000000</v>
      </c>
      <c r="Q3372" s="2">
        <v>4.4</v>
      </c>
      <c r="R3372" s="2" t="s">
        <v>5957</v>
      </c>
      <c r="S3372" s="2"/>
      <c r="AC3372" s="2"/>
      <c r="AD3372" t="str">
        <f>IFERROR(__xludf.DUMMYFUNCTION("""COMPUTED_VALUE"""),"Paa ")</f>
        <v>Paa </v>
      </c>
      <c r="AE3372">
        <f t="shared" si="81"/>
        <v>20772695</v>
      </c>
    </row>
    <row r="3373" customHeight="1" spans="1:31">
      <c r="A3373" s="2" t="s">
        <v>2150</v>
      </c>
      <c r="B3373" s="2">
        <v>109</v>
      </c>
      <c r="C3373" s="2">
        <v>4109095</v>
      </c>
      <c r="D3373" s="2" t="s">
        <v>5958</v>
      </c>
      <c r="E3373" s="2" t="s">
        <v>56</v>
      </c>
      <c r="F3373" t="s">
        <v>24</v>
      </c>
      <c r="N3373" s="2" t="s">
        <v>18</v>
      </c>
      <c r="O3373" s="2" t="s">
        <v>19</v>
      </c>
      <c r="P3373" s="2">
        <v>3000000</v>
      </c>
      <c r="Q3373" s="2">
        <v>6</v>
      </c>
      <c r="R3373" s="2" t="s">
        <v>5959</v>
      </c>
      <c r="S3373" s="2"/>
      <c r="AC3373" s="2"/>
      <c r="AD3373" t="str">
        <f>IFERROR(__xludf.DUMMYFUNCTION("""COMPUTED_VALUE"""),"Night Watch ")</f>
        <v>Night Watch </v>
      </c>
      <c r="AE3373">
        <f t="shared" si="81"/>
        <v>199095</v>
      </c>
    </row>
    <row r="3374" customHeight="1" spans="1:31">
      <c r="A3374" s="2" t="s">
        <v>3667</v>
      </c>
      <c r="B3374" s="2">
        <v>98</v>
      </c>
      <c r="C3374" s="2">
        <v>3902679</v>
      </c>
      <c r="D3374" s="2" t="s">
        <v>3112</v>
      </c>
      <c r="E3374" s="2" t="s">
        <v>14</v>
      </c>
      <c r="F3374" t="s">
        <v>72</v>
      </c>
      <c r="N3374" s="2" t="s">
        <v>18</v>
      </c>
      <c r="O3374" s="2" t="s">
        <v>19</v>
      </c>
      <c r="P3374" s="2">
        <v>3000000</v>
      </c>
      <c r="Q3374" s="2">
        <v>5.3</v>
      </c>
      <c r="R3374" s="2" t="s">
        <v>5960</v>
      </c>
      <c r="S3374" s="2"/>
      <c r="AC3374" s="2"/>
      <c r="AD3374" t="str">
        <f>IFERROR(__xludf.DUMMYFUNCTION("""COMPUTED_VALUE"""),"The Crying Game ")</f>
        <v>The Crying Game </v>
      </c>
      <c r="AE3374">
        <f t="shared" si="81"/>
        <v>1487373</v>
      </c>
    </row>
    <row r="3375" customHeight="1" spans="1:31">
      <c r="A3375" s="2" t="s">
        <v>3669</v>
      </c>
      <c r="B3375" s="2">
        <v>95</v>
      </c>
      <c r="C3375" s="2">
        <v>3559990</v>
      </c>
      <c r="D3375" s="2" t="s">
        <v>383</v>
      </c>
      <c r="E3375" s="2" t="s">
        <v>40</v>
      </c>
      <c r="F3375" t="s">
        <v>30</v>
      </c>
      <c r="N3375" s="2" t="s">
        <v>18</v>
      </c>
      <c r="O3375" s="2" t="s">
        <v>19</v>
      </c>
      <c r="P3375" s="2">
        <v>3000000</v>
      </c>
      <c r="Q3375" s="2">
        <v>5.3</v>
      </c>
      <c r="R3375" s="2" t="s">
        <v>5961</v>
      </c>
      <c r="S3375" s="2"/>
      <c r="AC3375" s="2"/>
      <c r="AD3375" t="str">
        <f>IFERROR(__xludf.DUMMYFUNCTION("""COMPUTED_VALUE"""),"Porky's ")</f>
        <v>Porky's </v>
      </c>
      <c r="AE3375">
        <f t="shared" si="81"/>
        <v>62548888</v>
      </c>
    </row>
    <row r="3376" customHeight="1" spans="1:31">
      <c r="A3376" s="2" t="s">
        <v>3672</v>
      </c>
      <c r="B3376" s="2">
        <v>104</v>
      </c>
      <c r="C3376" s="2">
        <v>3287435</v>
      </c>
      <c r="D3376" s="2" t="s">
        <v>30</v>
      </c>
      <c r="E3376" s="2" t="s">
        <v>30</v>
      </c>
      <c r="F3376" t="s">
        <v>30</v>
      </c>
      <c r="N3376" s="2" t="s">
        <v>18</v>
      </c>
      <c r="O3376" s="2" t="s">
        <v>19</v>
      </c>
      <c r="P3376" s="2">
        <v>4500000</v>
      </c>
      <c r="Q3376" s="2">
        <v>7.1</v>
      </c>
      <c r="R3376" s="2" t="s">
        <v>5962</v>
      </c>
      <c r="S3376" s="2"/>
      <c r="AC3376" s="2"/>
      <c r="AD3376" t="str">
        <f>IFERROR(__xludf.DUMMYFUNCTION("""COMPUTED_VALUE"""),"Survival of the Dead ")</f>
        <v>Survival of the Dead </v>
      </c>
      <c r="AE3376">
        <f t="shared" si="81"/>
        <v>105499906</v>
      </c>
    </row>
    <row r="3377" customHeight="1" spans="1:31">
      <c r="A3377" s="2" t="s">
        <v>3674</v>
      </c>
      <c r="B3377" s="2">
        <v>87</v>
      </c>
      <c r="C3377" s="2">
        <v>3071947</v>
      </c>
      <c r="D3377" s="2" t="s">
        <v>2471</v>
      </c>
      <c r="E3377" s="2" t="s">
        <v>40</v>
      </c>
      <c r="F3377" t="s">
        <v>83</v>
      </c>
      <c r="N3377" s="2" t="s">
        <v>18</v>
      </c>
      <c r="O3377" s="2" t="s">
        <v>19</v>
      </c>
      <c r="P3377" s="2">
        <v>3500000</v>
      </c>
      <c r="Q3377" s="2">
        <v>5.4</v>
      </c>
      <c r="R3377" s="2" t="s">
        <v>5963</v>
      </c>
      <c r="S3377" s="2"/>
      <c r="AC3377" s="2"/>
      <c r="AD3377" t="str">
        <f>IFERROR(__xludf.DUMMYFUNCTION("""COMPUTED_VALUE"""),"Lost in Translation ")</f>
        <v>Lost in Translation </v>
      </c>
      <c r="AE3377">
        <f t="shared" si="81"/>
        <v>100965</v>
      </c>
    </row>
    <row r="3378" customHeight="1" spans="1:31">
      <c r="A3378" s="2" t="s">
        <v>3677</v>
      </c>
      <c r="B3378" s="2">
        <v>108</v>
      </c>
      <c r="C3378" s="2">
        <v>2961991</v>
      </c>
      <c r="D3378" s="2" t="s">
        <v>562</v>
      </c>
      <c r="E3378" s="2" t="s">
        <v>59</v>
      </c>
      <c r="F3378" t="s">
        <v>55</v>
      </c>
      <c r="N3378" s="2" t="s">
        <v>18</v>
      </c>
      <c r="O3378" s="2" t="s">
        <v>19</v>
      </c>
      <c r="P3378" s="2">
        <v>3300000</v>
      </c>
      <c r="Q3378" s="2">
        <v>6.9</v>
      </c>
      <c r="R3378" s="2" t="s">
        <v>5964</v>
      </c>
      <c r="S3378" s="2"/>
      <c r="AC3378" s="2"/>
      <c r="AD3378" t="str">
        <f>IFERROR(__xludf.DUMMYFUNCTION("""COMPUTED_VALUE"""),"Annie Hall ")</f>
        <v>Annie Hall </v>
      </c>
      <c r="AE3378">
        <f t="shared" si="81"/>
        <v>44565903</v>
      </c>
    </row>
    <row r="3379" customHeight="1" spans="1:31">
      <c r="A3379" s="2" t="s">
        <v>317</v>
      </c>
      <c r="B3379" s="2">
        <v>94</v>
      </c>
      <c r="C3379" s="2">
        <v>2912363</v>
      </c>
      <c r="D3379" s="2" t="s">
        <v>718</v>
      </c>
      <c r="E3379" s="2" t="s">
        <v>56</v>
      </c>
      <c r="F3379" t="s">
        <v>65</v>
      </c>
      <c r="N3379" s="2" t="s">
        <v>5965</v>
      </c>
      <c r="O3379" s="2" t="s">
        <v>31</v>
      </c>
      <c r="P3379" s="2">
        <v>3000000</v>
      </c>
      <c r="Q3379" s="2">
        <v>7.3</v>
      </c>
      <c r="R3379" s="2" t="s">
        <v>5966</v>
      </c>
      <c r="S3379" s="2"/>
      <c r="AC3379" s="2"/>
      <c r="AD3379" t="str">
        <f>IFERROR(__xludf.DUMMYFUNCTION("""COMPUTED_VALUE"""),"The Greatest Show on Earth ")</f>
        <v>The Greatest Show on Earth </v>
      </c>
      <c r="AE3379">
        <f t="shared" si="81"/>
        <v>39199907</v>
      </c>
    </row>
    <row r="3380" customHeight="1" spans="1:31">
      <c r="A3380" s="2" t="s">
        <v>3679</v>
      </c>
      <c r="B3380" s="2">
        <v>134</v>
      </c>
      <c r="C3380" s="2">
        <v>3000000</v>
      </c>
      <c r="D3380" s="2" t="s">
        <v>975</v>
      </c>
      <c r="E3380" s="2" t="s">
        <v>40</v>
      </c>
      <c r="F3380" t="s">
        <v>23</v>
      </c>
      <c r="N3380" s="2" t="s">
        <v>18</v>
      </c>
      <c r="O3380" s="2" t="s">
        <v>19</v>
      </c>
      <c r="P3380" s="2">
        <v>3000000</v>
      </c>
      <c r="Q3380" s="2">
        <v>7.8</v>
      </c>
      <c r="R3380" s="2" t="s">
        <v>5967</v>
      </c>
      <c r="S3380" s="2"/>
      <c r="AC3380" s="2"/>
      <c r="AD3380" t="str">
        <f>IFERROR(__xludf.DUMMYFUNCTION("""COMPUTED_VALUE"""),"Monster's Ball ")</f>
        <v>Monster's Ball </v>
      </c>
      <c r="AE3380">
        <f t="shared" si="81"/>
        <v>35999848</v>
      </c>
    </row>
    <row r="3381" customHeight="1" spans="1:31">
      <c r="A3381" s="2" t="s">
        <v>2120</v>
      </c>
      <c r="B3381" s="2">
        <v>89</v>
      </c>
      <c r="C3381" s="2">
        <v>2223990</v>
      </c>
      <c r="D3381" s="2" t="s">
        <v>5711</v>
      </c>
      <c r="E3381" s="2" t="s">
        <v>40</v>
      </c>
      <c r="F3381" t="s">
        <v>17</v>
      </c>
      <c r="N3381" s="2" t="s">
        <v>18</v>
      </c>
      <c r="O3381" s="2" t="s">
        <v>19</v>
      </c>
      <c r="P3381" s="2">
        <v>3000000</v>
      </c>
      <c r="Q3381" s="2">
        <v>6.6</v>
      </c>
      <c r="R3381" s="2" t="s">
        <v>5968</v>
      </c>
      <c r="S3381" s="2"/>
      <c r="AC3381" s="2"/>
      <c r="AD3381" t="str">
        <f>IFERROR(__xludf.DUMMYFUNCTION("""COMPUTED_VALUE"""),"Maggie ")</f>
        <v>Maggie </v>
      </c>
      <c r="AE3381">
        <f t="shared" si="81"/>
        <v>31252852</v>
      </c>
    </row>
    <row r="3382" customHeight="1" spans="1:31">
      <c r="A3382" s="2" t="s">
        <v>1632</v>
      </c>
      <c r="B3382" s="2">
        <v>102</v>
      </c>
      <c r="C3382" s="2">
        <v>1821983</v>
      </c>
      <c r="D3382" s="2" t="s">
        <v>5969</v>
      </c>
      <c r="E3382" s="2" t="s">
        <v>40</v>
      </c>
      <c r="F3382" t="s">
        <v>17</v>
      </c>
      <c r="N3382" s="2" t="s">
        <v>18</v>
      </c>
      <c r="O3382" s="2" t="s">
        <v>19</v>
      </c>
      <c r="P3382" s="2">
        <v>3000000</v>
      </c>
      <c r="Q3382" s="2">
        <v>5.4</v>
      </c>
      <c r="R3382" s="2" t="s">
        <v>5970</v>
      </c>
      <c r="S3382" s="2"/>
      <c r="AC3382" s="2"/>
      <c r="AD3382" t="str">
        <f>IFERROR(__xludf.DUMMYFUNCTION("""COMPUTED_VALUE"""),"Leaving Las Vegas ")</f>
        <v>Leaving Las Vegas </v>
      </c>
      <c r="AE3382">
        <f t="shared" si="81"/>
        <v>131080</v>
      </c>
    </row>
    <row r="3383" customHeight="1" spans="1:31">
      <c r="A3383" s="2" t="s">
        <v>2879</v>
      </c>
      <c r="B3383" s="2">
        <v>120</v>
      </c>
      <c r="C3383" s="2">
        <v>2181290</v>
      </c>
      <c r="D3383" s="2" t="s">
        <v>712</v>
      </c>
      <c r="E3383" s="2" t="s">
        <v>30</v>
      </c>
      <c r="F3383" t="s">
        <v>17</v>
      </c>
      <c r="N3383" s="2" t="s">
        <v>5086</v>
      </c>
      <c r="O3383" s="2" t="s">
        <v>2880</v>
      </c>
      <c r="P3383" s="2">
        <v>3000000</v>
      </c>
      <c r="Q3383" s="2">
        <v>8.4</v>
      </c>
      <c r="R3383" s="2" t="s">
        <v>5971</v>
      </c>
      <c r="S3383" s="2"/>
      <c r="AC3383" s="2"/>
      <c r="AD3383" t="str">
        <f>IFERROR(__xludf.DUMMYFUNCTION("""COMPUTED_VALUE"""),"The Boy Next Door ")</f>
        <v>The Boy Next Door </v>
      </c>
      <c r="AE3383">
        <f t="shared" ref="AE3383:AE3446" si="82">C3267-B3267</f>
        <v>31968236</v>
      </c>
    </row>
    <row r="3384" customHeight="1" spans="1:31">
      <c r="A3384" s="2" t="s">
        <v>3682</v>
      </c>
      <c r="B3384" s="2">
        <v>110</v>
      </c>
      <c r="C3384" s="2">
        <v>2848578</v>
      </c>
      <c r="D3384" s="2" t="s">
        <v>2984</v>
      </c>
      <c r="E3384" s="2" t="s">
        <v>30</v>
      </c>
      <c r="F3384" t="s">
        <v>30</v>
      </c>
      <c r="N3384" s="2" t="s">
        <v>18</v>
      </c>
      <c r="O3384" s="2" t="s">
        <v>19</v>
      </c>
      <c r="P3384" s="2">
        <v>3500000</v>
      </c>
      <c r="Q3384" s="2">
        <v>6.3</v>
      </c>
      <c r="R3384" s="2" t="s">
        <v>5972</v>
      </c>
      <c r="S3384" s="2"/>
      <c r="AC3384" s="2"/>
      <c r="AD3384" t="str">
        <f>IFERROR(__xludf.DUMMYFUNCTION("""COMPUTED_VALUE"""),"The Kids Are All Right ")</f>
        <v>The Kids Are All Right </v>
      </c>
      <c r="AE3384">
        <f t="shared" si="82"/>
        <v>35385469</v>
      </c>
    </row>
    <row r="3385" customHeight="1" spans="1:31">
      <c r="A3385" s="2" t="s">
        <v>3684</v>
      </c>
      <c r="B3385" s="2">
        <v>86</v>
      </c>
      <c r="C3385" s="2">
        <v>703002</v>
      </c>
      <c r="D3385" s="2" t="s">
        <v>628</v>
      </c>
      <c r="E3385" s="2" t="s">
        <v>12</v>
      </c>
      <c r="F3385" t="s">
        <v>30</v>
      </c>
      <c r="N3385" s="2" t="s">
        <v>18</v>
      </c>
      <c r="O3385" s="2" t="s">
        <v>121</v>
      </c>
      <c r="P3385" s="2">
        <v>3000000</v>
      </c>
      <c r="Q3385" s="2">
        <v>6.1</v>
      </c>
      <c r="R3385" s="2" t="s">
        <v>5973</v>
      </c>
      <c r="S3385" s="2"/>
      <c r="AC3385" s="2"/>
      <c r="AD3385" t="str">
        <f>IFERROR(__xludf.DUMMYFUNCTION("""COMPUTED_VALUE"""),"They Live ")</f>
        <v>They Live </v>
      </c>
      <c r="AE3385">
        <f t="shared" si="82"/>
        <v>20803131</v>
      </c>
    </row>
    <row r="3386" customHeight="1" spans="1:31">
      <c r="A3386" s="2" t="s">
        <v>3686</v>
      </c>
      <c r="B3386" s="2">
        <v>101</v>
      </c>
      <c r="C3386" s="2">
        <v>3105269</v>
      </c>
      <c r="D3386" s="2" t="s">
        <v>811</v>
      </c>
      <c r="E3386" s="2" t="s">
        <v>12</v>
      </c>
      <c r="F3386" t="s">
        <v>83</v>
      </c>
      <c r="N3386" s="2" t="s">
        <v>18</v>
      </c>
      <c r="O3386" s="2" t="s">
        <v>4531</v>
      </c>
      <c r="P3386" s="2">
        <v>3000000</v>
      </c>
      <c r="Q3386" s="2">
        <v>5</v>
      </c>
      <c r="R3386" s="2" t="s">
        <v>5974</v>
      </c>
      <c r="S3386" s="2"/>
      <c r="AC3386" s="2"/>
      <c r="AD3386" t="str">
        <f>IFERROR(__xludf.DUMMYFUNCTION("""COMPUTED_VALUE"""),"The Last Exorcism Part II ")</f>
        <v>The Last Exorcism Part II </v>
      </c>
      <c r="AE3386">
        <f t="shared" si="82"/>
        <v>13008835</v>
      </c>
    </row>
    <row r="3387" customHeight="1" spans="1:31">
      <c r="A3387" s="2" t="s">
        <v>3688</v>
      </c>
      <c r="B3387" s="2">
        <v>87</v>
      </c>
      <c r="C3387" s="2">
        <v>418268</v>
      </c>
      <c r="D3387" s="2" t="s">
        <v>607</v>
      </c>
      <c r="E3387" s="2" t="s">
        <v>40</v>
      </c>
      <c r="F3387" t="s">
        <v>65</v>
      </c>
      <c r="N3387" s="2" t="s">
        <v>18</v>
      </c>
      <c r="O3387" s="2" t="s">
        <v>19</v>
      </c>
      <c r="P3387" s="2">
        <v>3000000</v>
      </c>
      <c r="Q3387" s="2">
        <v>5.3</v>
      </c>
      <c r="R3387" s="2" t="s">
        <v>5975</v>
      </c>
      <c r="S3387" s="2"/>
      <c r="AC3387" s="2"/>
      <c r="AD3387" t="str">
        <f>IFERROR(__xludf.DUMMYFUNCTION("""COMPUTED_VALUE"""),"Boyhood ")</f>
        <v>Boyhood </v>
      </c>
      <c r="AE3387">
        <f t="shared" si="82"/>
        <v>15152786</v>
      </c>
    </row>
    <row r="3388" customHeight="1" spans="1:31">
      <c r="A3388" s="2" t="s">
        <v>3690</v>
      </c>
      <c r="B3388" s="2">
        <v>93</v>
      </c>
      <c r="C3388" s="2">
        <v>200803</v>
      </c>
      <c r="D3388" s="2" t="s">
        <v>40</v>
      </c>
      <c r="E3388" s="2" t="s">
        <v>40</v>
      </c>
      <c r="F3388" t="s">
        <v>30</v>
      </c>
      <c r="N3388" s="2" t="s">
        <v>18</v>
      </c>
      <c r="O3388" s="2" t="s">
        <v>19</v>
      </c>
      <c r="P3388" s="2">
        <v>3000000</v>
      </c>
      <c r="Q3388" s="2">
        <v>5.3</v>
      </c>
      <c r="R3388" s="2" t="s">
        <v>5976</v>
      </c>
      <c r="S3388" s="2"/>
      <c r="AC3388" s="2"/>
      <c r="AD3388" t="str">
        <f>IFERROR(__xludf.DUMMYFUNCTION("""COMPUTED_VALUE"""),"Scoop ")</f>
        <v>Scoop </v>
      </c>
      <c r="AE3388">
        <f t="shared" si="82"/>
        <v>25359035</v>
      </c>
    </row>
    <row r="3389" customHeight="1" spans="1:31">
      <c r="A3389" s="2" t="s">
        <v>2893</v>
      </c>
      <c r="B3389" s="2">
        <v>98</v>
      </c>
      <c r="C3389" s="2">
        <v>95016</v>
      </c>
      <c r="D3389" s="2" t="s">
        <v>1826</v>
      </c>
      <c r="E3389" s="2" t="s">
        <v>40</v>
      </c>
      <c r="F3389" t="s">
        <v>39</v>
      </c>
      <c r="N3389" s="2" t="s">
        <v>4574</v>
      </c>
      <c r="O3389" s="2" t="s">
        <v>293</v>
      </c>
      <c r="P3389" s="2">
        <v>2700000</v>
      </c>
      <c r="Q3389" s="2">
        <v>7.4</v>
      </c>
      <c r="R3389" s="2" t="s">
        <v>5977</v>
      </c>
      <c r="S3389" s="2"/>
      <c r="AC3389" s="2"/>
      <c r="AD3389" t="str">
        <f>IFERROR(__xludf.DUMMYFUNCTION("""COMPUTED_VALUE"""),"The Wash ")</f>
        <v>The Wash </v>
      </c>
      <c r="AE3389">
        <f t="shared" si="82"/>
        <v>10515483</v>
      </c>
    </row>
    <row r="3390" customHeight="1" spans="1:31">
      <c r="A3390" s="2" t="s">
        <v>3692</v>
      </c>
      <c r="B3390" s="2">
        <v>100</v>
      </c>
      <c r="C3390" s="2">
        <v>73678</v>
      </c>
      <c r="D3390" s="2" t="s">
        <v>731</v>
      </c>
      <c r="E3390" s="2" t="s">
        <v>30</v>
      </c>
      <c r="F3390" t="s">
        <v>24</v>
      </c>
      <c r="N3390" s="2" t="s">
        <v>18</v>
      </c>
      <c r="O3390" s="2" t="s">
        <v>19</v>
      </c>
      <c r="P3390" s="2">
        <v>3000000</v>
      </c>
      <c r="Q3390" s="2">
        <v>5.9</v>
      </c>
      <c r="R3390" s="2" t="s">
        <v>5978</v>
      </c>
      <c r="S3390" s="2"/>
      <c r="AC3390" s="2"/>
      <c r="AD3390" t="str">
        <f>IFERROR(__xludf.DUMMYFUNCTION("""COMPUTED_VALUE"""),"3 Strikes ")</f>
        <v>3 Strikes </v>
      </c>
      <c r="AE3390">
        <f t="shared" si="82"/>
        <v>10097003</v>
      </c>
    </row>
    <row r="3391" customHeight="1" spans="1:31">
      <c r="A3391" s="2" t="s">
        <v>3694</v>
      </c>
      <c r="B3391" s="2">
        <v>88</v>
      </c>
      <c r="C3391" s="2">
        <v>143000</v>
      </c>
      <c r="D3391" s="2" t="s">
        <v>2781</v>
      </c>
      <c r="E3391" s="2" t="s">
        <v>72</v>
      </c>
      <c r="F3391" t="s">
        <v>72</v>
      </c>
      <c r="N3391" s="2" t="s">
        <v>18</v>
      </c>
      <c r="O3391" s="2" t="s">
        <v>19</v>
      </c>
      <c r="P3391" s="2">
        <v>5000000</v>
      </c>
      <c r="Q3391" s="2">
        <v>4.1</v>
      </c>
      <c r="R3391" s="2" t="s">
        <v>5979</v>
      </c>
      <c r="S3391" s="2"/>
      <c r="AC3391" s="2"/>
      <c r="AD3391" t="str">
        <f>IFERROR(__xludf.DUMMYFUNCTION("""COMPUTED_VALUE"""),"The Cooler ")</f>
        <v>The Cooler </v>
      </c>
      <c r="AE3391">
        <f t="shared" si="82"/>
        <v>9821253</v>
      </c>
    </row>
    <row r="3392" customHeight="1" spans="1:31">
      <c r="A3392" s="2" t="s">
        <v>3696</v>
      </c>
      <c r="B3392" s="2">
        <v>97</v>
      </c>
      <c r="C3392" s="2">
        <v>39852</v>
      </c>
      <c r="D3392" s="2" t="s">
        <v>975</v>
      </c>
      <c r="E3392" s="2" t="s">
        <v>40</v>
      </c>
      <c r="F3392" t="s">
        <v>56</v>
      </c>
      <c r="N3392" s="2" t="s">
        <v>18</v>
      </c>
      <c r="O3392" s="2" t="s">
        <v>19</v>
      </c>
      <c r="P3392" s="2">
        <v>3000000</v>
      </c>
      <c r="Q3392" s="2">
        <v>6.7</v>
      </c>
      <c r="R3392" s="2" t="s">
        <v>5980</v>
      </c>
      <c r="S3392" s="2"/>
      <c r="AC3392" s="2"/>
      <c r="AD3392" t="str">
        <f>IFERROR(__xludf.DUMMYFUNCTION("""COMPUTED_VALUE"""),"The Night Listener ")</f>
        <v>The Night Listener </v>
      </c>
      <c r="AE3392">
        <f t="shared" si="82"/>
        <v>8243779</v>
      </c>
    </row>
    <row r="3393" customHeight="1" spans="1:31">
      <c r="A3393" s="2" t="s">
        <v>2436</v>
      </c>
      <c r="B3393" s="2">
        <v>122</v>
      </c>
      <c r="C3393" s="2">
        <v>22000</v>
      </c>
      <c r="D3393" s="2" t="s">
        <v>1045</v>
      </c>
      <c r="E3393" s="2" t="s">
        <v>30</v>
      </c>
      <c r="F3393" t="s">
        <v>28</v>
      </c>
      <c r="N3393" s="2" t="s">
        <v>18</v>
      </c>
      <c r="O3393" s="2" t="s">
        <v>293</v>
      </c>
      <c r="P3393" s="2">
        <v>3000000</v>
      </c>
      <c r="Q3393" s="2">
        <v>5.8</v>
      </c>
      <c r="R3393" s="2" t="s">
        <v>5981</v>
      </c>
      <c r="S3393" s="2"/>
      <c r="AC3393" s="2"/>
      <c r="AD3393" t="str">
        <f>IFERROR(__xludf.DUMMYFUNCTION("""COMPUTED_VALUE"""),"The Orphanage ")</f>
        <v>The Orphanage </v>
      </c>
      <c r="AE3393">
        <f t="shared" si="82"/>
        <v>7825739</v>
      </c>
    </row>
    <row r="3394" customHeight="1" spans="1:31">
      <c r="A3394" s="2" t="s">
        <v>3699</v>
      </c>
      <c r="B3394" s="2">
        <v>96</v>
      </c>
      <c r="C3394" s="2">
        <v>5005</v>
      </c>
      <c r="D3394" s="2" t="s">
        <v>30</v>
      </c>
      <c r="E3394" s="2" t="s">
        <v>30</v>
      </c>
      <c r="F3394" t="s">
        <v>40</v>
      </c>
      <c r="N3394" s="2" t="s">
        <v>18</v>
      </c>
      <c r="O3394" s="2" t="s">
        <v>19</v>
      </c>
      <c r="P3394" s="2">
        <v>3000000</v>
      </c>
      <c r="Q3394" s="2">
        <v>5.9</v>
      </c>
      <c r="R3394" s="2" t="s">
        <v>5982</v>
      </c>
      <c r="S3394" s="2"/>
      <c r="AC3394" s="2"/>
      <c r="AD3394" t="str">
        <f>IFERROR(__xludf.DUMMYFUNCTION("""COMPUTED_VALUE"""),"A Haunted House 2 ")</f>
        <v>A Haunted House 2 </v>
      </c>
      <c r="AE3394">
        <f t="shared" si="82"/>
        <v>7159042</v>
      </c>
    </row>
    <row r="3395" customHeight="1" spans="1:31">
      <c r="A3395" s="2" t="s">
        <v>1139</v>
      </c>
      <c r="B3395" s="2">
        <v>113</v>
      </c>
      <c r="C3395" s="2">
        <v>5595428</v>
      </c>
      <c r="D3395" s="2" t="s">
        <v>30</v>
      </c>
      <c r="E3395" s="2" t="s">
        <v>30</v>
      </c>
      <c r="F3395" t="s">
        <v>65</v>
      </c>
      <c r="N3395" s="2" t="s">
        <v>5590</v>
      </c>
      <c r="O3395" s="2" t="s">
        <v>5591</v>
      </c>
      <c r="P3395" s="2">
        <v>2900000</v>
      </c>
      <c r="Q3395" s="2">
        <v>8</v>
      </c>
      <c r="R3395" s="2" t="s">
        <v>5983</v>
      </c>
      <c r="S3395" s="2"/>
      <c r="AC3395" s="2"/>
      <c r="AD3395" t="str">
        <f>IFERROR(__xludf.DUMMYFUNCTION("""COMPUTED_VALUE"""),"The Rules of Attraction ")</f>
        <v>The Rules of Attraction </v>
      </c>
      <c r="AE3395">
        <f t="shared" si="82"/>
        <v>17314397</v>
      </c>
    </row>
    <row r="3396" customHeight="1" spans="1:31">
      <c r="A3396" s="2" t="s">
        <v>3701</v>
      </c>
      <c r="B3396" s="2">
        <v>105</v>
      </c>
      <c r="C3396" s="2">
        <v>3123749</v>
      </c>
      <c r="D3396" s="2" t="s">
        <v>607</v>
      </c>
      <c r="E3396" s="2" t="s">
        <v>40</v>
      </c>
      <c r="F3396" t="s">
        <v>30</v>
      </c>
      <c r="N3396" s="2" t="s">
        <v>18</v>
      </c>
      <c r="O3396" s="2" t="s">
        <v>19</v>
      </c>
      <c r="P3396" s="2">
        <v>1500000</v>
      </c>
      <c r="Q3396" s="2">
        <v>6.5</v>
      </c>
      <c r="R3396" s="2" t="s">
        <v>5984</v>
      </c>
      <c r="S3396" s="2"/>
      <c r="AC3396" s="2"/>
      <c r="AD3396" t="str">
        <f>IFERROR(__xludf.DUMMYFUNCTION("""COMPUTED_VALUE"""),"Four Rooms ")</f>
        <v>Four Rooms </v>
      </c>
      <c r="AE3396">
        <f t="shared" si="82"/>
        <v>6525652</v>
      </c>
    </row>
    <row r="3397" customHeight="1" spans="1:31">
      <c r="A3397" s="2" t="s">
        <v>3703</v>
      </c>
      <c r="B3397" s="2">
        <v>93</v>
      </c>
      <c r="C3397" s="2">
        <v>100675</v>
      </c>
      <c r="D3397" s="2" t="s">
        <v>65</v>
      </c>
      <c r="E3397" s="2" t="s">
        <v>65</v>
      </c>
      <c r="F3397" t="s">
        <v>30</v>
      </c>
      <c r="N3397" s="2" t="s">
        <v>18</v>
      </c>
      <c r="O3397" s="2" t="s">
        <v>19</v>
      </c>
      <c r="P3397" s="2">
        <v>3000000</v>
      </c>
      <c r="Q3397" s="2">
        <v>6.4</v>
      </c>
      <c r="R3397" s="2" t="s">
        <v>5985</v>
      </c>
      <c r="S3397" s="2"/>
      <c r="AC3397" s="2"/>
      <c r="AD3397" t="str">
        <f>IFERROR(__xludf.DUMMYFUNCTION("""COMPUTED_VALUE"""),"Secretary ")</f>
        <v>Secretary </v>
      </c>
      <c r="AE3397">
        <f t="shared" si="82"/>
        <v>4301221</v>
      </c>
    </row>
    <row r="3398" customHeight="1" spans="1:31">
      <c r="A3398" s="2" t="s">
        <v>1677</v>
      </c>
      <c r="B3398" s="2">
        <v>89</v>
      </c>
      <c r="C3398" s="2">
        <v>3645438</v>
      </c>
      <c r="D3398" s="2" t="s">
        <v>72</v>
      </c>
      <c r="E3398" s="2" t="s">
        <v>72</v>
      </c>
      <c r="F3398" t="s">
        <v>30</v>
      </c>
      <c r="N3398" s="2" t="s">
        <v>1125</v>
      </c>
      <c r="O3398" s="2" t="s">
        <v>707</v>
      </c>
      <c r="P3398" s="2">
        <v>2200000</v>
      </c>
      <c r="Q3398" s="2">
        <v>6.8</v>
      </c>
      <c r="R3398" s="2" t="s">
        <v>5986</v>
      </c>
      <c r="S3398" s="2"/>
      <c r="AC3398" s="2"/>
      <c r="AD3398" t="str">
        <f>IFERROR(__xludf.DUMMYFUNCTION("""COMPUTED_VALUE"""),"The Real Cancun ")</f>
        <v>The Real Cancun </v>
      </c>
      <c r="AE3398">
        <f t="shared" si="82"/>
        <v>4046633</v>
      </c>
    </row>
    <row r="3399" customHeight="1" spans="1:31">
      <c r="A3399" s="2" t="s">
        <v>2641</v>
      </c>
      <c r="B3399" s="2">
        <v>116</v>
      </c>
      <c r="C3399" s="2">
        <v>22201636</v>
      </c>
      <c r="D3399" s="2" t="s">
        <v>2299</v>
      </c>
      <c r="E3399" s="2" t="s">
        <v>56</v>
      </c>
      <c r="F3399" t="s">
        <v>17</v>
      </c>
      <c r="N3399" s="2" t="s">
        <v>18</v>
      </c>
      <c r="O3399" s="2" t="s">
        <v>19</v>
      </c>
      <c r="P3399" s="2">
        <v>8000000</v>
      </c>
      <c r="Q3399" s="2">
        <v>7.4</v>
      </c>
      <c r="R3399" s="2" t="s">
        <v>5987</v>
      </c>
      <c r="S3399" s="2"/>
      <c r="AC3399" s="2"/>
      <c r="AD3399" t="str">
        <f>IFERROR(__xludf.DUMMYFUNCTION("""COMPUTED_VALUE"""),"Talk Radio ")</f>
        <v>Talk Radio </v>
      </c>
      <c r="AE3399">
        <f t="shared" si="82"/>
        <v>3712906</v>
      </c>
    </row>
    <row r="3400" customHeight="1" spans="1:31">
      <c r="A3400" s="2" t="s">
        <v>3706</v>
      </c>
      <c r="B3400" s="2">
        <v>120</v>
      </c>
      <c r="C3400" s="2">
        <v>25000000</v>
      </c>
      <c r="D3400" s="2" t="s">
        <v>4708</v>
      </c>
      <c r="E3400" s="2" t="s">
        <v>40</v>
      </c>
      <c r="F3400" t="s">
        <v>14</v>
      </c>
      <c r="N3400" s="2" t="s">
        <v>18</v>
      </c>
      <c r="O3400" s="2" t="s">
        <v>19</v>
      </c>
      <c r="P3400" s="2">
        <v>2883848</v>
      </c>
      <c r="Q3400" s="2">
        <v>8.3</v>
      </c>
      <c r="R3400" s="2" t="s">
        <v>5988</v>
      </c>
      <c r="S3400" s="2"/>
      <c r="AC3400" s="2"/>
      <c r="AD3400" t="str">
        <f>IFERROR(__xludf.DUMMYFUNCTION("""COMPUTED_VALUE"""),"Waiting for Guffman ")</f>
        <v>Waiting for Guffman </v>
      </c>
      <c r="AE3400">
        <f t="shared" si="82"/>
        <v>3468462</v>
      </c>
    </row>
    <row r="3401" customHeight="1" spans="1:31">
      <c r="A3401" s="2" t="s">
        <v>3708</v>
      </c>
      <c r="B3401" s="2">
        <v>88</v>
      </c>
      <c r="C3401" s="2">
        <v>19170001</v>
      </c>
      <c r="D3401" s="2" t="s">
        <v>72</v>
      </c>
      <c r="E3401" s="2" t="s">
        <v>72</v>
      </c>
      <c r="F3401" t="s">
        <v>30</v>
      </c>
      <c r="N3401" s="2" t="s">
        <v>18</v>
      </c>
      <c r="O3401" s="2" t="s">
        <v>19</v>
      </c>
      <c r="P3401" s="2">
        <v>2800000</v>
      </c>
      <c r="Q3401" s="2">
        <v>5.3</v>
      </c>
      <c r="R3401" s="2" t="s">
        <v>5989</v>
      </c>
      <c r="S3401" s="2"/>
      <c r="AC3401" s="2"/>
      <c r="AD3401" t="str">
        <f>IFERROR(__xludf.DUMMYFUNCTION("""COMPUTED_VALUE"""),"Love Stinks ")</f>
        <v>Love Stinks </v>
      </c>
      <c r="AE3401">
        <f t="shared" si="82"/>
        <v>2892498</v>
      </c>
    </row>
    <row r="3402" customHeight="1" spans="1:31">
      <c r="A3402" s="2" t="s">
        <v>3588</v>
      </c>
      <c r="B3402" s="2">
        <v>102</v>
      </c>
      <c r="C3402" s="2">
        <v>22202612</v>
      </c>
      <c r="D3402" s="2" t="s">
        <v>4118</v>
      </c>
      <c r="E3402" s="2" t="s">
        <v>13</v>
      </c>
      <c r="F3402" t="s">
        <v>30</v>
      </c>
      <c r="N3402" s="2" t="s">
        <v>18</v>
      </c>
      <c r="O3402" s="2" t="s">
        <v>19</v>
      </c>
      <c r="P3402" s="2">
        <v>2800000</v>
      </c>
      <c r="Q3402" s="2">
        <v>8.1</v>
      </c>
      <c r="R3402" s="2" t="s">
        <v>5990</v>
      </c>
      <c r="S3402" s="2"/>
      <c r="AC3402" s="2"/>
      <c r="AD3402" t="str">
        <f>IFERROR(__xludf.DUMMYFUNCTION("""COMPUTED_VALUE"""),"You Kill Me ")</f>
        <v>You Kill Me </v>
      </c>
      <c r="AE3402">
        <f t="shared" si="82"/>
        <v>2799906</v>
      </c>
    </row>
    <row r="3403" customHeight="1" spans="1:31">
      <c r="A3403" s="2" t="s">
        <v>2152</v>
      </c>
      <c r="B3403" s="2">
        <v>106</v>
      </c>
      <c r="C3403" s="2">
        <v>86300000</v>
      </c>
      <c r="D3403" s="2" t="s">
        <v>40</v>
      </c>
      <c r="E3403" s="2" t="s">
        <v>40</v>
      </c>
      <c r="F3403" t="s">
        <v>30</v>
      </c>
      <c r="N3403" s="2" t="s">
        <v>18</v>
      </c>
      <c r="O3403" s="2" t="s">
        <v>19</v>
      </c>
      <c r="P3403" s="2">
        <v>2800000</v>
      </c>
      <c r="Q3403" s="2">
        <v>8</v>
      </c>
      <c r="R3403" s="2" t="s">
        <v>5991</v>
      </c>
      <c r="S3403" s="2"/>
      <c r="AC3403" s="2"/>
      <c r="AD3403" t="str">
        <f>IFERROR(__xludf.DUMMYFUNCTION("""COMPUTED_VALUE"""),"Thumbsucker ")</f>
        <v>Thumbsucker </v>
      </c>
      <c r="AE3403">
        <f t="shared" si="82"/>
        <v>2426758</v>
      </c>
    </row>
    <row r="3404" customHeight="1" spans="1:31">
      <c r="A3404" s="2" t="s">
        <v>2369</v>
      </c>
      <c r="B3404" s="2">
        <v>95</v>
      </c>
      <c r="C3404" s="2">
        <v>952620</v>
      </c>
      <c r="D3404" s="2" t="s">
        <v>72</v>
      </c>
      <c r="E3404" s="2" t="s">
        <v>72</v>
      </c>
      <c r="F3404" t="s">
        <v>56</v>
      </c>
      <c r="N3404" s="2" t="s">
        <v>18</v>
      </c>
      <c r="O3404" s="2" t="s">
        <v>19</v>
      </c>
      <c r="P3404" s="2">
        <v>2000000</v>
      </c>
      <c r="Q3404" s="2">
        <v>5.7</v>
      </c>
      <c r="R3404" s="2" t="s">
        <v>5992</v>
      </c>
      <c r="S3404" s="2"/>
      <c r="AC3404" s="2"/>
      <c r="AD3404" t="str">
        <f>IFERROR(__xludf.DUMMYFUNCTION("""COMPUTED_VALUE"""),"Mirrormask ")</f>
        <v>Mirrormask </v>
      </c>
      <c r="AE3404">
        <f t="shared" si="82"/>
        <v>1324977</v>
      </c>
    </row>
    <row r="3405" customHeight="1" spans="1:31">
      <c r="A3405" s="2" t="s">
        <v>3711</v>
      </c>
      <c r="B3405" s="2">
        <v>113</v>
      </c>
      <c r="C3405" s="2">
        <v>9054736</v>
      </c>
      <c r="D3405" s="2" t="s">
        <v>30</v>
      </c>
      <c r="E3405" s="2" t="s">
        <v>30</v>
      </c>
      <c r="F3405" t="s">
        <v>83</v>
      </c>
      <c r="N3405" s="2" t="s">
        <v>18</v>
      </c>
      <c r="O3405" s="2" t="s">
        <v>19</v>
      </c>
      <c r="P3405" s="2">
        <v>2700000</v>
      </c>
      <c r="Q3405" s="2">
        <v>7.1</v>
      </c>
      <c r="R3405" s="2" t="s">
        <v>5993</v>
      </c>
      <c r="S3405" s="2"/>
      <c r="AC3405" s="2"/>
      <c r="AD3405" t="str">
        <f>IFERROR(__xludf.DUMMYFUNCTION("""COMPUTED_VALUE"""),"Samsara ")</f>
        <v>Samsara </v>
      </c>
      <c r="AE3405">
        <f t="shared" si="82"/>
        <v>864858</v>
      </c>
    </row>
    <row r="3406" customHeight="1" spans="1:31">
      <c r="A3406" s="2" t="s">
        <v>2152</v>
      </c>
      <c r="B3406" s="2">
        <v>93</v>
      </c>
      <c r="C3406" s="2">
        <v>119500000</v>
      </c>
      <c r="D3406" s="2" t="s">
        <v>2750</v>
      </c>
      <c r="E3406" s="2" t="s">
        <v>40</v>
      </c>
      <c r="F3406" t="s">
        <v>72</v>
      </c>
      <c r="N3406" s="2" t="s">
        <v>18</v>
      </c>
      <c r="O3406" s="2" t="s">
        <v>19</v>
      </c>
      <c r="P3406" s="2">
        <v>2600000</v>
      </c>
      <c r="Q3406" s="2">
        <v>7.8</v>
      </c>
      <c r="R3406" s="2" t="s">
        <v>5994</v>
      </c>
      <c r="S3406" s="2"/>
      <c r="AC3406" s="2"/>
      <c r="AD3406" t="str">
        <f>IFERROR(__xludf.DUMMYFUNCTION("""COMPUTED_VALUE"""),"The Barbarians ")</f>
        <v>The Barbarians </v>
      </c>
      <c r="AE3406">
        <f t="shared" si="82"/>
        <v>2601745</v>
      </c>
    </row>
    <row r="3407" customHeight="1" spans="1:31">
      <c r="A3407" s="2" t="s">
        <v>3713</v>
      </c>
      <c r="B3407" s="2">
        <v>97</v>
      </c>
      <c r="C3407" s="2">
        <v>32600000</v>
      </c>
      <c r="D3407" s="2" t="s">
        <v>2781</v>
      </c>
      <c r="E3407" s="2" t="s">
        <v>72</v>
      </c>
      <c r="F3407" t="s">
        <v>15</v>
      </c>
      <c r="N3407" s="2" t="s">
        <v>18</v>
      </c>
      <c r="O3407" s="2" t="s">
        <v>19</v>
      </c>
      <c r="P3407" s="2">
        <v>1800000</v>
      </c>
      <c r="Q3407" s="2">
        <v>5.9</v>
      </c>
      <c r="R3407" s="2" t="s">
        <v>5995</v>
      </c>
      <c r="S3407" s="2"/>
      <c r="AC3407" s="2"/>
      <c r="AD3407" t="str">
        <f>IFERROR(__xludf.DUMMYFUNCTION("""COMPUTED_VALUE"""),"Poolhall Junkies ")</f>
        <v>Poolhall Junkies </v>
      </c>
      <c r="AE3407">
        <f t="shared" si="82"/>
        <v>799913</v>
      </c>
    </row>
    <row r="3408" customHeight="1" spans="1:31">
      <c r="A3408" s="2" t="s">
        <v>2529</v>
      </c>
      <c r="B3408" s="2">
        <v>140</v>
      </c>
      <c r="C3408" s="2">
        <v>3130592</v>
      </c>
      <c r="D3408" s="2" t="s">
        <v>103</v>
      </c>
      <c r="E3408" s="2" t="s">
        <v>30</v>
      </c>
      <c r="F3408" t="s">
        <v>56</v>
      </c>
      <c r="N3408" s="2" t="s">
        <v>18</v>
      </c>
      <c r="O3408" s="2" t="s">
        <v>31</v>
      </c>
      <c r="P3408" s="2">
        <v>2600000</v>
      </c>
      <c r="Q3408" s="2">
        <v>7.8</v>
      </c>
      <c r="R3408" s="2" t="s">
        <v>5996</v>
      </c>
      <c r="S3408" s="2"/>
      <c r="AC3408" s="2"/>
      <c r="AD3408" t="str">
        <f>IFERROR(__xludf.DUMMYFUNCTION("""COMPUTED_VALUE"""),"The Loss of Sexual Innocence ")</f>
        <v>The Loss of Sexual Innocence </v>
      </c>
      <c r="AE3408">
        <f t="shared" si="82"/>
        <v>561960</v>
      </c>
    </row>
    <row r="3409" customHeight="1" spans="1:31">
      <c r="A3409" s="2" t="s">
        <v>3715</v>
      </c>
      <c r="B3409" s="2">
        <v>86</v>
      </c>
      <c r="C3409" s="2">
        <v>475000</v>
      </c>
      <c r="D3409" s="2" t="s">
        <v>1581</v>
      </c>
      <c r="E3409" s="2" t="s">
        <v>40</v>
      </c>
      <c r="F3409" t="s">
        <v>30</v>
      </c>
      <c r="N3409" s="2" t="s">
        <v>18</v>
      </c>
      <c r="O3409" s="2" t="s">
        <v>19</v>
      </c>
      <c r="P3409" s="2">
        <v>2800000</v>
      </c>
      <c r="Q3409" s="2">
        <v>6</v>
      </c>
      <c r="R3409" s="2" t="s">
        <v>5997</v>
      </c>
      <c r="S3409" s="2"/>
      <c r="AC3409" s="2"/>
      <c r="AD3409" t="str">
        <f>IFERROR(__xludf.DUMMYFUNCTION("""COMPUTED_VALUE"""),"Joe ")</f>
        <v>Joe </v>
      </c>
      <c r="AE3409">
        <f t="shared" si="82"/>
        <v>399687</v>
      </c>
    </row>
    <row r="3410" customHeight="1" spans="1:31">
      <c r="A3410" s="2" t="s">
        <v>3717</v>
      </c>
      <c r="B3410" s="2">
        <v>66</v>
      </c>
      <c r="C3410" s="2">
        <v>38108</v>
      </c>
      <c r="D3410" s="2" t="s">
        <v>1738</v>
      </c>
      <c r="E3410" s="2" t="s">
        <v>72</v>
      </c>
      <c r="N3410" s="2" t="s">
        <v>1081</v>
      </c>
      <c r="O3410" s="2" t="s">
        <v>1431</v>
      </c>
      <c r="P3410" s="2">
        <v>2600000</v>
      </c>
      <c r="Q3410" s="2">
        <v>7.2</v>
      </c>
      <c r="R3410" s="2" t="s">
        <v>5998</v>
      </c>
      <c r="S3410" s="2"/>
      <c r="AC3410" s="2"/>
      <c r="AD3410" t="str">
        <f>IFERROR(__xludf.DUMMYFUNCTION("""COMPUTED_VALUE"""),"Shooting Fish ")</f>
        <v>Shooting Fish </v>
      </c>
      <c r="AE3410">
        <f t="shared" si="82"/>
        <v>371780</v>
      </c>
    </row>
    <row r="3411" customHeight="1" spans="1:31">
      <c r="A3411" s="2" t="s">
        <v>3464</v>
      </c>
      <c r="B3411" s="2">
        <v>86</v>
      </c>
      <c r="C3411" s="2">
        <v>40041683</v>
      </c>
      <c r="D3411" s="2" t="s">
        <v>1086</v>
      </c>
      <c r="E3411" s="2" t="s">
        <v>40</v>
      </c>
      <c r="N3411" s="2" t="s">
        <v>18</v>
      </c>
      <c r="O3411" s="2" t="s">
        <v>19</v>
      </c>
      <c r="P3411" s="2">
        <v>2500000</v>
      </c>
      <c r="Q3411" s="2">
        <v>5.1</v>
      </c>
      <c r="R3411" s="2" t="s">
        <v>5999</v>
      </c>
      <c r="S3411" s="2"/>
      <c r="AC3411" s="2"/>
      <c r="AD3411" t="str">
        <f>IFERROR(__xludf.DUMMYFUNCTION("""COMPUTED_VALUE"""),"Prison ")</f>
        <v>Prison </v>
      </c>
      <c r="AE3411">
        <f t="shared" si="82"/>
        <v>302105</v>
      </c>
    </row>
    <row r="3412" customHeight="1" spans="1:31">
      <c r="A3412" s="2" t="s">
        <v>3719</v>
      </c>
      <c r="B3412" s="2">
        <v>87</v>
      </c>
      <c r="C3412" s="2">
        <v>33349949</v>
      </c>
      <c r="D3412" s="2" t="s">
        <v>65</v>
      </c>
      <c r="E3412" s="2" t="s">
        <v>65</v>
      </c>
      <c r="N3412" s="2" t="s">
        <v>18</v>
      </c>
      <c r="O3412" s="2" t="s">
        <v>19</v>
      </c>
      <c r="P3412" s="2">
        <v>2500000</v>
      </c>
      <c r="Q3412" s="2">
        <v>5.1</v>
      </c>
      <c r="R3412" s="2" t="s">
        <v>6000</v>
      </c>
      <c r="S3412" s="2"/>
      <c r="AC3412" s="2"/>
      <c r="AD3412" t="str">
        <f>IFERROR(__xludf.DUMMYFUNCTION("""COMPUTED_VALUE"""),"Psycho Beach Party ")</f>
        <v>Psycho Beach Party </v>
      </c>
      <c r="AE3412">
        <f t="shared" si="82"/>
        <v>354602</v>
      </c>
    </row>
    <row r="3413" customHeight="1" spans="1:31">
      <c r="A3413" s="2" t="s">
        <v>1840</v>
      </c>
      <c r="B3413" s="2">
        <v>149</v>
      </c>
      <c r="C3413" s="2">
        <v>25809813</v>
      </c>
      <c r="D3413" s="2" t="s">
        <v>3722</v>
      </c>
      <c r="E3413" s="2" t="s">
        <v>40</v>
      </c>
      <c r="N3413" s="2" t="s">
        <v>18</v>
      </c>
      <c r="O3413" s="2" t="s">
        <v>19</v>
      </c>
      <c r="P3413" s="2">
        <v>26000000</v>
      </c>
      <c r="Q3413" s="2">
        <v>6.9</v>
      </c>
      <c r="R3413" s="2" t="s">
        <v>6001</v>
      </c>
      <c r="S3413" s="2"/>
      <c r="AC3413" s="2"/>
      <c r="AD3413" t="str">
        <f>IFERROR(__xludf.DUMMYFUNCTION("""COMPUTED_VALUE"""),"The Big Tease ")</f>
        <v>The Big Tease </v>
      </c>
      <c r="AE3413">
        <f t="shared" si="82"/>
        <v>265022</v>
      </c>
    </row>
    <row r="3414" customHeight="1" spans="1:31">
      <c r="A3414" s="2" t="s">
        <v>3721</v>
      </c>
      <c r="B3414" s="2">
        <v>98</v>
      </c>
      <c r="C3414" s="2">
        <v>14400000</v>
      </c>
      <c r="D3414" s="2" t="s">
        <v>2946</v>
      </c>
      <c r="E3414" s="2" t="s">
        <v>72</v>
      </c>
      <c r="N3414" s="2" t="s">
        <v>18</v>
      </c>
      <c r="O3414" s="2" t="s">
        <v>19</v>
      </c>
      <c r="P3414" s="2">
        <v>2500000</v>
      </c>
      <c r="Q3414" s="2">
        <v>4.6</v>
      </c>
      <c r="R3414" s="2" t="s">
        <v>6002</v>
      </c>
      <c r="S3414" s="2"/>
      <c r="AC3414" s="2"/>
      <c r="AD3414" t="str">
        <f>IFERROR(__xludf.DUMMYFUNCTION("""COMPUTED_VALUE"""),"Buen Día, Ramón ")</f>
        <v>Buen Día, Ramón </v>
      </c>
      <c r="AE3414">
        <f t="shared" si="82"/>
        <v>185491</v>
      </c>
    </row>
    <row r="3415" customHeight="1" spans="1:31">
      <c r="A3415" s="2" t="s">
        <v>3724</v>
      </c>
      <c r="B3415" s="2">
        <v>75</v>
      </c>
      <c r="C3415" s="2">
        <v>32230907</v>
      </c>
      <c r="D3415" s="2" t="s">
        <v>5711</v>
      </c>
      <c r="E3415" s="2" t="s">
        <v>40</v>
      </c>
      <c r="N3415" s="2" t="s">
        <v>18</v>
      </c>
      <c r="O3415" s="2" t="s">
        <v>19</v>
      </c>
      <c r="P3415" s="2">
        <v>2500000</v>
      </c>
      <c r="Q3415" s="2">
        <v>6.7</v>
      </c>
      <c r="R3415" s="2" t="s">
        <v>6003</v>
      </c>
      <c r="S3415" s="2"/>
      <c r="AC3415" s="2"/>
      <c r="AD3415" t="str">
        <f>IFERROR(__xludf.DUMMYFUNCTION("""COMPUTED_VALUE"""),"Trust ")</f>
        <v>Trust </v>
      </c>
      <c r="AE3415">
        <f t="shared" si="82"/>
        <v>100292</v>
      </c>
    </row>
    <row r="3416" customHeight="1" spans="1:31">
      <c r="A3416" s="2" t="s">
        <v>1453</v>
      </c>
      <c r="B3416" s="2">
        <v>104</v>
      </c>
      <c r="C3416" s="2">
        <v>6401336</v>
      </c>
      <c r="D3416" s="2" t="s">
        <v>30</v>
      </c>
      <c r="E3416" s="2" t="s">
        <v>30</v>
      </c>
      <c r="N3416" s="2" t="s">
        <v>18</v>
      </c>
      <c r="O3416" s="2" t="s">
        <v>19</v>
      </c>
      <c r="P3416" s="2">
        <v>2500000</v>
      </c>
      <c r="Q3416" s="2">
        <v>7.1</v>
      </c>
      <c r="R3416" s="2" t="s">
        <v>6004</v>
      </c>
      <c r="S3416" s="2"/>
      <c r="AC3416" s="2"/>
      <c r="AD3416" t="str">
        <f>IFERROR(__xludf.DUMMYFUNCTION("""COMPUTED_VALUE"""),"An Everlasting Piece ")</f>
        <v>An Everlasting Piece </v>
      </c>
      <c r="AE3416">
        <f t="shared" si="82"/>
        <v>58108</v>
      </c>
    </row>
    <row r="3417" customHeight="1" spans="1:31">
      <c r="A3417" s="2" t="s">
        <v>3360</v>
      </c>
      <c r="B3417" s="2">
        <v>102</v>
      </c>
      <c r="C3417" s="2">
        <v>26781723</v>
      </c>
      <c r="D3417" s="2" t="s">
        <v>521</v>
      </c>
      <c r="E3417" s="2" t="s">
        <v>40</v>
      </c>
      <c r="N3417" s="2" t="s">
        <v>18</v>
      </c>
      <c r="O3417" s="2" t="s">
        <v>19</v>
      </c>
      <c r="P3417" s="2">
        <v>2500000</v>
      </c>
      <c r="Q3417" s="2">
        <v>7.6</v>
      </c>
      <c r="R3417" s="2" t="s">
        <v>6005</v>
      </c>
      <c r="S3417" s="2"/>
      <c r="AC3417" s="2"/>
      <c r="AD3417" t="str">
        <f>IFERROR(__xludf.DUMMYFUNCTION("""COMPUTED_VALUE"""),"Among Giants ")</f>
        <v>Among Giants </v>
      </c>
      <c r="AE3417">
        <f t="shared" si="82"/>
        <v>74975</v>
      </c>
    </row>
    <row r="3418" customHeight="1" spans="1:31">
      <c r="A3418" s="2" t="s">
        <v>1971</v>
      </c>
      <c r="B3418" s="2">
        <v>105</v>
      </c>
      <c r="C3418" s="2">
        <v>5400000</v>
      </c>
      <c r="D3418" s="2" t="s">
        <v>103</v>
      </c>
      <c r="E3418" s="2" t="s">
        <v>30</v>
      </c>
      <c r="N3418" s="2" t="s">
        <v>18</v>
      </c>
      <c r="O3418" s="2" t="s">
        <v>19</v>
      </c>
      <c r="P3418" s="2">
        <v>2500000</v>
      </c>
      <c r="Q3418" s="2">
        <v>8.1</v>
      </c>
      <c r="R3418" s="2" t="s">
        <v>6006</v>
      </c>
      <c r="S3418" s="2"/>
      <c r="AC3418" s="2"/>
      <c r="AD3418" t="str">
        <f>IFERROR(__xludf.DUMMYFUNCTION("""COMPUTED_VALUE"""),"Adore ")</f>
        <v>Adore </v>
      </c>
      <c r="AE3418">
        <f t="shared" si="82"/>
        <v>64266</v>
      </c>
    </row>
    <row r="3419" customHeight="1" spans="1:31">
      <c r="A3419" s="2" t="s">
        <v>3726</v>
      </c>
      <c r="B3419" s="2">
        <v>107</v>
      </c>
      <c r="C3419" s="2">
        <v>1282084</v>
      </c>
      <c r="D3419" s="2" t="s">
        <v>30</v>
      </c>
      <c r="E3419" s="2" t="s">
        <v>30</v>
      </c>
      <c r="N3419" s="2" t="s">
        <v>18</v>
      </c>
      <c r="O3419" s="2" t="s">
        <v>19</v>
      </c>
      <c r="P3419" s="2">
        <v>2500000</v>
      </c>
      <c r="Q3419" s="2">
        <v>7</v>
      </c>
      <c r="R3419" s="2" t="s">
        <v>6007</v>
      </c>
      <c r="S3419" s="2"/>
      <c r="AC3419" s="2"/>
      <c r="AD3419" t="str">
        <f>IFERROR(__xludf.DUMMYFUNCTION("""COMPUTED_VALUE"""),"Mondays in the Sun ")</f>
        <v>Mondays in the Sun </v>
      </c>
      <c r="AE3419">
        <f t="shared" si="82"/>
        <v>317013</v>
      </c>
    </row>
    <row r="3420" customHeight="1" spans="1:31">
      <c r="A3420" s="2" t="s">
        <v>2843</v>
      </c>
      <c r="B3420" s="2">
        <v>89</v>
      </c>
      <c r="C3420" s="2">
        <v>3325638</v>
      </c>
      <c r="D3420" s="2" t="s">
        <v>6008</v>
      </c>
      <c r="E3420" s="2" t="s">
        <v>40</v>
      </c>
      <c r="N3420" s="2" t="s">
        <v>18</v>
      </c>
      <c r="O3420" s="2" t="s">
        <v>19</v>
      </c>
      <c r="P3420" s="2">
        <v>2500000</v>
      </c>
      <c r="Q3420" s="2">
        <v>7.1</v>
      </c>
      <c r="R3420" s="2" t="s">
        <v>6009</v>
      </c>
      <c r="S3420" s="2"/>
      <c r="AC3420" s="2"/>
      <c r="AD3420" t="str">
        <f>IFERROR(__xludf.DUMMYFUNCTION("""COMPUTED_VALUE"""),"Stake Land ")</f>
        <v>Stake Land </v>
      </c>
      <c r="AE3420">
        <f t="shared" si="82"/>
        <v>146289</v>
      </c>
    </row>
    <row r="3421" customHeight="1" spans="1:31">
      <c r="A3421" s="2" t="s">
        <v>3728</v>
      </c>
      <c r="B3421" s="2">
        <v>106</v>
      </c>
      <c r="C3421" s="2">
        <v>395592</v>
      </c>
      <c r="D3421" s="2" t="s">
        <v>103</v>
      </c>
      <c r="E3421" s="2" t="s">
        <v>30</v>
      </c>
      <c r="N3421" s="2" t="s">
        <v>18</v>
      </c>
      <c r="O3421" s="2" t="s">
        <v>1431</v>
      </c>
      <c r="P3421" s="2">
        <v>2000000</v>
      </c>
      <c r="Q3421" s="2">
        <v>7.6</v>
      </c>
      <c r="R3421" s="2" t="s">
        <v>6010</v>
      </c>
      <c r="S3421" s="2"/>
      <c r="AC3421" s="2"/>
      <c r="AD3421" t="str">
        <f>IFERROR(__xludf.DUMMYFUNCTION("""COMPUTED_VALUE"""),"The Last Time I Committed Suicide ")</f>
        <v>The Last Time I Committed Suicide </v>
      </c>
      <c r="AE3421">
        <f t="shared" si="82"/>
        <v>18371</v>
      </c>
    </row>
    <row r="3422" customHeight="1" spans="1:31">
      <c r="A3422" s="2" t="s">
        <v>3730</v>
      </c>
      <c r="B3422" s="2">
        <v>95</v>
      </c>
      <c r="C3422" s="2">
        <v>6851969</v>
      </c>
      <c r="D3422" s="2" t="s">
        <v>521</v>
      </c>
      <c r="E3422" s="2" t="s">
        <v>40</v>
      </c>
      <c r="N3422" s="2" t="s">
        <v>18</v>
      </c>
      <c r="O3422" s="2" t="s">
        <v>19</v>
      </c>
      <c r="P3422" s="2">
        <v>2500000</v>
      </c>
      <c r="Q3422" s="2">
        <v>7.1</v>
      </c>
      <c r="R3422" s="2" t="s">
        <v>6011</v>
      </c>
      <c r="S3422" s="2"/>
      <c r="AC3422" s="2"/>
      <c r="AD3422" t="str">
        <f>IFERROR(__xludf.DUMMYFUNCTION("""COMPUTED_VALUE"""),"Futuro Beach ")</f>
        <v>Futuro Beach </v>
      </c>
      <c r="AE3422">
        <f t="shared" si="82"/>
        <v>12744</v>
      </c>
    </row>
    <row r="3423" customHeight="1" spans="1:31">
      <c r="A3423" s="2" t="s">
        <v>3484</v>
      </c>
      <c r="B3423" s="2">
        <v>34</v>
      </c>
      <c r="C3423" s="2">
        <v>333658</v>
      </c>
      <c r="D3423" s="2" t="s">
        <v>6012</v>
      </c>
      <c r="E3423" s="2" t="s">
        <v>40</v>
      </c>
      <c r="N3423" s="2" t="s">
        <v>18</v>
      </c>
      <c r="O3423" s="2" t="s">
        <v>19</v>
      </c>
      <c r="P3423" s="2">
        <v>34000</v>
      </c>
      <c r="Q3423" s="2">
        <v>7.1</v>
      </c>
      <c r="R3423" s="2" t="s">
        <v>6013</v>
      </c>
      <c r="S3423" s="2"/>
      <c r="AC3423" s="2"/>
      <c r="AD3423" t="str">
        <f>IFERROR(__xludf.DUMMYFUNCTION("""COMPUTED_VALUE"""),"Inescapable ")</f>
        <v>Inescapable </v>
      </c>
      <c r="AE3423">
        <f t="shared" si="82"/>
        <v>20156</v>
      </c>
    </row>
    <row r="3424" customHeight="1" spans="1:31">
      <c r="A3424" s="2" t="s">
        <v>1002</v>
      </c>
      <c r="B3424" s="2">
        <v>101</v>
      </c>
      <c r="C3424" s="2">
        <v>12995673</v>
      </c>
      <c r="D3424" s="2" t="s">
        <v>6014</v>
      </c>
      <c r="E3424" s="2" t="s">
        <v>40</v>
      </c>
      <c r="N3424" s="2" t="s">
        <v>18</v>
      </c>
      <c r="O3424" s="2" t="s">
        <v>19</v>
      </c>
      <c r="P3424" s="2">
        <v>2500000</v>
      </c>
      <c r="Q3424" s="2">
        <v>7.7</v>
      </c>
      <c r="R3424" s="2" t="s">
        <v>6015</v>
      </c>
      <c r="S3424" s="2"/>
      <c r="AC3424" s="2"/>
      <c r="AD3424" t="str">
        <f>IFERROR(__xludf.DUMMYFUNCTION("""COMPUTED_VALUE"""),"Gone with the Wind ")</f>
        <v>Gone with the Wind </v>
      </c>
      <c r="AE3424">
        <f t="shared" si="82"/>
        <v>3970</v>
      </c>
    </row>
    <row r="3425" customHeight="1" spans="1:31">
      <c r="A3425" s="2" t="s">
        <v>3732</v>
      </c>
      <c r="B3425" s="2">
        <v>112</v>
      </c>
      <c r="C3425" s="2">
        <v>173783</v>
      </c>
      <c r="D3425" s="2" t="s">
        <v>65</v>
      </c>
      <c r="E3425" s="2" t="s">
        <v>65</v>
      </c>
      <c r="N3425" s="2" t="s">
        <v>18</v>
      </c>
      <c r="O3425" s="2" t="s">
        <v>19</v>
      </c>
      <c r="P3425" s="2">
        <v>2500000</v>
      </c>
      <c r="Q3425" s="2">
        <v>7.6</v>
      </c>
      <c r="R3425" s="2" t="s">
        <v>6016</v>
      </c>
      <c r="S3425" s="2"/>
      <c r="AC3425" s="2"/>
      <c r="AD3425" t="str">
        <f>IFERROR(__xludf.DUMMYFUNCTION("""COMPUTED_VALUE"""),"Desert Dancer ")</f>
        <v>Desert Dancer </v>
      </c>
      <c r="AE3425">
        <f t="shared" si="82"/>
        <v>198655052</v>
      </c>
    </row>
    <row r="3426" customHeight="1" spans="1:31">
      <c r="A3426" s="2" t="s">
        <v>3734</v>
      </c>
      <c r="B3426" s="2">
        <v>100</v>
      </c>
      <c r="C3426" s="2">
        <v>118666</v>
      </c>
      <c r="D3426" s="2" t="s">
        <v>30</v>
      </c>
      <c r="E3426" s="2" t="s">
        <v>30</v>
      </c>
      <c r="N3426" s="2" t="s">
        <v>18</v>
      </c>
      <c r="O3426" s="2" t="s">
        <v>19</v>
      </c>
      <c r="P3426" s="2">
        <v>2500000</v>
      </c>
      <c r="Q3426" s="2">
        <v>6.6</v>
      </c>
      <c r="R3426" s="2" t="s">
        <v>6017</v>
      </c>
      <c r="S3426" s="2"/>
      <c r="AC3426" s="2"/>
      <c r="AD3426" t="str">
        <f>IFERROR(__xludf.DUMMYFUNCTION("""COMPUTED_VALUE"""),"Major Dundee ")</f>
        <v>Major Dundee </v>
      </c>
      <c r="AE3426">
        <f t="shared" si="82"/>
        <v>143549</v>
      </c>
    </row>
    <row r="3427" customHeight="1" spans="1:31">
      <c r="A3427" s="2" t="s">
        <v>3736</v>
      </c>
      <c r="B3427" s="2">
        <v>100</v>
      </c>
      <c r="C3427" s="2">
        <v>71904</v>
      </c>
      <c r="D3427" s="2" t="s">
        <v>1590</v>
      </c>
      <c r="E3427" s="2" t="s">
        <v>40</v>
      </c>
      <c r="N3427" s="2" t="s">
        <v>18</v>
      </c>
      <c r="O3427" s="2" t="s">
        <v>19</v>
      </c>
      <c r="P3427" s="2">
        <v>2500000</v>
      </c>
      <c r="Q3427" s="2">
        <v>5.7</v>
      </c>
      <c r="R3427" s="2" t="s">
        <v>6018</v>
      </c>
      <c r="S3427" s="2"/>
      <c r="AC3427" s="2"/>
      <c r="AD3427" t="str">
        <f>IFERROR(__xludf.DUMMYFUNCTION("""COMPUTED_VALUE"""),"Annie Get Your Gun ")</f>
        <v>Annie Get Your Gun </v>
      </c>
      <c r="AE3427">
        <f t="shared" si="82"/>
        <v>14721</v>
      </c>
    </row>
    <row r="3428" customHeight="1" spans="1:31">
      <c r="A3428" s="2" t="s">
        <v>3738</v>
      </c>
      <c r="B3428" s="2">
        <v>80</v>
      </c>
      <c r="C3428" s="2">
        <v>99851</v>
      </c>
      <c r="D3428" s="2" t="s">
        <v>65</v>
      </c>
      <c r="E3428" s="2" t="s">
        <v>65</v>
      </c>
      <c r="N3428" s="2" t="s">
        <v>18</v>
      </c>
      <c r="O3428" s="2" t="s">
        <v>19</v>
      </c>
      <c r="P3428" s="2">
        <v>2500000</v>
      </c>
      <c r="Q3428" s="2">
        <v>7.1</v>
      </c>
      <c r="R3428" s="2" t="s">
        <v>6019</v>
      </c>
      <c r="S3428" s="2"/>
      <c r="AC3428" s="2"/>
      <c r="AD3428" t="str">
        <f>IFERROR(__xludf.DUMMYFUNCTION("""COMPUTED_VALUE"""),"Defendor ")</f>
        <v>Defendor </v>
      </c>
      <c r="AE3428">
        <f t="shared" si="82"/>
        <v>7999893</v>
      </c>
    </row>
    <row r="3429" customHeight="1" spans="1:31">
      <c r="A3429" s="2" t="s">
        <v>3740</v>
      </c>
      <c r="B3429" s="2">
        <v>106</v>
      </c>
      <c r="C3429" s="2">
        <v>115504</v>
      </c>
      <c r="D3429" s="2" t="s">
        <v>521</v>
      </c>
      <c r="E3429" s="2" t="s">
        <v>40</v>
      </c>
      <c r="N3429" s="2" t="s">
        <v>18</v>
      </c>
      <c r="O3429" s="2" t="s">
        <v>31</v>
      </c>
      <c r="P3429" s="2">
        <v>14000000</v>
      </c>
      <c r="Q3429" s="2">
        <v>6.2</v>
      </c>
      <c r="R3429" s="2" t="s">
        <v>6020</v>
      </c>
      <c r="S3429" s="2"/>
      <c r="AC3429" s="2"/>
      <c r="AD3429" t="str">
        <f>IFERROR(__xludf.DUMMYFUNCTION("""COMPUTED_VALUE"""),"The Pirate ")</f>
        <v>The Pirate </v>
      </c>
      <c r="AE3429">
        <f t="shared" si="82"/>
        <v>37511</v>
      </c>
    </row>
    <row r="3430" customHeight="1" spans="1:31">
      <c r="A3430" s="2" t="s">
        <v>2688</v>
      </c>
      <c r="B3430" s="2">
        <v>103</v>
      </c>
      <c r="C3430" s="2">
        <v>5725</v>
      </c>
      <c r="D3430" s="2" t="s">
        <v>2781</v>
      </c>
      <c r="E3430" s="2" t="s">
        <v>72</v>
      </c>
      <c r="N3430" s="2" t="s">
        <v>4574</v>
      </c>
      <c r="O3430" s="2" t="s">
        <v>293</v>
      </c>
      <c r="P3430" s="2">
        <v>8400000</v>
      </c>
      <c r="Q3430" s="2">
        <v>6.1</v>
      </c>
      <c r="R3430" s="2" t="s">
        <v>6021</v>
      </c>
      <c r="S3430" s="2"/>
      <c r="AC3430" s="2"/>
      <c r="AD3430" t="str">
        <f>IFERROR(__xludf.DUMMYFUNCTION("""COMPUTED_VALUE"""),"The Good Heart ")</f>
        <v>The Good Heart </v>
      </c>
      <c r="AE3430">
        <f t="shared" si="82"/>
        <v>2955898</v>
      </c>
    </row>
    <row r="3431" customHeight="1" spans="1:31">
      <c r="A3431" s="2" t="s">
        <v>3742</v>
      </c>
      <c r="B3431" s="2">
        <v>90</v>
      </c>
      <c r="C3431" s="2">
        <v>75727</v>
      </c>
      <c r="D3431" s="2" t="s">
        <v>5513</v>
      </c>
      <c r="E3431" s="2" t="s">
        <v>30</v>
      </c>
      <c r="N3431" s="2" t="s">
        <v>1081</v>
      </c>
      <c r="O3431" s="2" t="s">
        <v>19</v>
      </c>
      <c r="P3431" s="2">
        <v>2500000</v>
      </c>
      <c r="Q3431" s="2">
        <v>5.9</v>
      </c>
      <c r="R3431" s="2" t="s">
        <v>6022</v>
      </c>
      <c r="S3431" s="2"/>
      <c r="AC3431" s="2"/>
      <c r="AD3431" t="str">
        <f>IFERROR(__xludf.DUMMYFUNCTION("""COMPUTED_VALUE"""),"The History Boys ")</f>
        <v>The History Boys </v>
      </c>
      <c r="AE3431">
        <f t="shared" si="82"/>
        <v>19860</v>
      </c>
    </row>
    <row r="3432" customHeight="1" spans="1:31">
      <c r="A3432" s="2" t="s">
        <v>258</v>
      </c>
      <c r="B3432" s="2">
        <v>96</v>
      </c>
      <c r="C3432" s="2">
        <v>322157</v>
      </c>
      <c r="D3432" s="2" t="s">
        <v>3855</v>
      </c>
      <c r="E3432" s="2" t="s">
        <v>40</v>
      </c>
      <c r="N3432" s="2" t="s">
        <v>18</v>
      </c>
      <c r="O3432" s="2" t="s">
        <v>19</v>
      </c>
      <c r="P3432" s="2">
        <v>2500000</v>
      </c>
      <c r="Q3432" s="2">
        <v>6.8</v>
      </c>
      <c r="R3432" s="2" t="s">
        <v>6023</v>
      </c>
      <c r="S3432" s="2"/>
      <c r="AC3432" s="2"/>
      <c r="AD3432" t="str">
        <f>IFERROR(__xludf.DUMMYFUNCTION("""COMPUTED_VALUE"""),"The Full Monty ")</f>
        <v>The Full Monty </v>
      </c>
      <c r="AE3432">
        <f t="shared" si="82"/>
        <v>2706550</v>
      </c>
    </row>
    <row r="3433" customHeight="1" spans="1:31">
      <c r="A3433" s="2" t="s">
        <v>1259</v>
      </c>
      <c r="B3433" s="2">
        <v>120</v>
      </c>
      <c r="C3433" s="2">
        <v>5731103</v>
      </c>
      <c r="D3433" s="2" t="s">
        <v>2715</v>
      </c>
      <c r="E3433" s="2" t="s">
        <v>30</v>
      </c>
      <c r="N3433" s="2" t="s">
        <v>18</v>
      </c>
      <c r="O3433" s="2" t="s">
        <v>19</v>
      </c>
      <c r="P3433" s="2">
        <v>2400000</v>
      </c>
      <c r="Q3433" s="2">
        <v>6.8</v>
      </c>
      <c r="R3433" s="2" t="s">
        <v>6024</v>
      </c>
      <c r="S3433" s="2"/>
      <c r="AC3433" s="2"/>
      <c r="AD3433" t="str">
        <f>IFERROR(__xludf.DUMMYFUNCTION("""COMPUTED_VALUE"""),"Airplane! ")</f>
        <v>Airplane! </v>
      </c>
      <c r="AE3433">
        <f t="shared" si="82"/>
        <v>45857362</v>
      </c>
    </row>
    <row r="3434" customHeight="1" spans="1:31">
      <c r="A3434" s="2" t="s">
        <v>3744</v>
      </c>
      <c r="B3434" s="2">
        <v>101</v>
      </c>
      <c r="C3434" s="2">
        <v>978908</v>
      </c>
      <c r="D3434" s="2" t="s">
        <v>2539</v>
      </c>
      <c r="E3434" s="2" t="s">
        <v>30</v>
      </c>
      <c r="N3434" s="2" t="s">
        <v>18</v>
      </c>
      <c r="O3434" s="2" t="s">
        <v>6025</v>
      </c>
      <c r="P3434" s="2">
        <v>2400000</v>
      </c>
      <c r="Q3434" s="2">
        <v>5.1</v>
      </c>
      <c r="R3434" s="2" t="s">
        <v>6026</v>
      </c>
      <c r="S3434" s="2"/>
      <c r="AC3434" s="2"/>
      <c r="AD3434" t="str">
        <f>IFERROR(__xludf.DUMMYFUNCTION("""COMPUTED_VALUE"""),"Friday ")</f>
        <v>Friday </v>
      </c>
      <c r="AE3434">
        <f t="shared" si="82"/>
        <v>83399912</v>
      </c>
    </row>
    <row r="3435" customHeight="1" spans="1:31">
      <c r="A3435" s="2" t="s">
        <v>3747</v>
      </c>
      <c r="B3435" s="2">
        <v>101</v>
      </c>
      <c r="C3435" s="2">
        <v>327919</v>
      </c>
      <c r="D3435" s="2" t="s">
        <v>718</v>
      </c>
      <c r="E3435" s="2" t="s">
        <v>56</v>
      </c>
      <c r="N3435" s="2" t="s">
        <v>18</v>
      </c>
      <c r="O3435" s="2" t="s">
        <v>31</v>
      </c>
      <c r="P3435" s="2">
        <v>1500000</v>
      </c>
      <c r="Q3435" s="2">
        <v>7.7</v>
      </c>
      <c r="R3435" s="2" t="s">
        <v>6027</v>
      </c>
      <c r="S3435" s="2"/>
      <c r="AC3435" s="2"/>
      <c r="AD3435" t="str">
        <f>IFERROR(__xludf.DUMMYFUNCTION("""COMPUTED_VALUE"""),"Menace II Society ")</f>
        <v>Menace II Society </v>
      </c>
      <c r="AE3435">
        <f t="shared" si="82"/>
        <v>27899903</v>
      </c>
    </row>
    <row r="3436" customHeight="1" spans="1:31">
      <c r="A3436" s="2" t="s">
        <v>3749</v>
      </c>
      <c r="B3436" s="2">
        <v>105</v>
      </c>
      <c r="C3436" s="2">
        <v>178739</v>
      </c>
      <c r="D3436" s="2" t="s">
        <v>5812</v>
      </c>
      <c r="E3436" s="2" t="s">
        <v>30</v>
      </c>
      <c r="N3436" s="2" t="s">
        <v>18</v>
      </c>
      <c r="O3436" s="2" t="s">
        <v>19</v>
      </c>
      <c r="P3436" s="2">
        <v>2450000</v>
      </c>
      <c r="Q3436" s="2">
        <v>3.9</v>
      </c>
      <c r="R3436" s="2" t="s">
        <v>6028</v>
      </c>
      <c r="S3436" s="2"/>
      <c r="AC3436" s="2"/>
      <c r="AD3436" t="str">
        <f>IFERROR(__xludf.DUMMYFUNCTION("""COMPUTED_VALUE"""),"Creepshow 2 ")</f>
        <v>Creepshow 2 </v>
      </c>
      <c r="AE3436">
        <f t="shared" si="82"/>
        <v>27899903</v>
      </c>
    </row>
    <row r="3437" customHeight="1" spans="1:31">
      <c r="A3437" s="2" t="s">
        <v>829</v>
      </c>
      <c r="B3437" s="2">
        <v>120</v>
      </c>
      <c r="C3437" s="2">
        <v>76400000</v>
      </c>
      <c r="D3437" s="2" t="s">
        <v>1071</v>
      </c>
      <c r="E3437" s="2" t="s">
        <v>35</v>
      </c>
      <c r="N3437" s="2" t="s">
        <v>18</v>
      </c>
      <c r="O3437" s="2" t="s">
        <v>19</v>
      </c>
      <c r="P3437" s="2">
        <v>2280000</v>
      </c>
      <c r="Q3437" s="2">
        <v>7.8</v>
      </c>
      <c r="R3437" s="2" t="s">
        <v>6029</v>
      </c>
      <c r="S3437" s="2"/>
      <c r="AC3437" s="2"/>
      <c r="AD3437" t="str">
        <f>IFERROR(__xludf.DUMMYFUNCTION("""COMPUTED_VALUE"""),"The Witch ")</f>
        <v>The Witch </v>
      </c>
      <c r="AE3437">
        <f t="shared" si="82"/>
        <v>13999915</v>
      </c>
    </row>
    <row r="3438" customHeight="1" spans="1:31">
      <c r="A3438" s="2" t="s">
        <v>1618</v>
      </c>
      <c r="B3438" s="2">
        <v>91</v>
      </c>
      <c r="C3438" s="2">
        <v>36200000</v>
      </c>
      <c r="D3438" s="2" t="s">
        <v>2781</v>
      </c>
      <c r="E3438" s="2" t="s">
        <v>72</v>
      </c>
      <c r="N3438" s="2" t="s">
        <v>18</v>
      </c>
      <c r="O3438" s="2" t="s">
        <v>19</v>
      </c>
      <c r="P3438" s="2">
        <v>4000000</v>
      </c>
      <c r="Q3438" s="2">
        <v>5.7</v>
      </c>
      <c r="R3438" s="2" t="s">
        <v>6030</v>
      </c>
      <c r="S3438" s="2"/>
      <c r="AC3438" s="2"/>
      <c r="AD3438" t="str">
        <f>IFERROR(__xludf.DUMMYFUNCTION("""COMPUTED_VALUE"""),"I Got the Hook Up ")</f>
        <v>I Got the Hook Up </v>
      </c>
      <c r="AE3438">
        <f t="shared" si="82"/>
        <v>25138200</v>
      </c>
    </row>
    <row r="3439" customHeight="1" spans="1:31">
      <c r="A3439" s="2" t="s">
        <v>3751</v>
      </c>
      <c r="B3439" s="2">
        <v>92</v>
      </c>
      <c r="C3439" s="2">
        <v>21300000</v>
      </c>
      <c r="D3439" s="2" t="s">
        <v>1189</v>
      </c>
      <c r="E3439" s="2" t="s">
        <v>72</v>
      </c>
      <c r="N3439" s="2" t="s">
        <v>18</v>
      </c>
      <c r="O3439" s="2" t="s">
        <v>19</v>
      </c>
      <c r="P3439" s="2">
        <v>2200000</v>
      </c>
      <c r="Q3439" s="2">
        <v>4.7</v>
      </c>
      <c r="R3439" s="2" t="s">
        <v>6031</v>
      </c>
      <c r="S3439" s="2"/>
      <c r="AC3439" s="2"/>
      <c r="AD3439" t="str">
        <f>IFERROR(__xludf.DUMMYFUNCTION("""COMPUTED_VALUE"""),"She's the One ")</f>
        <v>She's the One </v>
      </c>
      <c r="AE3439">
        <f t="shared" si="82"/>
        <v>10305441</v>
      </c>
    </row>
    <row r="3440" customHeight="1" spans="1:31">
      <c r="A3440" s="2" t="s">
        <v>3753</v>
      </c>
      <c r="B3440" s="2">
        <v>117</v>
      </c>
      <c r="C3440" s="2">
        <v>379643</v>
      </c>
      <c r="D3440" s="2" t="s">
        <v>30</v>
      </c>
      <c r="E3440" s="2" t="s">
        <v>30</v>
      </c>
      <c r="N3440" s="2" t="s">
        <v>18</v>
      </c>
      <c r="O3440" s="2" t="s">
        <v>19</v>
      </c>
      <c r="P3440" s="2">
        <v>2200000</v>
      </c>
      <c r="Q3440" s="2">
        <v>5.9</v>
      </c>
      <c r="R3440" s="2" t="s">
        <v>6032</v>
      </c>
      <c r="S3440" s="2"/>
      <c r="AC3440" s="2"/>
      <c r="AD3440" t="str">
        <f>IFERROR(__xludf.DUMMYFUNCTION("""COMPUTED_VALUE"""),"Gods and Monsters ")</f>
        <v>Gods and Monsters </v>
      </c>
      <c r="AE3440">
        <f t="shared" si="82"/>
        <v>9449123</v>
      </c>
    </row>
    <row r="3441" customHeight="1" spans="1:31">
      <c r="A3441" s="2" t="s">
        <v>3755</v>
      </c>
      <c r="B3441" s="2">
        <v>120</v>
      </c>
      <c r="C3441" s="2">
        <v>12985267</v>
      </c>
      <c r="D3441" s="2" t="s">
        <v>30</v>
      </c>
      <c r="E3441" s="2" t="s">
        <v>30</v>
      </c>
      <c r="N3441" s="2" t="s">
        <v>18</v>
      </c>
      <c r="O3441" s="2" t="s">
        <v>19</v>
      </c>
      <c r="P3441" s="2">
        <v>2300000</v>
      </c>
      <c r="Q3441" s="2">
        <v>5.9</v>
      </c>
      <c r="R3441" s="2" t="s">
        <v>6033</v>
      </c>
      <c r="S3441" s="2"/>
      <c r="AC3441" s="2"/>
      <c r="AD3441" t="str">
        <f>IFERROR(__xludf.DUMMYFUNCTION("""COMPUTED_VALUE"""),"The Secret in Their Eyes ")</f>
        <v>The Secret in Their Eyes </v>
      </c>
      <c r="AE3441">
        <f t="shared" si="82"/>
        <v>6389927</v>
      </c>
    </row>
    <row r="3442" customHeight="1" spans="1:31">
      <c r="A3442" s="2" t="s">
        <v>3758</v>
      </c>
      <c r="B3442" s="2">
        <v>172</v>
      </c>
      <c r="C3442" s="2">
        <v>23650000</v>
      </c>
      <c r="D3442" s="2" t="s">
        <v>3062</v>
      </c>
      <c r="E3442" s="2" t="s">
        <v>30</v>
      </c>
      <c r="N3442" s="2" t="s">
        <v>18</v>
      </c>
      <c r="O3442" s="2" t="s">
        <v>19</v>
      </c>
      <c r="P3442" s="2">
        <v>2100000</v>
      </c>
      <c r="Q3442" s="2">
        <v>8.1</v>
      </c>
      <c r="R3442" s="2" t="s">
        <v>6034</v>
      </c>
      <c r="S3442" s="2"/>
      <c r="AC3442" s="2"/>
      <c r="AD3442" t="str">
        <f>IFERROR(__xludf.DUMMYFUNCTION("""COMPUTED_VALUE"""),"Evil Dead II ")</f>
        <v>Evil Dead II </v>
      </c>
      <c r="AE3442">
        <f t="shared" si="82"/>
        <v>20167295</v>
      </c>
    </row>
    <row r="3443" customHeight="1" spans="1:31">
      <c r="A3443" s="2" t="s">
        <v>3760</v>
      </c>
      <c r="B3443" s="2">
        <v>89</v>
      </c>
      <c r="C3443" s="2">
        <v>313436</v>
      </c>
      <c r="D3443" s="2" t="s">
        <v>975</v>
      </c>
      <c r="E3443" s="2" t="s">
        <v>40</v>
      </c>
      <c r="N3443" s="2" t="s">
        <v>5703</v>
      </c>
      <c r="O3443" s="2" t="s">
        <v>5704</v>
      </c>
      <c r="P3443" s="2">
        <v>15500000</v>
      </c>
      <c r="Q3443" s="2">
        <v>7.6</v>
      </c>
      <c r="R3443" s="2" t="s">
        <v>6035</v>
      </c>
      <c r="S3443" s="2"/>
      <c r="AC3443" s="2"/>
      <c r="AD3443" t="str">
        <f>IFERROR(__xludf.DUMMYFUNCTION("""COMPUTED_VALUE"""),"Pootie Tang ")</f>
        <v>Pootie Tang </v>
      </c>
      <c r="AE3443">
        <f t="shared" si="82"/>
        <v>5923007</v>
      </c>
    </row>
    <row r="3444" customHeight="1" spans="1:31">
      <c r="A3444" s="2" t="s">
        <v>3762</v>
      </c>
      <c r="B3444" s="2">
        <v>125</v>
      </c>
      <c r="C3444" s="2">
        <v>3330</v>
      </c>
      <c r="D3444" s="2" t="s">
        <v>718</v>
      </c>
      <c r="E3444" s="2" t="s">
        <v>56</v>
      </c>
      <c r="N3444" s="2" t="s">
        <v>18</v>
      </c>
      <c r="O3444" s="2" t="s">
        <v>19</v>
      </c>
      <c r="P3444" s="2">
        <v>2100000</v>
      </c>
      <c r="Q3444" s="2">
        <v>7.2</v>
      </c>
      <c r="R3444" s="2" t="s">
        <v>6036</v>
      </c>
      <c r="S3444" s="2"/>
      <c r="AC3444" s="2"/>
      <c r="AD3444" t="str">
        <f>IFERROR(__xludf.DUMMYFUNCTION("""COMPUTED_VALUE"""),"La otra conquista ")</f>
        <v>La otra conquista </v>
      </c>
      <c r="AE3444">
        <f t="shared" si="82"/>
        <v>3293177</v>
      </c>
    </row>
    <row r="3445" customHeight="1" spans="1:31">
      <c r="A3445" s="2" t="s">
        <v>3114</v>
      </c>
      <c r="B3445" s="2">
        <v>115</v>
      </c>
      <c r="C3445" s="2">
        <v>24800000</v>
      </c>
      <c r="D3445" s="2" t="s">
        <v>27</v>
      </c>
      <c r="E3445" s="2" t="s">
        <v>12</v>
      </c>
      <c r="N3445" s="2" t="s">
        <v>18</v>
      </c>
      <c r="O3445" s="2" t="s">
        <v>31</v>
      </c>
      <c r="P3445" s="2">
        <v>2000000</v>
      </c>
      <c r="Q3445" s="2">
        <v>7.5</v>
      </c>
      <c r="R3445" s="2" t="s">
        <v>6037</v>
      </c>
      <c r="S3445" s="2"/>
      <c r="AC3445" s="2"/>
      <c r="AD3445" t="str">
        <f>IFERROR(__xludf.DUMMYFUNCTION("""COMPUTED_VALUE"""),"Trollhunter ")</f>
        <v>Trollhunter </v>
      </c>
      <c r="AE3445">
        <f t="shared" si="82"/>
        <v>886304</v>
      </c>
    </row>
    <row r="3446" customHeight="1" spans="1:31">
      <c r="A3446" s="2" t="s">
        <v>3764</v>
      </c>
      <c r="B3446" s="2">
        <v>96</v>
      </c>
      <c r="C3446" s="2">
        <v>792966</v>
      </c>
      <c r="D3446" s="2" t="s">
        <v>6038</v>
      </c>
      <c r="E3446" s="2" t="s">
        <v>12</v>
      </c>
      <c r="N3446" s="2" t="s">
        <v>18</v>
      </c>
      <c r="O3446" s="2" t="s">
        <v>19</v>
      </c>
      <c r="P3446" s="2">
        <v>2300000</v>
      </c>
      <c r="Q3446" s="2">
        <v>5.1</v>
      </c>
      <c r="R3446" s="2" t="s">
        <v>6039</v>
      </c>
      <c r="S3446" s="2"/>
      <c r="AC3446" s="2"/>
      <c r="AD3446" t="str">
        <f>IFERROR(__xludf.DUMMYFUNCTION("""COMPUTED_VALUE"""),"Ira &amp; Abby ")</f>
        <v>Ira &amp; Abby </v>
      </c>
      <c r="AE3446">
        <f t="shared" si="82"/>
        <v>252549</v>
      </c>
    </row>
    <row r="3447" customHeight="1" spans="1:31">
      <c r="A3447" s="2" t="s">
        <v>3767</v>
      </c>
      <c r="B3447" s="2">
        <v>100</v>
      </c>
      <c r="C3447" s="2">
        <v>14673301</v>
      </c>
      <c r="D3447" s="2" t="s">
        <v>2613</v>
      </c>
      <c r="E3447" s="2" t="s">
        <v>72</v>
      </c>
      <c r="N3447" s="2" t="s">
        <v>18</v>
      </c>
      <c r="O3447" s="2" t="s">
        <v>19</v>
      </c>
      <c r="P3447" s="2">
        <v>2000000</v>
      </c>
      <c r="Q3447" s="2">
        <v>6.9</v>
      </c>
      <c r="R3447" s="2" t="s">
        <v>6040</v>
      </c>
      <c r="S3447" s="2"/>
      <c r="AC3447" s="2"/>
      <c r="AD3447" t="str">
        <f>IFERROR(__xludf.DUMMYFUNCTION("""COMPUTED_VALUE"""),"Winter Passing ")</f>
        <v>Winter Passing </v>
      </c>
      <c r="AE3447">
        <f t="shared" ref="AE3447:AE3510" si="83">C3331-B3331</f>
        <v>220133</v>
      </c>
    </row>
    <row r="3448" customHeight="1" spans="1:31">
      <c r="A3448" s="2" t="s">
        <v>325</v>
      </c>
      <c r="B3448" s="2">
        <v>87</v>
      </c>
      <c r="C3448" s="2">
        <v>9003011</v>
      </c>
      <c r="D3448" s="2" t="s">
        <v>108</v>
      </c>
      <c r="E3448" s="2" t="s">
        <v>12</v>
      </c>
      <c r="N3448" s="2" t="s">
        <v>18</v>
      </c>
      <c r="O3448" s="2" t="s">
        <v>159</v>
      </c>
      <c r="P3448" s="2">
        <v>2000000</v>
      </c>
      <c r="Q3448" s="2">
        <v>7.6</v>
      </c>
      <c r="R3448" s="2" t="s">
        <v>6041</v>
      </c>
      <c r="S3448" s="2"/>
      <c r="AC3448" s="2"/>
      <c r="AD3448" t="str">
        <f>IFERROR(__xludf.DUMMYFUNCTION("""COMPUTED_VALUE"""),"D.E.B.S. ")</f>
        <v>D.E.B.S. </v>
      </c>
      <c r="AE3448">
        <f t="shared" si="83"/>
        <v>101130</v>
      </c>
    </row>
    <row r="3449" customHeight="1" spans="1:31">
      <c r="A3449" s="2" t="s">
        <v>3769</v>
      </c>
      <c r="B3449" s="2">
        <v>102</v>
      </c>
      <c r="C3449" s="2">
        <v>11546543</v>
      </c>
      <c r="D3449" s="2" t="s">
        <v>811</v>
      </c>
      <c r="E3449" s="2" t="s">
        <v>12</v>
      </c>
      <c r="N3449" s="2" t="s">
        <v>3028</v>
      </c>
      <c r="O3449" s="2" t="s">
        <v>1554</v>
      </c>
      <c r="P3449" s="2">
        <v>2000000</v>
      </c>
      <c r="Q3449" s="2">
        <v>7.6</v>
      </c>
      <c r="R3449" s="2" t="s">
        <v>6042</v>
      </c>
      <c r="S3449" s="2"/>
      <c r="AC3449" s="2"/>
      <c r="AD3449" t="str">
        <f>IFERROR(__xludf.DUMMYFUNCTION("""COMPUTED_VALUE"""),"The Masked Saint ")</f>
        <v>The Masked Saint </v>
      </c>
      <c r="AE3449">
        <f t="shared" si="83"/>
        <v>96702</v>
      </c>
    </row>
    <row r="3450" customHeight="1" spans="1:31">
      <c r="A3450" s="2" t="s">
        <v>1842</v>
      </c>
      <c r="B3450" s="2">
        <v>118</v>
      </c>
      <c r="C3450" s="2">
        <v>11533945</v>
      </c>
      <c r="D3450" s="2" t="s">
        <v>5308</v>
      </c>
      <c r="E3450" s="2" t="s">
        <v>59</v>
      </c>
      <c r="N3450" s="2" t="s">
        <v>18</v>
      </c>
      <c r="O3450" s="2" t="s">
        <v>19</v>
      </c>
      <c r="P3450" s="2">
        <v>2000000</v>
      </c>
      <c r="Q3450" s="2">
        <v>7.6</v>
      </c>
      <c r="R3450" s="2" t="s">
        <v>6043</v>
      </c>
      <c r="S3450" s="2"/>
      <c r="AC3450" s="2"/>
      <c r="AD3450" t="str">
        <f>IFERROR(__xludf.DUMMYFUNCTION("""COMPUTED_VALUE"""),"Time to Choose ")</f>
        <v>Time to Choose </v>
      </c>
      <c r="AE3450">
        <f t="shared" si="83"/>
        <v>123672</v>
      </c>
    </row>
    <row r="3451" customHeight="1" spans="1:31">
      <c r="A3451" s="2" t="s">
        <v>3771</v>
      </c>
      <c r="B3451" s="2">
        <v>86</v>
      </c>
      <c r="C3451" s="2">
        <v>12555230</v>
      </c>
      <c r="D3451" s="2" t="s">
        <v>2539</v>
      </c>
      <c r="E3451" s="2" t="s">
        <v>30</v>
      </c>
      <c r="N3451" s="2" t="s">
        <v>18</v>
      </c>
      <c r="O3451" s="2" t="s">
        <v>707</v>
      </c>
      <c r="P3451" s="2">
        <v>2000000</v>
      </c>
      <c r="Q3451" s="2">
        <v>5.3</v>
      </c>
      <c r="R3451" s="2" t="s">
        <v>6044</v>
      </c>
      <c r="S3451" s="2"/>
      <c r="AC3451" s="2"/>
      <c r="AD3451" t="str">
        <f>IFERROR(__xludf.DUMMYFUNCTION("""COMPUTED_VALUE"""),"March of the Penguins ")</f>
        <v>March of the Penguins </v>
      </c>
      <c r="AE3451">
        <f t="shared" si="83"/>
        <v>29133</v>
      </c>
    </row>
    <row r="3452" customHeight="1" spans="1:31">
      <c r="A3452" s="2" t="s">
        <v>646</v>
      </c>
      <c r="B3452" s="2">
        <v>137</v>
      </c>
      <c r="C3452" s="2">
        <v>11284657</v>
      </c>
      <c r="D3452" s="2" t="s">
        <v>1655</v>
      </c>
      <c r="E3452" s="2" t="s">
        <v>30</v>
      </c>
      <c r="N3452" s="2" t="s">
        <v>4574</v>
      </c>
      <c r="O3452" s="2" t="s">
        <v>293</v>
      </c>
      <c r="P3452" s="2">
        <v>2000000</v>
      </c>
      <c r="Q3452" s="2">
        <v>8.5</v>
      </c>
      <c r="R3452" s="2" t="s">
        <v>6045</v>
      </c>
      <c r="S3452" s="2"/>
      <c r="AC3452" s="2"/>
      <c r="AD3452" t="str">
        <f>IFERROR(__xludf.DUMMYFUNCTION("""COMPUTED_VALUE"""),"Margin Call ")</f>
        <v>Margin Call </v>
      </c>
      <c r="AE3452">
        <f t="shared" si="83"/>
        <v>77412937</v>
      </c>
    </row>
    <row r="3453" customHeight="1" spans="1:31">
      <c r="A3453" s="2" t="s">
        <v>3773</v>
      </c>
      <c r="B3453" s="2">
        <v>129</v>
      </c>
      <c r="C3453" s="2">
        <v>34522221</v>
      </c>
      <c r="D3453" s="2" t="s">
        <v>30</v>
      </c>
      <c r="E3453" s="2" t="s">
        <v>30</v>
      </c>
      <c r="N3453" s="2" t="s">
        <v>18</v>
      </c>
      <c r="O3453" s="2" t="s">
        <v>19</v>
      </c>
      <c r="P3453" s="2">
        <v>2000000</v>
      </c>
      <c r="Q3453" s="2">
        <v>7</v>
      </c>
      <c r="R3453" s="2" t="s">
        <v>6046</v>
      </c>
      <c r="S3453" s="2"/>
      <c r="AC3453" s="2"/>
      <c r="AD3453" t="str">
        <f>IFERROR(__xludf.DUMMYFUNCTION("""COMPUTED_VALUE"""),"Choke ")</f>
        <v>Choke </v>
      </c>
      <c r="AE3453">
        <f t="shared" si="83"/>
        <v>5353932</v>
      </c>
    </row>
    <row r="3454" customHeight="1" spans="1:31">
      <c r="A3454" s="2" t="s">
        <v>3775</v>
      </c>
      <c r="B3454" s="2">
        <v>80</v>
      </c>
      <c r="C3454" s="2">
        <v>7002255</v>
      </c>
      <c r="D3454" s="2" t="s">
        <v>6047</v>
      </c>
      <c r="E3454" s="2" t="s">
        <v>35</v>
      </c>
      <c r="N3454" s="2" t="s">
        <v>1125</v>
      </c>
      <c r="O3454" s="2" t="s">
        <v>707</v>
      </c>
      <c r="P3454" s="2">
        <v>9500000</v>
      </c>
      <c r="Q3454" s="2">
        <v>7.8</v>
      </c>
      <c r="R3454" s="2" t="s">
        <v>6048</v>
      </c>
      <c r="S3454" s="2"/>
      <c r="AC3454" s="2"/>
      <c r="AD3454" t="str">
        <f>IFERROR(__xludf.DUMMYFUNCTION("""COMPUTED_VALUE"""),"Whiplash ")</f>
        <v>Whiplash </v>
      </c>
      <c r="AE3454">
        <f t="shared" si="83"/>
        <v>2926473</v>
      </c>
    </row>
    <row r="3455" customHeight="1" spans="1:31">
      <c r="A3455" s="2" t="s">
        <v>3777</v>
      </c>
      <c r="B3455" s="2">
        <v>89</v>
      </c>
      <c r="C3455" s="2">
        <v>6719300</v>
      </c>
      <c r="D3455" s="2" t="s">
        <v>975</v>
      </c>
      <c r="E3455" s="2" t="s">
        <v>40</v>
      </c>
      <c r="N3455" s="2" t="s">
        <v>18</v>
      </c>
      <c r="O3455" s="2" t="s">
        <v>121</v>
      </c>
      <c r="P3455" s="2">
        <v>2000000</v>
      </c>
      <c r="Q3455" s="2">
        <v>7.2</v>
      </c>
      <c r="R3455" s="2" t="s">
        <v>6049</v>
      </c>
      <c r="S3455" s="2"/>
      <c r="AC3455" s="2"/>
      <c r="AD3455" t="str">
        <f>IFERROR(__xludf.DUMMYFUNCTION("""COMPUTED_VALUE"""),"City of God ")</f>
        <v>City of God </v>
      </c>
      <c r="AE3455">
        <f t="shared" si="83"/>
        <v>13091893</v>
      </c>
    </row>
    <row r="3456" customHeight="1" spans="1:31">
      <c r="A3456" s="2" t="s">
        <v>1971</v>
      </c>
      <c r="B3456" s="2">
        <v>80</v>
      </c>
      <c r="C3456" s="2">
        <v>5792822</v>
      </c>
      <c r="D3456" s="2" t="s">
        <v>103</v>
      </c>
      <c r="E3456" s="2" t="s">
        <v>30</v>
      </c>
      <c r="N3456" s="2" t="s">
        <v>18</v>
      </c>
      <c r="O3456" s="2" t="s">
        <v>19</v>
      </c>
      <c r="P3456" s="2">
        <v>2700000</v>
      </c>
      <c r="Q3456" s="2">
        <v>8</v>
      </c>
      <c r="R3456" s="2" t="s">
        <v>6050</v>
      </c>
      <c r="S3456" s="2"/>
      <c r="AC3456" s="2"/>
      <c r="AD3456" t="str">
        <f>IFERROR(__xludf.DUMMYFUNCTION("""COMPUTED_VALUE"""),"Human Traffic ")</f>
        <v>Human Traffic </v>
      </c>
      <c r="AE3456">
        <f t="shared" si="83"/>
        <v>7563262</v>
      </c>
    </row>
    <row r="3457" customHeight="1" spans="1:31">
      <c r="A3457" s="2" t="s">
        <v>424</v>
      </c>
      <c r="B3457" s="2">
        <v>115</v>
      </c>
      <c r="C3457" s="2">
        <v>5383834</v>
      </c>
      <c r="D3457" s="2" t="s">
        <v>1655</v>
      </c>
      <c r="E3457" s="2" t="s">
        <v>30</v>
      </c>
      <c r="N3457" s="2" t="s">
        <v>1081</v>
      </c>
      <c r="O3457" s="2" t="s">
        <v>4531</v>
      </c>
      <c r="P3457" s="2">
        <v>2000000</v>
      </c>
      <c r="Q3457" s="2">
        <v>8.1</v>
      </c>
      <c r="R3457" s="2" t="s">
        <v>6051</v>
      </c>
      <c r="S3457" s="2"/>
      <c r="AC3457" s="2"/>
      <c r="AD3457" t="str">
        <f>IFERROR(__xludf.DUMMYFUNCTION("""COMPUTED_VALUE"""),"The Hunt ")</f>
        <v>The Hunt </v>
      </c>
      <c r="AE3457">
        <f t="shared" si="83"/>
        <v>104158</v>
      </c>
    </row>
    <row r="3458" customHeight="1" spans="1:31">
      <c r="A3458" s="2" t="s">
        <v>1474</v>
      </c>
      <c r="B3458" s="2">
        <v>100</v>
      </c>
      <c r="C3458" s="2">
        <v>4599680</v>
      </c>
      <c r="D3458" s="2" t="s">
        <v>30</v>
      </c>
      <c r="E3458" s="2" t="s">
        <v>30</v>
      </c>
      <c r="N3458" s="2" t="s">
        <v>18</v>
      </c>
      <c r="O3458" s="2" t="s">
        <v>19</v>
      </c>
      <c r="P3458" s="2">
        <v>1500000</v>
      </c>
      <c r="Q3458" s="2">
        <v>6.8</v>
      </c>
      <c r="R3458" s="2" t="s">
        <v>6052</v>
      </c>
      <c r="S3458" s="2"/>
      <c r="AC3458" s="2"/>
      <c r="AD3458" t="str">
        <f>IFERROR(__xludf.DUMMYFUNCTION("""COMPUTED_VALUE"""),"Bella ")</f>
        <v>Bella </v>
      </c>
      <c r="AE3458">
        <f t="shared" si="83"/>
        <v>610853</v>
      </c>
    </row>
    <row r="3459" customHeight="1" spans="1:31">
      <c r="A3459" s="2" t="s">
        <v>3779</v>
      </c>
      <c r="B3459" s="2">
        <v>100</v>
      </c>
      <c r="C3459" s="2">
        <v>6531491</v>
      </c>
      <c r="D3459" s="2" t="s">
        <v>30</v>
      </c>
      <c r="E3459" s="2" t="s">
        <v>30</v>
      </c>
      <c r="N3459" s="2" t="s">
        <v>18</v>
      </c>
      <c r="O3459" s="2" t="s">
        <v>19</v>
      </c>
      <c r="P3459" s="2">
        <v>2000000</v>
      </c>
      <c r="Q3459" s="2">
        <v>7.2</v>
      </c>
      <c r="R3459" s="2" t="s">
        <v>6053</v>
      </c>
      <c r="S3459" s="2"/>
      <c r="AC3459" s="2"/>
      <c r="AD3459" t="str">
        <f>IFERROR(__xludf.DUMMYFUNCTION("""COMPUTED_VALUE"""),"Dreaming of Joseph Lees ")</f>
        <v>Dreaming of Joseph Lees </v>
      </c>
      <c r="AE3459">
        <f t="shared" si="83"/>
        <v>8108156</v>
      </c>
    </row>
    <row r="3460" customHeight="1" spans="1:31">
      <c r="A3460" s="2" t="s">
        <v>3782</v>
      </c>
      <c r="B3460" s="2">
        <v>91</v>
      </c>
      <c r="C3460" s="2">
        <v>3885134</v>
      </c>
      <c r="D3460" s="2" t="s">
        <v>975</v>
      </c>
      <c r="E3460" s="2" t="s">
        <v>40</v>
      </c>
      <c r="N3460" s="2" t="s">
        <v>18</v>
      </c>
      <c r="O3460" s="2" t="s">
        <v>19</v>
      </c>
      <c r="P3460" s="2">
        <v>2000000</v>
      </c>
      <c r="Q3460" s="2">
        <v>7.4</v>
      </c>
      <c r="R3460" s="2" t="s">
        <v>6054</v>
      </c>
      <c r="S3460" s="2"/>
      <c r="AC3460" s="2"/>
      <c r="AD3460" t="str">
        <f>IFERROR(__xludf.DUMMYFUNCTION("""COMPUTED_VALUE"""),"Maria Full of Grace ")</f>
        <v>Maria Full of Grace </v>
      </c>
      <c r="AE3460">
        <f t="shared" si="83"/>
        <v>7588</v>
      </c>
    </row>
    <row r="3461" customHeight="1" spans="1:31">
      <c r="A3461" s="2" t="s">
        <v>3784</v>
      </c>
      <c r="B3461" s="2">
        <v>96</v>
      </c>
      <c r="C3461" s="2">
        <v>3590010</v>
      </c>
      <c r="D3461" s="2" t="s">
        <v>3280</v>
      </c>
      <c r="E3461" s="2" t="s">
        <v>30</v>
      </c>
      <c r="N3461" s="2" t="s">
        <v>18</v>
      </c>
      <c r="O3461" s="2" t="s">
        <v>31</v>
      </c>
      <c r="P3461" s="2">
        <v>2000000</v>
      </c>
      <c r="Q3461" s="2">
        <v>6.1</v>
      </c>
      <c r="R3461" s="2" t="s">
        <v>6055</v>
      </c>
      <c r="S3461" s="2"/>
      <c r="AC3461" s="2"/>
      <c r="AD3461" t="str">
        <f>IFERROR(__xludf.DUMMYFUNCTION("""COMPUTED_VALUE"""),"Beginners ")</f>
        <v>Beginners </v>
      </c>
      <c r="AE3461">
        <f t="shared" si="83"/>
        <v>6517097</v>
      </c>
    </row>
    <row r="3462" customHeight="1" spans="1:31">
      <c r="A3462" s="2" t="s">
        <v>210</v>
      </c>
      <c r="B3462" s="2">
        <v>116</v>
      </c>
      <c r="C3462" s="2">
        <v>3335839</v>
      </c>
      <c r="D3462" s="2" t="s">
        <v>186</v>
      </c>
      <c r="E3462" s="2" t="s">
        <v>12</v>
      </c>
      <c r="N3462" s="2" t="s">
        <v>18</v>
      </c>
      <c r="O3462" s="2" t="s">
        <v>19</v>
      </c>
      <c r="P3462" s="2">
        <v>2000000</v>
      </c>
      <c r="Q3462" s="2">
        <v>7</v>
      </c>
      <c r="R3462" s="2" t="s">
        <v>6056</v>
      </c>
      <c r="S3462" s="2"/>
      <c r="AC3462" s="2"/>
      <c r="AD3462" t="str">
        <f>IFERROR(__xludf.DUMMYFUNCTION("""COMPUTED_VALUE"""),"Animal House ")</f>
        <v>Animal House </v>
      </c>
      <c r="AE3462">
        <f t="shared" si="83"/>
        <v>5776209</v>
      </c>
    </row>
    <row r="3463" customHeight="1" spans="1:31">
      <c r="A3463" s="2" t="s">
        <v>1575</v>
      </c>
      <c r="B3463" s="2">
        <v>97</v>
      </c>
      <c r="C3463" s="2">
        <v>2557668</v>
      </c>
      <c r="D3463" s="2" t="s">
        <v>805</v>
      </c>
      <c r="E3463" s="2" t="s">
        <v>56</v>
      </c>
      <c r="N3463" s="2" t="s">
        <v>18</v>
      </c>
      <c r="O3463" s="2" t="s">
        <v>19</v>
      </c>
      <c r="P3463" s="2">
        <v>2000000</v>
      </c>
      <c r="Q3463" s="2">
        <v>5.3</v>
      </c>
      <c r="R3463" s="2" t="s">
        <v>6057</v>
      </c>
      <c r="S3463" s="2"/>
      <c r="AC3463" s="2"/>
      <c r="AD3463" t="str">
        <f>IFERROR(__xludf.DUMMYFUNCTION("""COMPUTED_VALUE"""),"Goldfinger ")</f>
        <v>Goldfinger </v>
      </c>
      <c r="AE3463">
        <f t="shared" si="83"/>
        <v>141599891</v>
      </c>
    </row>
    <row r="3464" customHeight="1" spans="1:31">
      <c r="A3464" s="2" t="s">
        <v>556</v>
      </c>
      <c r="B3464" s="2">
        <v>101</v>
      </c>
      <c r="C3464" s="2">
        <v>2506446</v>
      </c>
      <c r="D3464" s="2" t="s">
        <v>607</v>
      </c>
      <c r="E3464" s="2" t="s">
        <v>40</v>
      </c>
      <c r="N3464" s="2" t="s">
        <v>18</v>
      </c>
      <c r="O3464" s="2" t="s">
        <v>19</v>
      </c>
      <c r="P3464" s="2">
        <v>2000000</v>
      </c>
      <c r="Q3464" s="2">
        <v>4.7</v>
      </c>
      <c r="R3464" s="2" t="s">
        <v>6058</v>
      </c>
      <c r="S3464" s="2"/>
      <c r="AC3464" s="2"/>
      <c r="AD3464" t="str">
        <f>IFERROR(__xludf.DUMMYFUNCTION("""COMPUTED_VALUE"""),"Trainspotting ")</f>
        <v>Trainspotting </v>
      </c>
      <c r="AE3464">
        <f t="shared" si="83"/>
        <v>51099890</v>
      </c>
    </row>
    <row r="3465" customHeight="1" spans="1:31">
      <c r="A3465" s="2" t="s">
        <v>3786</v>
      </c>
      <c r="B3465" s="2">
        <v>98</v>
      </c>
      <c r="C3465" s="2">
        <v>7369373</v>
      </c>
      <c r="D3465" s="2" t="s">
        <v>1189</v>
      </c>
      <c r="E3465" s="2" t="s">
        <v>72</v>
      </c>
      <c r="N3465" s="2" t="s">
        <v>18</v>
      </c>
      <c r="O3465" s="2" t="s">
        <v>31</v>
      </c>
      <c r="P3465" s="2">
        <v>2000000</v>
      </c>
      <c r="Q3465" s="2">
        <v>5.7</v>
      </c>
      <c r="R3465" s="2" t="s">
        <v>6059</v>
      </c>
      <c r="S3465" s="2"/>
      <c r="AC3465" s="2"/>
      <c r="AD3465" t="str">
        <f>IFERROR(__xludf.DUMMYFUNCTION("""COMPUTED_VALUE"""),"The Original Kings of Comedy ")</f>
        <v>The Original Kings of Comedy </v>
      </c>
      <c r="AE3465">
        <f t="shared" si="83"/>
        <v>16501691</v>
      </c>
    </row>
    <row r="3466" customHeight="1" spans="1:31">
      <c r="A3466" s="2" t="s">
        <v>3365</v>
      </c>
      <c r="B3466" s="2">
        <v>101</v>
      </c>
      <c r="C3466" s="2">
        <v>1984378</v>
      </c>
      <c r="D3466" s="2" t="s">
        <v>521</v>
      </c>
      <c r="E3466" s="2" t="s">
        <v>40</v>
      </c>
      <c r="N3466" s="2" t="s">
        <v>18</v>
      </c>
      <c r="O3466" s="2" t="s">
        <v>19</v>
      </c>
      <c r="P3466" s="2">
        <v>2000000</v>
      </c>
      <c r="Q3466" s="2">
        <v>6.5</v>
      </c>
      <c r="R3466" s="2" t="s">
        <v>6060</v>
      </c>
      <c r="S3466" s="2"/>
      <c r="AC3466" s="2"/>
      <c r="AD3466" t="str">
        <f>IFERROR(__xludf.DUMMYFUNCTION("""COMPUTED_VALUE"""),"Paranormal Activity 2 ")</f>
        <v>Paranormal Activity 2 </v>
      </c>
      <c r="AE3466">
        <f t="shared" si="83"/>
        <v>38167907</v>
      </c>
    </row>
    <row r="3467" customHeight="1" spans="1:31">
      <c r="A3467" s="2" t="s">
        <v>3788</v>
      </c>
      <c r="B3467" s="2">
        <v>90</v>
      </c>
      <c r="C3467" s="2">
        <v>2283276</v>
      </c>
      <c r="D3467" s="2" t="s">
        <v>6061</v>
      </c>
      <c r="E3467" s="2" t="s">
        <v>35</v>
      </c>
      <c r="N3467" s="2" t="s">
        <v>6062</v>
      </c>
      <c r="O3467" s="2" t="s">
        <v>6063</v>
      </c>
      <c r="P3467" s="2">
        <v>1500000</v>
      </c>
      <c r="Q3467" s="2">
        <v>8</v>
      </c>
      <c r="R3467" s="2" t="s">
        <v>6064</v>
      </c>
      <c r="S3467" s="2"/>
      <c r="AC3467" s="2"/>
      <c r="AD3467" t="str">
        <f>IFERROR(__xludf.DUMMYFUNCTION("""COMPUTED_VALUE"""),"Waking Ned Devine ")</f>
        <v>Waking Ned Devine </v>
      </c>
      <c r="AE3467">
        <f t="shared" si="83"/>
        <v>84749786</v>
      </c>
    </row>
    <row r="3468" customHeight="1" spans="1:31">
      <c r="A3468" s="2" t="s">
        <v>3791</v>
      </c>
      <c r="B3468" s="2">
        <v>120</v>
      </c>
      <c r="C3468" s="2">
        <v>1098224</v>
      </c>
      <c r="D3468" s="2" t="s">
        <v>13</v>
      </c>
      <c r="E3468" s="2" t="s">
        <v>13</v>
      </c>
      <c r="N3468" s="2" t="s">
        <v>18</v>
      </c>
      <c r="O3468" s="2" t="s">
        <v>19</v>
      </c>
      <c r="P3468" s="2">
        <v>2000000</v>
      </c>
      <c r="Q3468" s="2">
        <v>3.3</v>
      </c>
      <c r="R3468" s="2" t="s">
        <v>6065</v>
      </c>
      <c r="S3468" s="2"/>
      <c r="AC3468" s="2"/>
      <c r="AD3468" t="str">
        <f>IFERROR(__xludf.DUMMYFUNCTION("""COMPUTED_VALUE"""),"Bowling for Columbine ")</f>
        <v>Bowling for Columbine </v>
      </c>
      <c r="AE3468">
        <f t="shared" si="83"/>
        <v>24788716</v>
      </c>
    </row>
    <row r="3469" customHeight="1" spans="1:31">
      <c r="A3469" s="2" t="s">
        <v>3629</v>
      </c>
      <c r="B3469" s="2">
        <v>102</v>
      </c>
      <c r="C3469" s="2">
        <v>1430185</v>
      </c>
      <c r="D3469" s="2" t="s">
        <v>6066</v>
      </c>
      <c r="E3469" s="2" t="s">
        <v>65</v>
      </c>
      <c r="N3469" s="2" t="s">
        <v>18</v>
      </c>
      <c r="O3469" s="2" t="s">
        <v>19</v>
      </c>
      <c r="P3469" s="2">
        <v>2000000</v>
      </c>
      <c r="Q3469" s="2">
        <v>8.3</v>
      </c>
      <c r="R3469" s="2" t="s">
        <v>6067</v>
      </c>
      <c r="S3469" s="2"/>
      <c r="AC3469" s="2"/>
      <c r="AD3469" t="str">
        <f>IFERROR(__xludf.DUMMYFUNCTION("""COMPUTED_VALUE"""),"A Nightmare on Elm Street 2: Freddy's Revenge ")</f>
        <v>A Nightmare on Elm Street 2: Freddy's Revenge </v>
      </c>
      <c r="AE3469">
        <f t="shared" si="83"/>
        <v>21244793</v>
      </c>
    </row>
    <row r="3470" customHeight="1" spans="1:31">
      <c r="A3470" s="2" t="s">
        <v>3793</v>
      </c>
      <c r="B3470" s="2">
        <v>102</v>
      </c>
      <c r="C3470" s="2">
        <v>1477002</v>
      </c>
      <c r="D3470" s="2" t="s">
        <v>103</v>
      </c>
      <c r="E3470" s="2" t="s">
        <v>30</v>
      </c>
      <c r="N3470" s="2" t="s">
        <v>18</v>
      </c>
      <c r="O3470" s="2" t="s">
        <v>19</v>
      </c>
      <c r="P3470" s="2">
        <v>2000000</v>
      </c>
      <c r="Q3470" s="2">
        <v>6.9</v>
      </c>
      <c r="R3470" s="2" t="s">
        <v>6068</v>
      </c>
      <c r="S3470" s="2"/>
      <c r="AC3470" s="2"/>
      <c r="AD3470" t="str">
        <f>IFERROR(__xludf.DUMMYFUNCTION("""COMPUTED_VALUE"""),"A Room with a View ")</f>
        <v>A Room with a View </v>
      </c>
      <c r="AE3470">
        <f t="shared" si="83"/>
        <v>29999913</v>
      </c>
    </row>
    <row r="3471" customHeight="1" spans="1:31">
      <c r="A3471" s="2" t="s">
        <v>3795</v>
      </c>
      <c r="B3471" s="2">
        <v>100</v>
      </c>
      <c r="C3471" s="2">
        <v>1134049</v>
      </c>
      <c r="D3471" s="2" t="s">
        <v>6069</v>
      </c>
      <c r="E3471" s="2" t="s">
        <v>65</v>
      </c>
      <c r="N3471" s="2" t="s">
        <v>18</v>
      </c>
      <c r="O3471" s="2" t="s">
        <v>31</v>
      </c>
      <c r="P3471" s="2">
        <v>2000000</v>
      </c>
      <c r="Q3471" s="2">
        <v>8.1</v>
      </c>
      <c r="R3471" s="2" t="s">
        <v>6070</v>
      </c>
      <c r="S3471" s="2"/>
      <c r="AC3471" s="2"/>
      <c r="AD3471" t="str">
        <f>IFERROR(__xludf.DUMMYFUNCTION("""COMPUTED_VALUE"""),"The Purge ")</f>
        <v>The Purge </v>
      </c>
      <c r="AE3471">
        <f t="shared" si="83"/>
        <v>20966527</v>
      </c>
    </row>
    <row r="3472" customHeight="1" spans="1:31">
      <c r="A3472" s="2" t="s">
        <v>3490</v>
      </c>
      <c r="B3472" s="2">
        <v>89</v>
      </c>
      <c r="C3472" s="2">
        <v>653621</v>
      </c>
      <c r="D3472" s="2" t="s">
        <v>6071</v>
      </c>
      <c r="E3472" s="2" t="s">
        <v>59</v>
      </c>
      <c r="N3472" s="2" t="s">
        <v>18</v>
      </c>
      <c r="O3472" s="2" t="s">
        <v>19</v>
      </c>
      <c r="P3472" s="2">
        <v>2000000</v>
      </c>
      <c r="Q3472" s="2">
        <v>6.8</v>
      </c>
      <c r="R3472" s="2" t="s">
        <v>6072</v>
      </c>
      <c r="S3472" s="2"/>
      <c r="AC3472" s="2"/>
      <c r="AD3472" t="str">
        <f>IFERROR(__xludf.DUMMYFUNCTION("""COMPUTED_VALUE"""),"Sinister ")</f>
        <v>Sinister </v>
      </c>
      <c r="AE3472">
        <f t="shared" si="83"/>
        <v>64423565</v>
      </c>
    </row>
    <row r="3473" customHeight="1" spans="1:31">
      <c r="A3473" s="2" t="s">
        <v>3797</v>
      </c>
      <c r="B3473" s="2">
        <v>86</v>
      </c>
      <c r="C3473" s="2">
        <v>535249</v>
      </c>
      <c r="D3473" s="2" t="s">
        <v>40</v>
      </c>
      <c r="E3473" s="2" t="s">
        <v>40</v>
      </c>
      <c r="N3473" s="2" t="s">
        <v>18</v>
      </c>
      <c r="O3473" s="2" t="s">
        <v>19</v>
      </c>
      <c r="P3473" s="2">
        <v>3400000</v>
      </c>
      <c r="Q3473" s="2">
        <v>4.6</v>
      </c>
      <c r="R3473" s="2" t="s">
        <v>6073</v>
      </c>
      <c r="S3473" s="2"/>
      <c r="AC3473" s="2"/>
      <c r="AD3473" t="str">
        <f>IFERROR(__xludf.DUMMYFUNCTION("""COMPUTED_VALUE"""),"Martin Lawrence Live: Runteldat ")</f>
        <v>Martin Lawrence Live: Runteldat </v>
      </c>
      <c r="AE3473">
        <f t="shared" si="83"/>
        <v>48056830</v>
      </c>
    </row>
    <row r="3474" customHeight="1" spans="1:31">
      <c r="A3474" s="2" t="s">
        <v>3799</v>
      </c>
      <c r="B3474" s="2">
        <v>96</v>
      </c>
      <c r="C3474" s="2">
        <v>371081</v>
      </c>
      <c r="D3474" s="2" t="s">
        <v>975</v>
      </c>
      <c r="E3474" s="2" t="s">
        <v>40</v>
      </c>
      <c r="N3474" s="2" t="s">
        <v>18</v>
      </c>
      <c r="O3474" s="2" t="s">
        <v>19</v>
      </c>
      <c r="P3474" s="2">
        <v>6000000</v>
      </c>
      <c r="Q3474" s="2">
        <v>7</v>
      </c>
      <c r="R3474" s="2" t="s">
        <v>6074</v>
      </c>
      <c r="S3474" s="2"/>
      <c r="AC3474" s="2"/>
      <c r="AD3474" t="str">
        <f>IFERROR(__xludf.DUMMYFUNCTION("""COMPUTED_VALUE"""),"Air Bud ")</f>
        <v>Air Bud </v>
      </c>
      <c r="AE3474">
        <f t="shared" si="83"/>
        <v>19183902</v>
      </c>
    </row>
    <row r="3475" customHeight="1" spans="1:31">
      <c r="A3475" s="2" t="s">
        <v>3801</v>
      </c>
      <c r="B3475" s="2">
        <v>91</v>
      </c>
      <c r="C3475" s="2">
        <v>124494</v>
      </c>
      <c r="D3475" s="2" t="s">
        <v>6075</v>
      </c>
      <c r="E3475" s="2" t="s">
        <v>12</v>
      </c>
      <c r="N3475" s="2" t="s">
        <v>18</v>
      </c>
      <c r="O3475" s="2" t="s">
        <v>19</v>
      </c>
      <c r="P3475" s="2">
        <v>2000000</v>
      </c>
      <c r="Q3475" s="2">
        <v>6.7</v>
      </c>
      <c r="R3475" s="2" t="s">
        <v>6076</v>
      </c>
      <c r="S3475" s="2"/>
      <c r="AC3475" s="2"/>
      <c r="AD3475" t="str">
        <f>IFERROR(__xludf.DUMMYFUNCTION("""COMPUTED_VALUE"""),"Jason Lives: Friday the 13th Part VI ")</f>
        <v>Jason Lives: Friday the 13th Part VI </v>
      </c>
      <c r="AE3475">
        <f t="shared" si="83"/>
        <v>24629818</v>
      </c>
    </row>
    <row r="3476" customHeight="1" spans="1:31">
      <c r="A3476" s="2" t="s">
        <v>3803</v>
      </c>
      <c r="B3476" s="2">
        <v>85</v>
      </c>
      <c r="C3476" s="2">
        <v>100669</v>
      </c>
      <c r="D3476" s="2" t="s">
        <v>975</v>
      </c>
      <c r="E3476" s="2" t="s">
        <v>40</v>
      </c>
      <c r="N3476" s="2" t="s">
        <v>18</v>
      </c>
      <c r="O3476" s="2" t="s">
        <v>19</v>
      </c>
      <c r="P3476" s="2">
        <v>3800000</v>
      </c>
      <c r="Q3476" s="2">
        <v>5.8</v>
      </c>
      <c r="R3476" s="2" t="s">
        <v>6077</v>
      </c>
      <c r="S3476" s="2"/>
      <c r="AC3476" s="2"/>
      <c r="AD3476" t="str">
        <f>IFERROR(__xludf.DUMMYFUNCTION("""COMPUTED_VALUE"""),"The Bridge on the River Kwai ")</f>
        <v>The Bridge on the River Kwai </v>
      </c>
      <c r="AE3476">
        <f t="shared" si="83"/>
        <v>19471971</v>
      </c>
    </row>
    <row r="3477" customHeight="1" spans="1:31">
      <c r="A3477" s="2" t="s">
        <v>176</v>
      </c>
      <c r="B3477" s="2">
        <v>129</v>
      </c>
      <c r="C3477" s="2">
        <v>186354</v>
      </c>
      <c r="D3477" s="2" t="s">
        <v>30</v>
      </c>
      <c r="E3477" s="2" t="s">
        <v>30</v>
      </c>
      <c r="N3477" s="2" t="s">
        <v>18</v>
      </c>
      <c r="O3477" s="2" t="s">
        <v>19</v>
      </c>
      <c r="P3477" s="2">
        <v>13500000</v>
      </c>
      <c r="Q3477" s="2">
        <v>4.5</v>
      </c>
      <c r="R3477" s="2" t="s">
        <v>6078</v>
      </c>
      <c r="S3477" s="2"/>
      <c r="AC3477" s="2"/>
      <c r="AD3477" t="str">
        <f>IFERROR(__xludf.DUMMYFUNCTION("""COMPUTED_VALUE"""),"Spaced Invaders ")</f>
        <v>Spaced Invaders </v>
      </c>
      <c r="AE3477">
        <f t="shared" si="83"/>
        <v>27199839</v>
      </c>
    </row>
    <row r="3478" customHeight="1" spans="1:31">
      <c r="A3478" s="2" t="s">
        <v>3805</v>
      </c>
      <c r="B3478" s="2">
        <v>95</v>
      </c>
      <c r="C3478" s="2">
        <v>17580</v>
      </c>
      <c r="D3478" s="2" t="s">
        <v>30</v>
      </c>
      <c r="E3478" s="2" t="s">
        <v>30</v>
      </c>
      <c r="N3478" s="2" t="s">
        <v>18</v>
      </c>
      <c r="O3478" s="2" t="s">
        <v>19</v>
      </c>
      <c r="P3478" s="2">
        <v>1500000</v>
      </c>
      <c r="Q3478" s="2">
        <v>6.2</v>
      </c>
      <c r="R3478" s="2" t="s">
        <v>6079</v>
      </c>
      <c r="S3478" s="2"/>
      <c r="AC3478" s="2"/>
      <c r="AD3478" t="str">
        <f>IFERROR(__xludf.DUMMYFUNCTION("""COMPUTED_VALUE"""),"Jason Goes to Hell: The Final Friday ")</f>
        <v>Jason Goes to Hell: The Final Friday </v>
      </c>
      <c r="AE3478">
        <f t="shared" si="83"/>
        <v>15369473</v>
      </c>
    </row>
    <row r="3479" customHeight="1" spans="1:31">
      <c r="A3479" s="2" t="s">
        <v>3807</v>
      </c>
      <c r="B3479" s="2">
        <v>92</v>
      </c>
      <c r="C3479" s="2">
        <v>12667</v>
      </c>
      <c r="D3479" s="2" t="s">
        <v>103</v>
      </c>
      <c r="E3479" s="2" t="s">
        <v>30</v>
      </c>
      <c r="N3479" s="2" t="s">
        <v>18</v>
      </c>
      <c r="O3479" s="2" t="s">
        <v>31</v>
      </c>
      <c r="P3479" s="2">
        <v>14000</v>
      </c>
      <c r="Q3479" s="2">
        <v>6.6</v>
      </c>
      <c r="R3479" s="2" t="s">
        <v>6080</v>
      </c>
      <c r="S3479" s="2"/>
      <c r="AC3479" s="2"/>
      <c r="AD3479" t="str">
        <f>IFERROR(__xludf.DUMMYFUNCTION("""COMPUTED_VALUE"""),"Dave Chappelle's Block Party ")</f>
        <v>Dave Chappelle's Block Party </v>
      </c>
      <c r="AE3479">
        <f t="shared" si="83"/>
        <v>15934977</v>
      </c>
    </row>
    <row r="3480" customHeight="1" spans="1:31">
      <c r="A3480" s="2" t="s">
        <v>3809</v>
      </c>
      <c r="B3480" s="2">
        <v>96</v>
      </c>
      <c r="C3480" s="2">
        <v>198407</v>
      </c>
      <c r="D3480" s="2" t="s">
        <v>30</v>
      </c>
      <c r="E3480" s="2" t="s">
        <v>30</v>
      </c>
      <c r="N3480" s="2" t="s">
        <v>18</v>
      </c>
      <c r="O3480" s="2" t="s">
        <v>19</v>
      </c>
      <c r="P3480" s="2">
        <v>2000000</v>
      </c>
      <c r="Q3480" s="2">
        <v>6.6</v>
      </c>
      <c r="R3480" s="2" t="s">
        <v>6081</v>
      </c>
      <c r="S3480" s="2"/>
      <c r="AC3480" s="2"/>
      <c r="AD3480" t="str">
        <f>IFERROR(__xludf.DUMMYFUNCTION("""COMPUTED_VALUE"""),"Next Day Air ")</f>
        <v>Next Day Air </v>
      </c>
      <c r="AE3480">
        <f t="shared" si="83"/>
        <v>11694428</v>
      </c>
    </row>
    <row r="3481" customHeight="1" spans="1:31">
      <c r="A3481" s="2" t="s">
        <v>3811</v>
      </c>
      <c r="B3481" s="2">
        <v>119</v>
      </c>
      <c r="C3481" s="2">
        <v>4958</v>
      </c>
      <c r="D3481" s="2" t="s">
        <v>5324</v>
      </c>
      <c r="E3481" s="2" t="s">
        <v>12</v>
      </c>
      <c r="N3481" s="2" t="s">
        <v>18</v>
      </c>
      <c r="O3481" s="2" t="s">
        <v>3434</v>
      </c>
      <c r="P3481" s="2">
        <v>2000000</v>
      </c>
      <c r="Q3481" s="2">
        <v>7.8</v>
      </c>
      <c r="R3481" s="2" t="s">
        <v>6082</v>
      </c>
      <c r="S3481" s="2"/>
      <c r="AC3481" s="2"/>
      <c r="AD3481" t="str">
        <f>IFERROR(__xludf.DUMMYFUNCTION("""COMPUTED_VALUE"""),"Phat Girlz ")</f>
        <v>Phat Girlz </v>
      </c>
      <c r="AE3481">
        <f t="shared" si="83"/>
        <v>10016957</v>
      </c>
    </row>
    <row r="3482" customHeight="1" spans="1:31">
      <c r="A3482" s="2" t="s">
        <v>3813</v>
      </c>
      <c r="B3482" s="2">
        <v>92</v>
      </c>
      <c r="C3482" s="2">
        <v>7927</v>
      </c>
      <c r="D3482" s="2" t="s">
        <v>6083</v>
      </c>
      <c r="E3482" s="2" t="s">
        <v>56</v>
      </c>
      <c r="N3482" s="2" t="s">
        <v>18</v>
      </c>
      <c r="O3482" s="2" t="s">
        <v>19</v>
      </c>
      <c r="P3482" s="2">
        <v>2300000</v>
      </c>
      <c r="Q3482" s="2">
        <v>7.7</v>
      </c>
      <c r="R3482" s="2" t="s">
        <v>6084</v>
      </c>
      <c r="S3482" s="2"/>
      <c r="AC3482" s="2"/>
      <c r="AD3482" t="str">
        <f>IFERROR(__xludf.DUMMYFUNCTION("""COMPUTED_VALUE"""),"Before Midnight ")</f>
        <v>Before Midnight </v>
      </c>
      <c r="AE3482">
        <f t="shared" si="83"/>
        <v>7059438</v>
      </c>
    </row>
    <row r="3483" customHeight="1" spans="1:31">
      <c r="A3483" s="2" t="s">
        <v>3815</v>
      </c>
      <c r="B3483" s="2">
        <v>106</v>
      </c>
      <c r="C3483" s="2">
        <v>2436</v>
      </c>
      <c r="D3483" s="2" t="s">
        <v>6085</v>
      </c>
      <c r="E3483" s="2" t="s">
        <v>40</v>
      </c>
      <c r="N3483" s="2" t="s">
        <v>18</v>
      </c>
      <c r="O3483" s="2" t="s">
        <v>19</v>
      </c>
      <c r="P3483" s="2">
        <v>2000000</v>
      </c>
      <c r="Q3483" s="2">
        <v>5.7</v>
      </c>
      <c r="R3483" s="2" t="s">
        <v>6086</v>
      </c>
      <c r="S3483" s="2"/>
      <c r="AC3483" s="2"/>
      <c r="AD3483" t="str">
        <f>IFERROR(__xludf.DUMMYFUNCTION("""COMPUTED_VALUE"""),"Teen Wolf Too ")</f>
        <v>Teen Wolf Too </v>
      </c>
      <c r="AE3483">
        <f t="shared" si="83"/>
        <v>8114398</v>
      </c>
    </row>
    <row r="3484" customHeight="1" spans="1:31">
      <c r="A3484" s="2" t="s">
        <v>3817</v>
      </c>
      <c r="B3484" s="2">
        <v>99</v>
      </c>
      <c r="C3484" s="2">
        <v>4600000</v>
      </c>
      <c r="D3484" s="2" t="s">
        <v>718</v>
      </c>
      <c r="E3484" s="2" t="s">
        <v>56</v>
      </c>
      <c r="N3484" s="2" t="s">
        <v>18</v>
      </c>
      <c r="O3484" s="2" t="s">
        <v>19</v>
      </c>
      <c r="P3484" s="2">
        <v>1900000</v>
      </c>
      <c r="Q3484" s="2">
        <v>7.1</v>
      </c>
      <c r="R3484" s="2" t="s">
        <v>6087</v>
      </c>
      <c r="S3484" s="2"/>
      <c r="AC3484" s="2"/>
      <c r="AD3484" t="str">
        <f>IFERROR(__xludf.DUMMYFUNCTION("""COMPUTED_VALUE"""),"Phantasm II ")</f>
        <v>Phantasm II </v>
      </c>
      <c r="AE3484">
        <f t="shared" si="83"/>
        <v>7888608</v>
      </c>
    </row>
    <row r="3485" customHeight="1" spans="1:31">
      <c r="A3485" s="2" t="s">
        <v>2760</v>
      </c>
      <c r="B3485" s="2">
        <v>103</v>
      </c>
      <c r="C3485" s="2">
        <v>1420578</v>
      </c>
      <c r="D3485" s="2" t="s">
        <v>2191</v>
      </c>
      <c r="E3485" s="2" t="s">
        <v>30</v>
      </c>
      <c r="N3485" s="2" t="s">
        <v>18</v>
      </c>
      <c r="O3485" s="2" t="s">
        <v>19</v>
      </c>
      <c r="P3485" s="2">
        <v>1900000</v>
      </c>
      <c r="Q3485" s="2">
        <v>6.4</v>
      </c>
      <c r="R3485" s="2" t="s">
        <v>6088</v>
      </c>
      <c r="S3485" s="2"/>
      <c r="AC3485" s="2"/>
      <c r="AD3485" t="str">
        <f>IFERROR(__xludf.DUMMYFUNCTION("""COMPUTED_VALUE"""),"Real Women Have Curves ")</f>
        <v>Real Women Have Curves </v>
      </c>
      <c r="AE3485">
        <f t="shared" si="83"/>
        <v>7282754</v>
      </c>
    </row>
    <row r="3486" customHeight="1" spans="1:31">
      <c r="A3486" s="2" t="s">
        <v>3819</v>
      </c>
      <c r="B3486" s="2">
        <v>95</v>
      </c>
      <c r="C3486" s="2">
        <v>1028658</v>
      </c>
      <c r="D3486" s="2" t="s">
        <v>712</v>
      </c>
      <c r="E3486" s="2" t="s">
        <v>30</v>
      </c>
      <c r="N3486" s="2" t="s">
        <v>18</v>
      </c>
      <c r="O3486" s="2" t="s">
        <v>1431</v>
      </c>
      <c r="P3486" s="2">
        <v>3000000</v>
      </c>
      <c r="Q3486" s="2">
        <v>7</v>
      </c>
      <c r="R3486" s="2" t="s">
        <v>6089</v>
      </c>
      <c r="S3486" s="2"/>
      <c r="AC3486" s="2"/>
      <c r="AD3486" t="str">
        <f>IFERROR(__xludf.DUMMYFUNCTION("""COMPUTED_VALUE"""),"East Is East ")</f>
        <v>East Is East </v>
      </c>
      <c r="AE3486">
        <f t="shared" si="83"/>
        <v>5844839</v>
      </c>
    </row>
    <row r="3487" customHeight="1" spans="1:31">
      <c r="A3487" s="2" t="s">
        <v>3822</v>
      </c>
      <c r="B3487" s="2">
        <v>95</v>
      </c>
      <c r="C3487" s="2">
        <v>18435</v>
      </c>
      <c r="D3487" s="2" t="s">
        <v>30</v>
      </c>
      <c r="E3487" s="2" t="s">
        <v>30</v>
      </c>
      <c r="N3487" s="2" t="s">
        <v>1125</v>
      </c>
      <c r="O3487" s="2" t="s">
        <v>707</v>
      </c>
      <c r="P3487" s="2">
        <v>1400000</v>
      </c>
      <c r="Q3487" s="2">
        <v>5.8</v>
      </c>
      <c r="R3487" s="2" t="s">
        <v>6090</v>
      </c>
      <c r="S3487" s="2"/>
      <c r="AC3487" s="2"/>
      <c r="AD3487" t="str">
        <f>IFERROR(__xludf.DUMMYFUNCTION("""COMPUTED_VALUE"""),"Whipped ")</f>
        <v>Whipped </v>
      </c>
      <c r="AE3487">
        <f t="shared" si="83"/>
        <v>4170551</v>
      </c>
    </row>
    <row r="3488" customHeight="1" spans="1:31">
      <c r="A3488" s="2" t="s">
        <v>2567</v>
      </c>
      <c r="B3488" s="2">
        <v>90</v>
      </c>
      <c r="C3488" s="2">
        <v>2957978</v>
      </c>
      <c r="D3488" s="2" t="s">
        <v>6091</v>
      </c>
      <c r="E3488" s="2" t="s">
        <v>59</v>
      </c>
      <c r="N3488" s="2" t="s">
        <v>18</v>
      </c>
      <c r="O3488" s="2" t="s">
        <v>31</v>
      </c>
      <c r="P3488" s="2">
        <v>1000000</v>
      </c>
      <c r="Q3488" s="2">
        <v>7.8</v>
      </c>
      <c r="R3488" s="2" t="s">
        <v>6092</v>
      </c>
      <c r="S3488" s="2"/>
      <c r="AC3488" s="2"/>
      <c r="AD3488" t="str">
        <f>IFERROR(__xludf.DUMMYFUNCTION("""COMPUTED_VALUE"""),"Kama Sutra: A Tale of Love ")</f>
        <v>Kama Sutra: A Tale of Love </v>
      </c>
      <c r="AE3488">
        <f t="shared" si="83"/>
        <v>4142425</v>
      </c>
    </row>
    <row r="3489" customHeight="1" spans="1:31">
      <c r="A3489" s="2" t="s">
        <v>3824</v>
      </c>
      <c r="B3489" s="2">
        <v>89</v>
      </c>
      <c r="C3489" s="2">
        <v>444044</v>
      </c>
      <c r="D3489" s="2" t="s">
        <v>30</v>
      </c>
      <c r="E3489" s="2" t="s">
        <v>30</v>
      </c>
      <c r="N3489" s="2" t="s">
        <v>18</v>
      </c>
      <c r="O3489" s="2" t="s">
        <v>19</v>
      </c>
      <c r="P3489" s="2">
        <v>1900000</v>
      </c>
      <c r="Q3489" s="2">
        <v>7.2</v>
      </c>
      <c r="R3489" s="2" t="s">
        <v>6093</v>
      </c>
      <c r="S3489" s="2"/>
      <c r="AC3489" s="2"/>
      <c r="AD3489" t="str">
        <f>IFERROR(__xludf.DUMMYFUNCTION("""COMPUTED_VALUE"""),"Warlock: The Armageddon ")</f>
        <v>Warlock: The Armageddon </v>
      </c>
      <c r="AE3489">
        <f t="shared" si="83"/>
        <v>4108986</v>
      </c>
    </row>
    <row r="3490" customHeight="1" spans="1:31">
      <c r="A3490" s="2" t="s">
        <v>3826</v>
      </c>
      <c r="B3490" s="2">
        <v>87</v>
      </c>
      <c r="C3490" s="2">
        <v>40990055</v>
      </c>
      <c r="D3490" s="2" t="s">
        <v>1788</v>
      </c>
      <c r="E3490" s="2" t="s">
        <v>30</v>
      </c>
      <c r="N3490" s="2" t="s">
        <v>18</v>
      </c>
      <c r="O3490" s="2" t="s">
        <v>707</v>
      </c>
      <c r="P3490" s="2">
        <v>1800000</v>
      </c>
      <c r="Q3490" s="2">
        <v>5.6</v>
      </c>
      <c r="R3490" s="2" t="s">
        <v>6094</v>
      </c>
      <c r="S3490" s="2"/>
      <c r="AC3490" s="2"/>
      <c r="AD3490" t="str">
        <f>IFERROR(__xludf.DUMMYFUNCTION("""COMPUTED_VALUE"""),"8 Heads in a Duffel Bag ")</f>
        <v>8 Heads in a Duffel Bag </v>
      </c>
      <c r="AE3490">
        <f t="shared" si="83"/>
        <v>3902581</v>
      </c>
    </row>
    <row r="3491" customHeight="1" spans="1:31">
      <c r="A3491" s="2" t="s">
        <v>3828</v>
      </c>
      <c r="B3491" s="2">
        <v>118</v>
      </c>
      <c r="C3491" s="2">
        <v>5709616</v>
      </c>
      <c r="D3491" s="2" t="s">
        <v>103</v>
      </c>
      <c r="E3491" s="2" t="s">
        <v>30</v>
      </c>
      <c r="N3491" s="2" t="s">
        <v>1081</v>
      </c>
      <c r="O3491" s="2" t="s">
        <v>4531</v>
      </c>
      <c r="P3491" s="2">
        <v>1800000</v>
      </c>
      <c r="Q3491" s="2">
        <v>6.8</v>
      </c>
      <c r="R3491" s="2" t="s">
        <v>6095</v>
      </c>
      <c r="S3491" s="2"/>
      <c r="AC3491" s="2"/>
      <c r="AD3491" t="str">
        <f>IFERROR(__xludf.DUMMYFUNCTION("""COMPUTED_VALUE"""),"Thirteen Conversations About One Thing ")</f>
        <v>Thirteen Conversations About One Thing </v>
      </c>
      <c r="AE3491">
        <f t="shared" si="83"/>
        <v>3559895</v>
      </c>
    </row>
    <row r="3492" customHeight="1" spans="1:31">
      <c r="A3492" s="2" t="s">
        <v>3830</v>
      </c>
      <c r="B3492" s="2">
        <v>93</v>
      </c>
      <c r="C3492" s="2">
        <v>12784397</v>
      </c>
      <c r="D3492" s="2" t="s">
        <v>2191</v>
      </c>
      <c r="E3492" s="2" t="s">
        <v>30</v>
      </c>
      <c r="N3492" s="2" t="s">
        <v>18</v>
      </c>
      <c r="O3492" s="2" t="s">
        <v>19</v>
      </c>
      <c r="P3492" s="2">
        <v>1800000</v>
      </c>
      <c r="Q3492" s="2">
        <v>7.3</v>
      </c>
      <c r="R3492" s="2" t="s">
        <v>6096</v>
      </c>
      <c r="S3492" s="2"/>
      <c r="AC3492" s="2"/>
      <c r="AD3492" t="str">
        <f>IFERROR(__xludf.DUMMYFUNCTION("""COMPUTED_VALUE"""),"Jawbreaker ")</f>
        <v>Jawbreaker </v>
      </c>
      <c r="AE3492">
        <f t="shared" si="83"/>
        <v>3287331</v>
      </c>
    </row>
    <row r="3493" customHeight="1" spans="1:31">
      <c r="A3493" s="2" t="s">
        <v>3832</v>
      </c>
      <c r="B3493" s="2">
        <v>109</v>
      </c>
      <c r="C3493" s="2">
        <v>3050934</v>
      </c>
      <c r="D3493" s="2" t="s">
        <v>2565</v>
      </c>
      <c r="E3493" s="2" t="s">
        <v>30</v>
      </c>
      <c r="N3493" s="2" t="s">
        <v>18</v>
      </c>
      <c r="O3493" s="2" t="s">
        <v>19</v>
      </c>
      <c r="P3493" s="2">
        <v>1800000</v>
      </c>
      <c r="Q3493" s="2">
        <v>7.3</v>
      </c>
      <c r="R3493" s="2" t="s">
        <v>6097</v>
      </c>
      <c r="S3493" s="2"/>
      <c r="AC3493" s="2"/>
      <c r="AD3493" t="str">
        <f>IFERROR(__xludf.DUMMYFUNCTION("""COMPUTED_VALUE"""),"Basquiat ")</f>
        <v>Basquiat </v>
      </c>
      <c r="AE3493">
        <f t="shared" si="83"/>
        <v>3071860</v>
      </c>
    </row>
    <row r="3494" customHeight="1" spans="1:31">
      <c r="A3494" s="2" t="s">
        <v>2996</v>
      </c>
      <c r="B3494" s="2">
        <v>90</v>
      </c>
      <c r="C3494" s="2">
        <v>638476</v>
      </c>
      <c r="D3494" s="2" t="s">
        <v>5711</v>
      </c>
      <c r="E3494" s="2" t="s">
        <v>40</v>
      </c>
      <c r="N3494" s="2" t="s">
        <v>18</v>
      </c>
      <c r="O3494" s="2" t="s">
        <v>19</v>
      </c>
      <c r="P3494" s="2">
        <v>1500000</v>
      </c>
      <c r="Q3494" s="2">
        <v>6.6</v>
      </c>
      <c r="R3494" s="2" t="s">
        <v>6098</v>
      </c>
      <c r="S3494" s="2"/>
      <c r="AC3494" s="2"/>
      <c r="AD3494" t="str">
        <f>IFERROR(__xludf.DUMMYFUNCTION("""COMPUTED_VALUE"""),"Tsotsi ")</f>
        <v>Tsotsi </v>
      </c>
      <c r="AE3494">
        <f t="shared" si="83"/>
        <v>2961883</v>
      </c>
    </row>
    <row r="3495" customHeight="1" spans="1:31">
      <c r="A3495" s="2" t="s">
        <v>3834</v>
      </c>
      <c r="B3495" s="2">
        <v>108</v>
      </c>
      <c r="C3495" s="2">
        <v>505295</v>
      </c>
      <c r="D3495" s="2" t="s">
        <v>2943</v>
      </c>
      <c r="E3495" s="2" t="s">
        <v>13</v>
      </c>
      <c r="N3495" s="2" t="s">
        <v>6099</v>
      </c>
      <c r="O3495" s="2" t="s">
        <v>159</v>
      </c>
      <c r="P3495" s="2">
        <v>1800000</v>
      </c>
      <c r="Q3495" s="2">
        <v>7.5</v>
      </c>
      <c r="R3495" s="2" t="s">
        <v>6100</v>
      </c>
      <c r="S3495" s="2"/>
      <c r="AC3495" s="2"/>
      <c r="AD3495" t="str">
        <f>IFERROR(__xludf.DUMMYFUNCTION("""COMPUTED_VALUE"""),"Happiness ")</f>
        <v>Happiness </v>
      </c>
      <c r="AE3495">
        <f t="shared" si="83"/>
        <v>2912269</v>
      </c>
    </row>
    <row r="3496" customHeight="1" spans="1:31">
      <c r="A3496" s="2" t="s">
        <v>650</v>
      </c>
      <c r="B3496" s="2">
        <v>81</v>
      </c>
      <c r="C3496" s="2">
        <v>7267324</v>
      </c>
      <c r="D3496" s="2" t="s">
        <v>718</v>
      </c>
      <c r="E3496" s="2" t="s">
        <v>56</v>
      </c>
      <c r="N3496" s="2" t="s">
        <v>4574</v>
      </c>
      <c r="O3496" s="2" t="s">
        <v>293</v>
      </c>
      <c r="P3496" s="2">
        <v>3500000</v>
      </c>
      <c r="Q3496" s="2">
        <v>7.8</v>
      </c>
      <c r="R3496" s="2" t="s">
        <v>6101</v>
      </c>
      <c r="S3496" s="2"/>
      <c r="AC3496" s="2"/>
      <c r="AD3496" t="str">
        <f>IFERROR(__xludf.DUMMYFUNCTION("""COMPUTED_VALUE"""),"DysFunktional Family ")</f>
        <v>DysFunktional Family </v>
      </c>
      <c r="AE3496">
        <f t="shared" si="83"/>
        <v>2999866</v>
      </c>
    </row>
    <row r="3497" customHeight="1" spans="1:31">
      <c r="A3497" s="2" t="s">
        <v>3837</v>
      </c>
      <c r="B3497" s="2">
        <v>93</v>
      </c>
      <c r="C3497" s="2">
        <v>145540</v>
      </c>
      <c r="D3497" s="2" t="s">
        <v>5467</v>
      </c>
      <c r="E3497" s="2" t="s">
        <v>30</v>
      </c>
      <c r="N3497" s="2" t="s">
        <v>18</v>
      </c>
      <c r="O3497" s="2" t="s">
        <v>19</v>
      </c>
      <c r="P3497" s="2">
        <v>500000</v>
      </c>
      <c r="Q3497" s="2">
        <v>6.7</v>
      </c>
      <c r="R3497" s="2" t="s">
        <v>6102</v>
      </c>
      <c r="S3497" s="2"/>
      <c r="AC3497" s="2"/>
      <c r="AD3497" t="str">
        <f>IFERROR(__xludf.DUMMYFUNCTION("""COMPUTED_VALUE"""),"Tusk ")</f>
        <v>Tusk </v>
      </c>
      <c r="AE3497">
        <f t="shared" si="83"/>
        <v>2223901</v>
      </c>
    </row>
    <row r="3498" customHeight="1" spans="1:31">
      <c r="A3498" s="2" t="s">
        <v>2721</v>
      </c>
      <c r="B3498" s="2">
        <v>138</v>
      </c>
      <c r="C3498" s="2">
        <v>35918429</v>
      </c>
      <c r="D3498" s="2" t="s">
        <v>718</v>
      </c>
      <c r="E3498" s="2" t="s">
        <v>56</v>
      </c>
      <c r="N3498" s="2" t="s">
        <v>18</v>
      </c>
      <c r="O3498" s="2" t="s">
        <v>19</v>
      </c>
      <c r="P3498" s="2">
        <v>1700000</v>
      </c>
      <c r="Q3498" s="2">
        <v>7.5</v>
      </c>
      <c r="R3498" s="2" t="s">
        <v>6103</v>
      </c>
      <c r="S3498" s="2"/>
      <c r="AC3498" s="2"/>
      <c r="AD3498" t="str">
        <f>IFERROR(__xludf.DUMMYFUNCTION("""COMPUTED_VALUE"""),"Oldboy ")</f>
        <v>Oldboy </v>
      </c>
      <c r="AE3498">
        <f t="shared" si="83"/>
        <v>1821881</v>
      </c>
    </row>
    <row r="3499" customHeight="1" spans="1:31">
      <c r="A3499" s="2" t="s">
        <v>3839</v>
      </c>
      <c r="B3499" s="2">
        <v>105</v>
      </c>
      <c r="C3499" s="2">
        <v>92401</v>
      </c>
      <c r="D3499" s="2" t="s">
        <v>2781</v>
      </c>
      <c r="E3499" s="2" t="s">
        <v>72</v>
      </c>
      <c r="N3499" s="2" t="s">
        <v>18</v>
      </c>
      <c r="O3499" s="2" t="s">
        <v>19</v>
      </c>
      <c r="P3499" s="2">
        <v>2000000</v>
      </c>
      <c r="Q3499" s="2">
        <v>6.3</v>
      </c>
      <c r="R3499" s="2" t="s">
        <v>6104</v>
      </c>
      <c r="S3499" s="2"/>
      <c r="AC3499" s="2"/>
      <c r="AD3499" t="str">
        <f>IFERROR(__xludf.DUMMYFUNCTION("""COMPUTED_VALUE"""),"Letters to God ")</f>
        <v>Letters to God </v>
      </c>
      <c r="AE3499">
        <f t="shared" si="83"/>
        <v>2181170</v>
      </c>
    </row>
    <row r="3500" customHeight="1" spans="1:31">
      <c r="A3500" s="2" t="s">
        <v>3842</v>
      </c>
      <c r="B3500" s="2">
        <v>98</v>
      </c>
      <c r="C3500" s="2">
        <v>1943649</v>
      </c>
      <c r="D3500" s="2" t="s">
        <v>1733</v>
      </c>
      <c r="E3500" s="2" t="s">
        <v>40</v>
      </c>
      <c r="N3500" s="2" t="s">
        <v>18</v>
      </c>
      <c r="O3500" s="2" t="s">
        <v>19</v>
      </c>
      <c r="P3500" s="2">
        <v>1700000</v>
      </c>
      <c r="Q3500" s="2">
        <v>6.3</v>
      </c>
      <c r="R3500" s="2" t="s">
        <v>6105</v>
      </c>
      <c r="S3500" s="2"/>
      <c r="AC3500" s="2"/>
      <c r="AD3500" t="str">
        <f>IFERROR(__xludf.DUMMYFUNCTION("""COMPUTED_VALUE"""),"Hobo with a Shotgun ")</f>
        <v>Hobo with a Shotgun </v>
      </c>
      <c r="AE3500">
        <f t="shared" si="83"/>
        <v>2848468</v>
      </c>
    </row>
    <row r="3501" customHeight="1" spans="1:31">
      <c r="A3501" s="2" t="s">
        <v>3844</v>
      </c>
      <c r="B3501" s="2">
        <v>86</v>
      </c>
      <c r="C3501" s="2">
        <v>992238</v>
      </c>
      <c r="D3501" s="2" t="s">
        <v>103</v>
      </c>
      <c r="E3501" s="2" t="s">
        <v>30</v>
      </c>
      <c r="N3501" s="2" t="s">
        <v>18</v>
      </c>
      <c r="O3501" s="2" t="s">
        <v>31</v>
      </c>
      <c r="P3501" s="2">
        <v>1700000</v>
      </c>
      <c r="Q3501" s="2">
        <v>6.8</v>
      </c>
      <c r="R3501" s="2" t="s">
        <v>6106</v>
      </c>
      <c r="S3501" s="2"/>
      <c r="AC3501" s="2"/>
      <c r="AD3501" t="str">
        <f>IFERROR(__xludf.DUMMYFUNCTION("""COMPUTED_VALUE"""),"Compadres ")</f>
        <v>Compadres </v>
      </c>
      <c r="AE3501">
        <f t="shared" si="83"/>
        <v>702916</v>
      </c>
    </row>
    <row r="3502" customHeight="1" spans="1:31">
      <c r="A3502" s="2" t="s">
        <v>3846</v>
      </c>
      <c r="B3502" s="2">
        <v>104</v>
      </c>
      <c r="C3502" s="2">
        <v>4231500</v>
      </c>
      <c r="D3502" s="2" t="s">
        <v>103</v>
      </c>
      <c r="E3502" s="2" t="s">
        <v>30</v>
      </c>
      <c r="N3502" s="2" t="s">
        <v>5227</v>
      </c>
      <c r="O3502" s="2" t="s">
        <v>2888</v>
      </c>
      <c r="P3502" s="2">
        <v>1000000</v>
      </c>
      <c r="Q3502" s="2">
        <v>7.8</v>
      </c>
      <c r="R3502" s="2" t="s">
        <v>6107</v>
      </c>
      <c r="S3502" s="2"/>
      <c r="AC3502" s="2"/>
      <c r="AD3502" t="str">
        <f>IFERROR(__xludf.DUMMYFUNCTION("""COMPUTED_VALUE"""),"Bachelorette ")</f>
        <v>Bachelorette </v>
      </c>
      <c r="AE3502">
        <f t="shared" si="83"/>
        <v>3105168</v>
      </c>
    </row>
    <row r="3503" customHeight="1" spans="1:31">
      <c r="A3503" s="2" t="s">
        <v>3848</v>
      </c>
      <c r="B3503" s="2">
        <v>100</v>
      </c>
      <c r="C3503" s="2">
        <v>396035</v>
      </c>
      <c r="D3503" s="2" t="s">
        <v>103</v>
      </c>
      <c r="E3503" s="2" t="s">
        <v>30</v>
      </c>
      <c r="N3503" s="2" t="s">
        <v>18</v>
      </c>
      <c r="O3503" s="2" t="s">
        <v>31</v>
      </c>
      <c r="P3503" s="2">
        <v>1000000</v>
      </c>
      <c r="Q3503" s="2">
        <v>6.9</v>
      </c>
      <c r="R3503" s="2" t="s">
        <v>6108</v>
      </c>
      <c r="S3503" s="2"/>
      <c r="AC3503" s="2"/>
      <c r="AD3503" t="str">
        <f>IFERROR(__xludf.DUMMYFUNCTION("""COMPUTED_VALUE"""),"Tim and Eric's Billion Dollar Movie ")</f>
        <v>Tim and Eric's Billion Dollar Movie </v>
      </c>
      <c r="AE3503">
        <f t="shared" si="83"/>
        <v>418181</v>
      </c>
    </row>
    <row r="3504" customHeight="1" spans="1:31">
      <c r="A3504" s="2" t="s">
        <v>3850</v>
      </c>
      <c r="B3504" s="2">
        <v>84</v>
      </c>
      <c r="C3504" s="2">
        <v>6026908</v>
      </c>
      <c r="D3504" s="2" t="s">
        <v>975</v>
      </c>
      <c r="E3504" s="2" t="s">
        <v>40</v>
      </c>
      <c r="N3504" s="2" t="s">
        <v>18</v>
      </c>
      <c r="O3504" s="2" t="s">
        <v>19</v>
      </c>
      <c r="P3504" s="2">
        <v>2000000</v>
      </c>
      <c r="Q3504" s="2">
        <v>4.3</v>
      </c>
      <c r="R3504" s="2" t="s">
        <v>6109</v>
      </c>
      <c r="S3504" s="2"/>
      <c r="AC3504" s="2"/>
      <c r="AD3504" t="str">
        <f>IFERROR(__xludf.DUMMYFUNCTION("""COMPUTED_VALUE"""),"Summer Storm ")</f>
        <v>Summer Storm </v>
      </c>
      <c r="AE3504">
        <f t="shared" si="83"/>
        <v>200710</v>
      </c>
    </row>
    <row r="3505" customHeight="1" spans="1:31">
      <c r="A3505" s="2" t="s">
        <v>3852</v>
      </c>
      <c r="B3505" s="2">
        <v>95</v>
      </c>
      <c r="C3505" s="2">
        <v>1060591</v>
      </c>
      <c r="D3505" s="2" t="s">
        <v>521</v>
      </c>
      <c r="E3505" s="2" t="s">
        <v>40</v>
      </c>
      <c r="N3505" s="2" t="s">
        <v>6110</v>
      </c>
      <c r="O3505" s="2" t="s">
        <v>707</v>
      </c>
      <c r="P3505" s="2">
        <v>1300000</v>
      </c>
      <c r="Q3505" s="2">
        <v>7.2</v>
      </c>
      <c r="R3505" s="2" t="s">
        <v>6111</v>
      </c>
      <c r="S3505" s="2"/>
      <c r="AC3505" s="2"/>
      <c r="AD3505" t="str">
        <f>IFERROR(__xludf.DUMMYFUNCTION("""COMPUTED_VALUE"""),"Fort McCoy ")</f>
        <v>Fort McCoy </v>
      </c>
      <c r="AE3505">
        <f t="shared" si="83"/>
        <v>94918</v>
      </c>
    </row>
    <row r="3506" customHeight="1" spans="1:31">
      <c r="A3506" s="2" t="s">
        <v>3854</v>
      </c>
      <c r="B3506" s="2">
        <v>90</v>
      </c>
      <c r="C3506" s="2">
        <v>155972</v>
      </c>
      <c r="D3506" s="2" t="s">
        <v>521</v>
      </c>
      <c r="E3506" s="2" t="s">
        <v>40</v>
      </c>
      <c r="N3506" s="2" t="s">
        <v>6062</v>
      </c>
      <c r="O3506" s="2" t="s">
        <v>6063</v>
      </c>
      <c r="P3506" s="2">
        <v>1500000</v>
      </c>
      <c r="Q3506" s="2">
        <v>7.3</v>
      </c>
      <c r="R3506" s="2" t="s">
        <v>6112</v>
      </c>
      <c r="S3506" s="2"/>
      <c r="AC3506" s="2"/>
      <c r="AD3506" t="str">
        <f>IFERROR(__xludf.DUMMYFUNCTION("""COMPUTED_VALUE"""),"Chain Letter ")</f>
        <v>Chain Letter </v>
      </c>
      <c r="AE3506">
        <f t="shared" si="83"/>
        <v>73578</v>
      </c>
    </row>
    <row r="3507" customHeight="1" spans="1:31">
      <c r="A3507" s="2" t="s">
        <v>3857</v>
      </c>
      <c r="B3507" s="2">
        <v>123</v>
      </c>
      <c r="C3507" s="2">
        <v>26893</v>
      </c>
      <c r="D3507" s="2" t="s">
        <v>5167</v>
      </c>
      <c r="E3507" s="2" t="s">
        <v>56</v>
      </c>
      <c r="N3507" s="2" t="s">
        <v>1125</v>
      </c>
      <c r="O3507" s="2" t="s">
        <v>707</v>
      </c>
      <c r="P3507" s="2">
        <v>1600000</v>
      </c>
      <c r="Q3507" s="2">
        <v>7.2</v>
      </c>
      <c r="R3507" s="2" t="s">
        <v>6113</v>
      </c>
      <c r="S3507" s="2"/>
      <c r="AC3507" s="2"/>
      <c r="AD3507" t="str">
        <f>IFERROR(__xludf.DUMMYFUNCTION("""COMPUTED_VALUE"""),"Just Looking ")</f>
        <v>Just Looking </v>
      </c>
      <c r="AE3507">
        <f t="shared" si="83"/>
        <v>142912</v>
      </c>
    </row>
    <row r="3508" customHeight="1" spans="1:31">
      <c r="A3508" s="2" t="s">
        <v>3859</v>
      </c>
      <c r="B3508" s="2">
        <v>111</v>
      </c>
      <c r="C3508" s="2">
        <v>2580</v>
      </c>
      <c r="D3508" s="2" t="s">
        <v>3388</v>
      </c>
      <c r="E3508" s="2" t="s">
        <v>30</v>
      </c>
      <c r="N3508" s="2" t="s">
        <v>18</v>
      </c>
      <c r="O3508" s="2" t="s">
        <v>19</v>
      </c>
      <c r="P3508" s="2">
        <v>1650000</v>
      </c>
      <c r="Q3508" s="2">
        <v>5.4</v>
      </c>
      <c r="R3508" s="2" t="s">
        <v>6114</v>
      </c>
      <c r="S3508" s="2"/>
      <c r="AC3508" s="2"/>
      <c r="AD3508" t="str">
        <f>IFERROR(__xludf.DUMMYFUNCTION("""COMPUTED_VALUE"""),"The Divide ")</f>
        <v>The Divide </v>
      </c>
      <c r="AE3508">
        <f t="shared" si="83"/>
        <v>39755</v>
      </c>
    </row>
    <row r="3509" customHeight="1" spans="1:31">
      <c r="A3509" s="2" t="s">
        <v>3861</v>
      </c>
      <c r="B3509" s="2">
        <v>108</v>
      </c>
      <c r="C3509" s="2">
        <v>19067631</v>
      </c>
      <c r="D3509" s="2" t="s">
        <v>521</v>
      </c>
      <c r="E3509" s="2" t="s">
        <v>40</v>
      </c>
      <c r="N3509" s="2" t="s">
        <v>18</v>
      </c>
      <c r="O3509" s="2" t="s">
        <v>19</v>
      </c>
      <c r="P3509" s="2">
        <v>2000000</v>
      </c>
      <c r="Q3509" s="2">
        <v>7.1</v>
      </c>
      <c r="R3509" s="2" t="s">
        <v>6115</v>
      </c>
      <c r="S3509" s="2"/>
      <c r="AC3509" s="2"/>
      <c r="AD3509" t="str">
        <f>IFERROR(__xludf.DUMMYFUNCTION("""COMPUTED_VALUE"""),"Tanner Hall ")</f>
        <v>Tanner Hall </v>
      </c>
      <c r="AE3509">
        <f t="shared" si="83"/>
        <v>21878</v>
      </c>
    </row>
    <row r="3510" customHeight="1" spans="1:31">
      <c r="A3510" s="2" t="s">
        <v>3863</v>
      </c>
      <c r="B3510" s="2">
        <v>92</v>
      </c>
      <c r="C3510" s="2">
        <v>11806119</v>
      </c>
      <c r="D3510" s="2" t="s">
        <v>2975</v>
      </c>
      <c r="E3510" s="2" t="s">
        <v>12</v>
      </c>
      <c r="N3510" s="2" t="s">
        <v>18</v>
      </c>
      <c r="O3510" s="2" t="s">
        <v>19</v>
      </c>
      <c r="P3510" s="2">
        <v>1100000</v>
      </c>
      <c r="Q3510" s="2">
        <v>6.8</v>
      </c>
      <c r="R3510" s="2" t="s">
        <v>6116</v>
      </c>
      <c r="S3510" s="2"/>
      <c r="AC3510" s="2"/>
      <c r="AD3510" t="str">
        <f>IFERROR(__xludf.DUMMYFUNCTION("""COMPUTED_VALUE"""),"Central Station ")</f>
        <v>Central Station </v>
      </c>
      <c r="AE3510">
        <f t="shared" si="83"/>
        <v>4909</v>
      </c>
    </row>
    <row r="3511" customHeight="1" spans="1:31">
      <c r="A3511" s="2" t="s">
        <v>3865</v>
      </c>
      <c r="B3511" s="2">
        <v>91</v>
      </c>
      <c r="C3511" s="2">
        <v>7417210</v>
      </c>
      <c r="D3511" s="2" t="s">
        <v>30</v>
      </c>
      <c r="E3511" s="2" t="s">
        <v>30</v>
      </c>
      <c r="N3511" s="2" t="s">
        <v>18</v>
      </c>
      <c r="O3511" s="2" t="s">
        <v>19</v>
      </c>
      <c r="P3511" s="2">
        <v>1500000</v>
      </c>
      <c r="Q3511" s="2">
        <v>7</v>
      </c>
      <c r="R3511" s="2" t="s">
        <v>6117</v>
      </c>
      <c r="S3511" s="2"/>
      <c r="AC3511" s="2"/>
      <c r="AD3511" t="str">
        <f>IFERROR(__xludf.DUMMYFUNCTION("""COMPUTED_VALUE"""),"Boynton Beach Club ")</f>
        <v>Boynton Beach Club </v>
      </c>
      <c r="AE3511">
        <f t="shared" ref="AE3511:AE3574" si="84">C3395-B3395</f>
        <v>5595315</v>
      </c>
    </row>
    <row r="3512" customHeight="1" spans="1:31">
      <c r="A3512" s="2" t="s">
        <v>3053</v>
      </c>
      <c r="B3512" s="2">
        <v>88</v>
      </c>
      <c r="C3512" s="2">
        <v>7362100</v>
      </c>
      <c r="D3512" s="2" t="s">
        <v>975</v>
      </c>
      <c r="E3512" s="2" t="s">
        <v>40</v>
      </c>
      <c r="N3512" s="2" t="s">
        <v>18</v>
      </c>
      <c r="O3512" s="2" t="s">
        <v>19</v>
      </c>
      <c r="P3512" s="2">
        <v>1500000</v>
      </c>
      <c r="Q3512" s="2">
        <v>7.4</v>
      </c>
      <c r="R3512" s="2" t="s">
        <v>6118</v>
      </c>
      <c r="S3512" s="2"/>
      <c r="AC3512" s="2"/>
      <c r="AD3512" t="str">
        <f>IFERROR(__xludf.DUMMYFUNCTION("""COMPUTED_VALUE"""),"Freakonomics ")</f>
        <v>Freakonomics </v>
      </c>
      <c r="AE3512">
        <f t="shared" si="84"/>
        <v>3123644</v>
      </c>
    </row>
    <row r="3513" customHeight="1" spans="1:31">
      <c r="A3513" s="2" t="s">
        <v>2002</v>
      </c>
      <c r="B3513" s="2">
        <v>97</v>
      </c>
      <c r="C3513" s="2">
        <v>7022940</v>
      </c>
      <c r="D3513" s="2" t="s">
        <v>521</v>
      </c>
      <c r="E3513" s="2" t="s">
        <v>40</v>
      </c>
      <c r="N3513" s="2" t="s">
        <v>18</v>
      </c>
      <c r="O3513" s="2" t="s">
        <v>19</v>
      </c>
      <c r="P3513" s="2">
        <v>1000000</v>
      </c>
      <c r="Q3513" s="2">
        <v>6.7</v>
      </c>
      <c r="R3513" s="2" t="s">
        <v>6119</v>
      </c>
      <c r="S3513" s="2"/>
      <c r="AC3513" s="2"/>
      <c r="AD3513" t="str">
        <f>IFERROR(__xludf.DUMMYFUNCTION("""COMPUTED_VALUE"""),"High Tension ")</f>
        <v>High Tension </v>
      </c>
      <c r="AE3513">
        <f t="shared" si="84"/>
        <v>100582</v>
      </c>
    </row>
    <row r="3514" customHeight="1" spans="1:31">
      <c r="A3514" s="2" t="s">
        <v>2099</v>
      </c>
      <c r="B3514" s="2">
        <v>103</v>
      </c>
      <c r="C3514" s="2">
        <v>5132222</v>
      </c>
      <c r="D3514" s="2" t="s">
        <v>1543</v>
      </c>
      <c r="E3514" s="2" t="s">
        <v>30</v>
      </c>
      <c r="N3514" s="2" t="s">
        <v>18</v>
      </c>
      <c r="O3514" s="2" t="s">
        <v>121</v>
      </c>
      <c r="P3514" s="2">
        <v>2000000</v>
      </c>
      <c r="Q3514" s="2">
        <v>7.2</v>
      </c>
      <c r="R3514" s="2" t="s">
        <v>6120</v>
      </c>
      <c r="S3514" s="2"/>
      <c r="AC3514" s="2"/>
      <c r="AD3514" t="str">
        <f>IFERROR(__xludf.DUMMYFUNCTION("""COMPUTED_VALUE"""),"Hustle &amp; Flow ")</f>
        <v>Hustle &amp; Flow </v>
      </c>
      <c r="AE3514">
        <f t="shared" si="84"/>
        <v>3645349</v>
      </c>
    </row>
    <row r="3515" customHeight="1" spans="1:31">
      <c r="A3515" s="2" t="s">
        <v>3066</v>
      </c>
      <c r="B3515" s="2">
        <v>110</v>
      </c>
      <c r="C3515" s="2">
        <v>2365931</v>
      </c>
      <c r="D3515" s="2" t="s">
        <v>1231</v>
      </c>
      <c r="E3515" s="2" t="s">
        <v>40</v>
      </c>
      <c r="N3515" s="2" t="s">
        <v>18</v>
      </c>
      <c r="O3515" s="2" t="s">
        <v>19</v>
      </c>
      <c r="P3515" s="2">
        <v>1500000</v>
      </c>
      <c r="Q3515" s="2">
        <v>7.5</v>
      </c>
      <c r="R3515" s="2" t="s">
        <v>6121</v>
      </c>
      <c r="S3515" s="2"/>
      <c r="AC3515" s="2"/>
      <c r="AD3515" t="str">
        <f>IFERROR(__xludf.DUMMYFUNCTION("""COMPUTED_VALUE"""),"Some Like It Hot ")</f>
        <v>Some Like It Hot </v>
      </c>
      <c r="AE3515">
        <f t="shared" si="84"/>
        <v>22201520</v>
      </c>
    </row>
    <row r="3516" customHeight="1" spans="1:31">
      <c r="A3516" s="2" t="s">
        <v>149</v>
      </c>
      <c r="B3516" s="2">
        <v>103</v>
      </c>
      <c r="C3516" s="2">
        <v>53991137</v>
      </c>
      <c r="D3516" s="2" t="s">
        <v>1036</v>
      </c>
      <c r="E3516" s="2" t="s">
        <v>14</v>
      </c>
      <c r="N3516" s="2" t="s">
        <v>18</v>
      </c>
      <c r="O3516" s="2" t="s">
        <v>19</v>
      </c>
      <c r="P3516" s="2">
        <v>1500000</v>
      </c>
      <c r="Q3516" s="2">
        <v>6.8</v>
      </c>
      <c r="R3516" s="2" t="s">
        <v>6122</v>
      </c>
      <c r="S3516" s="2"/>
      <c r="AC3516" s="2"/>
      <c r="AD3516" t="str">
        <f>IFERROR(__xludf.DUMMYFUNCTION("""COMPUTED_VALUE"""),"Friday the 13th Part VII: The New Blood ")</f>
        <v>Friday the 13th Part VII: The New Blood </v>
      </c>
      <c r="AE3516">
        <f t="shared" si="84"/>
        <v>24999880</v>
      </c>
    </row>
    <row r="3517" customHeight="1" spans="1:31">
      <c r="A3517" s="2" t="s">
        <v>3868</v>
      </c>
      <c r="B3517" s="2">
        <v>114</v>
      </c>
      <c r="C3517" s="2">
        <v>1221261</v>
      </c>
      <c r="D3517" s="2" t="s">
        <v>805</v>
      </c>
      <c r="E3517" s="2" t="s">
        <v>56</v>
      </c>
      <c r="N3517" s="2" t="s">
        <v>1081</v>
      </c>
      <c r="O3517" s="2" t="s">
        <v>5903</v>
      </c>
      <c r="P3517" s="2">
        <v>1500000</v>
      </c>
      <c r="Q3517" s="2">
        <v>7.9</v>
      </c>
      <c r="R3517" s="2" t="s">
        <v>6123</v>
      </c>
      <c r="S3517" s="2"/>
      <c r="AC3517" s="2"/>
      <c r="AD3517" t="str">
        <f>IFERROR(__xludf.DUMMYFUNCTION("""COMPUTED_VALUE"""),"The Wizard of Oz ")</f>
        <v>The Wizard of Oz </v>
      </c>
      <c r="AE3517">
        <f t="shared" si="84"/>
        <v>19169913</v>
      </c>
    </row>
    <row r="3518" customHeight="1" spans="1:31">
      <c r="A3518" s="2" t="s">
        <v>3870</v>
      </c>
      <c r="B3518" s="2">
        <v>112</v>
      </c>
      <c r="C3518" s="2">
        <v>712294</v>
      </c>
      <c r="D3518" s="2" t="s">
        <v>30</v>
      </c>
      <c r="E3518" s="2" t="s">
        <v>30</v>
      </c>
      <c r="N3518" s="2" t="s">
        <v>18</v>
      </c>
      <c r="O3518" s="2" t="s">
        <v>19</v>
      </c>
      <c r="P3518" s="2">
        <v>1500000</v>
      </c>
      <c r="Q3518" s="2">
        <v>6.7</v>
      </c>
      <c r="R3518" s="2" t="s">
        <v>6124</v>
      </c>
      <c r="S3518" s="2"/>
      <c r="AC3518" s="2"/>
      <c r="AD3518" t="str">
        <f>IFERROR(__xludf.DUMMYFUNCTION("""COMPUTED_VALUE"""),"Young Frankenstein ")</f>
        <v>Young Frankenstein </v>
      </c>
      <c r="AE3518">
        <f t="shared" si="84"/>
        <v>22202510</v>
      </c>
    </row>
    <row r="3519" customHeight="1" spans="1:31">
      <c r="A3519" s="2" t="s">
        <v>3872</v>
      </c>
      <c r="B3519" s="2">
        <v>104</v>
      </c>
      <c r="C3519" s="2">
        <v>3447339</v>
      </c>
      <c r="D3519" s="2" t="s">
        <v>607</v>
      </c>
      <c r="E3519" s="2" t="s">
        <v>40</v>
      </c>
      <c r="N3519" s="2" t="s">
        <v>18</v>
      </c>
      <c r="O3519" s="2" t="s">
        <v>19</v>
      </c>
      <c r="P3519" s="2">
        <v>1500000</v>
      </c>
      <c r="Q3519" s="2">
        <v>5.8</v>
      </c>
      <c r="R3519" s="2" t="s">
        <v>6125</v>
      </c>
      <c r="S3519" s="2"/>
      <c r="AC3519" s="2"/>
      <c r="AD3519" t="str">
        <f>IFERROR(__xludf.DUMMYFUNCTION("""COMPUTED_VALUE"""),"Diary of the Dead ")</f>
        <v>Diary of the Dead </v>
      </c>
      <c r="AE3519">
        <f t="shared" si="84"/>
        <v>86299894</v>
      </c>
    </row>
    <row r="3520" customHeight="1" spans="1:31">
      <c r="A3520" s="2" t="s">
        <v>3552</v>
      </c>
      <c r="B3520" s="2">
        <v>99</v>
      </c>
      <c r="C3520" s="2">
        <v>418953</v>
      </c>
      <c r="D3520" s="2" t="s">
        <v>805</v>
      </c>
      <c r="E3520" s="2" t="s">
        <v>56</v>
      </c>
      <c r="N3520" s="2" t="s">
        <v>18</v>
      </c>
      <c r="O3520" s="2" t="s">
        <v>707</v>
      </c>
      <c r="P3520" s="2">
        <v>1500000</v>
      </c>
      <c r="Q3520" s="2">
        <v>6.5</v>
      </c>
      <c r="R3520" s="2" t="s">
        <v>6126</v>
      </c>
      <c r="S3520" s="2"/>
      <c r="AC3520" s="2"/>
      <c r="AD3520" t="str">
        <f>IFERROR(__xludf.DUMMYFUNCTION("""COMPUTED_VALUE"""),"Ulee's Gold ")</f>
        <v>Ulee's Gold </v>
      </c>
      <c r="AE3520">
        <f t="shared" si="84"/>
        <v>952525</v>
      </c>
    </row>
    <row r="3521" customHeight="1" spans="1:31">
      <c r="A3521" s="2" t="s">
        <v>3874</v>
      </c>
      <c r="B3521" s="2">
        <v>98</v>
      </c>
      <c r="C3521" s="2">
        <v>406035</v>
      </c>
      <c r="D3521" s="2" t="s">
        <v>30</v>
      </c>
      <c r="E3521" s="2" t="s">
        <v>30</v>
      </c>
      <c r="N3521" s="2" t="s">
        <v>18</v>
      </c>
      <c r="O3521" s="2" t="s">
        <v>19</v>
      </c>
      <c r="P3521" s="2">
        <v>1500000</v>
      </c>
      <c r="Q3521" s="2">
        <v>7.2</v>
      </c>
      <c r="R3521" s="2" t="s">
        <v>6127</v>
      </c>
      <c r="S3521" s="2"/>
      <c r="AC3521" s="2"/>
      <c r="AD3521" t="str">
        <f>IFERROR(__xludf.DUMMYFUNCTION("""COMPUTED_VALUE"""),"Blazing Saddles ")</f>
        <v>Blazing Saddles </v>
      </c>
      <c r="AE3521">
        <f t="shared" si="84"/>
        <v>9054623</v>
      </c>
    </row>
    <row r="3522" customHeight="1" spans="1:31">
      <c r="A3522" s="2" t="s">
        <v>2669</v>
      </c>
      <c r="B3522" s="2">
        <v>100</v>
      </c>
      <c r="C3522" s="2">
        <v>373967</v>
      </c>
      <c r="D3522" s="2" t="s">
        <v>2613</v>
      </c>
      <c r="E3522" s="2" t="s">
        <v>72</v>
      </c>
      <c r="N3522" s="2" t="s">
        <v>18</v>
      </c>
      <c r="O3522" s="2" t="s">
        <v>19</v>
      </c>
      <c r="P3522" s="2">
        <v>1500000</v>
      </c>
      <c r="Q3522" s="2">
        <v>6.5</v>
      </c>
      <c r="R3522" s="2" t="s">
        <v>6128</v>
      </c>
      <c r="S3522" s="2"/>
      <c r="AC3522" s="2"/>
      <c r="AD3522" t="str">
        <f>IFERROR(__xludf.DUMMYFUNCTION("""COMPUTED_VALUE"""),"Friday the 13th: The Final Chapter ")</f>
        <v>Friday the 13th: The Final Chapter </v>
      </c>
      <c r="AE3522">
        <f t="shared" si="84"/>
        <v>119499907</v>
      </c>
    </row>
    <row r="3523" customHeight="1" spans="1:31">
      <c r="A3523" s="2" t="s">
        <v>3876</v>
      </c>
      <c r="B3523" s="2">
        <v>80</v>
      </c>
      <c r="C3523" s="2">
        <v>194568</v>
      </c>
      <c r="D3523" s="2" t="s">
        <v>607</v>
      </c>
      <c r="E3523" s="2" t="s">
        <v>40</v>
      </c>
      <c r="N3523" s="2" t="s">
        <v>18</v>
      </c>
      <c r="O3523" s="2" t="s">
        <v>19</v>
      </c>
      <c r="P3523" s="2">
        <v>1500000</v>
      </c>
      <c r="Q3523" s="2">
        <v>6.2</v>
      </c>
      <c r="R3523" s="2" t="s">
        <v>6129</v>
      </c>
      <c r="S3523" s="2"/>
      <c r="AC3523" s="2"/>
      <c r="AD3523" t="str">
        <f>IFERROR(__xludf.DUMMYFUNCTION("""COMPUTED_VALUE"""),"Maurice ")</f>
        <v>Maurice </v>
      </c>
      <c r="AE3523">
        <f t="shared" si="84"/>
        <v>32599903</v>
      </c>
    </row>
    <row r="3524" customHeight="1" spans="1:31">
      <c r="A3524" s="2" t="s">
        <v>3878</v>
      </c>
      <c r="B3524" s="2">
        <v>87</v>
      </c>
      <c r="C3524" s="2">
        <v>163245</v>
      </c>
      <c r="D3524" s="2" t="s">
        <v>1590</v>
      </c>
      <c r="E3524" s="2" t="s">
        <v>40</v>
      </c>
      <c r="N3524" s="2" t="s">
        <v>18</v>
      </c>
      <c r="O3524" s="2" t="s">
        <v>19</v>
      </c>
      <c r="P3524" s="2">
        <v>1500000</v>
      </c>
      <c r="Q3524" s="2">
        <v>8.6</v>
      </c>
      <c r="R3524" s="2" t="s">
        <v>6130</v>
      </c>
      <c r="S3524" s="2"/>
      <c r="AC3524" s="2"/>
      <c r="AD3524" t="str">
        <f>IFERROR(__xludf.DUMMYFUNCTION("""COMPUTED_VALUE"""),"Beer League ")</f>
        <v>Beer League </v>
      </c>
      <c r="AE3524">
        <f t="shared" si="84"/>
        <v>3130452</v>
      </c>
    </row>
    <row r="3525" customHeight="1" spans="1:31">
      <c r="A3525" s="2" t="s">
        <v>3880</v>
      </c>
      <c r="B3525" s="2">
        <v>91</v>
      </c>
      <c r="C3525" s="2">
        <v>119841</v>
      </c>
      <c r="D3525" s="2" t="s">
        <v>30</v>
      </c>
      <c r="E3525" s="2" t="s">
        <v>30</v>
      </c>
      <c r="N3525" s="2" t="s">
        <v>18</v>
      </c>
      <c r="O3525" s="2" t="s">
        <v>19</v>
      </c>
      <c r="P3525" s="2">
        <v>1500000</v>
      </c>
      <c r="Q3525" s="2">
        <v>6.5</v>
      </c>
      <c r="R3525" s="2" t="s">
        <v>6131</v>
      </c>
      <c r="S3525" s="2"/>
      <c r="AC3525" s="2"/>
      <c r="AD3525" t="str">
        <f>IFERROR(__xludf.DUMMYFUNCTION("""COMPUTED_VALUE"""),"Timecrimes ")</f>
        <v>Timecrimes </v>
      </c>
      <c r="AE3525">
        <f t="shared" si="84"/>
        <v>474914</v>
      </c>
    </row>
    <row r="3526" customHeight="1" spans="1:31">
      <c r="A3526" s="2" t="s">
        <v>3882</v>
      </c>
      <c r="B3526" s="2">
        <v>84</v>
      </c>
      <c r="C3526" s="2">
        <v>173066</v>
      </c>
      <c r="D3526" s="2" t="s">
        <v>1086</v>
      </c>
      <c r="E3526" s="2" t="s">
        <v>40</v>
      </c>
      <c r="N3526" s="2" t="s">
        <v>18</v>
      </c>
      <c r="O3526" s="2" t="s">
        <v>19</v>
      </c>
      <c r="P3526" s="2">
        <v>1500000</v>
      </c>
      <c r="Q3526" s="2">
        <v>6.3</v>
      </c>
      <c r="R3526" s="2" t="s">
        <v>6132</v>
      </c>
      <c r="S3526" s="2"/>
      <c r="AC3526" s="2"/>
      <c r="AD3526" t="str">
        <f>IFERROR(__xludf.DUMMYFUNCTION("""COMPUTED_VALUE"""),"A Haunted House ")</f>
        <v>A Haunted House </v>
      </c>
      <c r="AE3526">
        <f t="shared" si="84"/>
        <v>38042</v>
      </c>
    </row>
    <row r="3527" customHeight="1" spans="1:31">
      <c r="A3527" s="2" t="s">
        <v>2758</v>
      </c>
      <c r="B3527" s="2">
        <v>90</v>
      </c>
      <c r="C3527" s="2">
        <v>92362</v>
      </c>
      <c r="D3527" s="2" t="s">
        <v>975</v>
      </c>
      <c r="E3527" s="2" t="s">
        <v>40</v>
      </c>
      <c r="N3527" s="2" t="s">
        <v>18</v>
      </c>
      <c r="O3527" s="2" t="s">
        <v>19</v>
      </c>
      <c r="P3527" s="2">
        <v>1500000</v>
      </c>
      <c r="Q3527" s="2">
        <v>4.3</v>
      </c>
      <c r="R3527" s="2" t="s">
        <v>6133</v>
      </c>
      <c r="S3527" s="2"/>
      <c r="AC3527" s="2"/>
      <c r="AD3527" t="str">
        <f>IFERROR(__xludf.DUMMYFUNCTION("""COMPUTED_VALUE"""),"2016: Obama's America ")</f>
        <v>2016: Obama's America </v>
      </c>
      <c r="AE3527">
        <f t="shared" si="84"/>
        <v>40041597</v>
      </c>
    </row>
    <row r="3528" customHeight="1" spans="1:31">
      <c r="A3528" s="2" t="s">
        <v>3884</v>
      </c>
      <c r="B3528" s="2">
        <v>98</v>
      </c>
      <c r="C3528" s="2">
        <v>105943</v>
      </c>
      <c r="D3528" s="2" t="s">
        <v>40</v>
      </c>
      <c r="E3528" s="2" t="s">
        <v>40</v>
      </c>
      <c r="N3528" s="2" t="s">
        <v>18</v>
      </c>
      <c r="O3528" s="2" t="s">
        <v>19</v>
      </c>
      <c r="P3528" s="2">
        <v>1500000</v>
      </c>
      <c r="Q3528" s="2">
        <v>6.1</v>
      </c>
      <c r="R3528" s="2" t="s">
        <v>6134</v>
      </c>
      <c r="S3528" s="2"/>
      <c r="AC3528" s="2"/>
      <c r="AD3528" t="str">
        <f>IFERROR(__xludf.DUMMYFUNCTION("""COMPUTED_VALUE"""),"That Thing You Do! ")</f>
        <v>That Thing You Do! </v>
      </c>
      <c r="AE3528">
        <f t="shared" si="84"/>
        <v>33349862</v>
      </c>
    </row>
    <row r="3529" customHeight="1" spans="1:31">
      <c r="A3529" s="2" t="s">
        <v>3149</v>
      </c>
      <c r="B3529" s="2">
        <v>124</v>
      </c>
      <c r="C3529" s="2">
        <v>183490</v>
      </c>
      <c r="D3529" s="2" t="s">
        <v>1354</v>
      </c>
      <c r="E3529" s="2" t="s">
        <v>30</v>
      </c>
      <c r="N3529" s="2" t="s">
        <v>18</v>
      </c>
      <c r="O3529" s="2" t="s">
        <v>19</v>
      </c>
      <c r="P3529" s="2">
        <v>1700000</v>
      </c>
      <c r="Q3529" s="2">
        <v>5.8</v>
      </c>
      <c r="R3529" s="2" t="s">
        <v>6135</v>
      </c>
      <c r="S3529" s="2"/>
      <c r="AC3529" s="2"/>
      <c r="AD3529" t="str">
        <f>IFERROR(__xludf.DUMMYFUNCTION("""COMPUTED_VALUE"""),"Halloween III: Season of the Witch ")</f>
        <v>Halloween III: Season of the Witch </v>
      </c>
      <c r="AE3529">
        <f t="shared" si="84"/>
        <v>25809664</v>
      </c>
    </row>
    <row r="3530" customHeight="1" spans="1:31">
      <c r="A3530" s="2" t="s">
        <v>3886</v>
      </c>
      <c r="B3530" s="2">
        <v>95</v>
      </c>
      <c r="C3530" s="2">
        <v>3478</v>
      </c>
      <c r="D3530" s="2" t="s">
        <v>3112</v>
      </c>
      <c r="E3530" s="2" t="s">
        <v>14</v>
      </c>
      <c r="N3530" s="2" t="s">
        <v>18</v>
      </c>
      <c r="O3530" s="2" t="s">
        <v>121</v>
      </c>
      <c r="P3530" s="2">
        <v>1500000</v>
      </c>
      <c r="Q3530" s="2">
        <v>6.7</v>
      </c>
      <c r="R3530" s="2" t="s">
        <v>6136</v>
      </c>
      <c r="S3530" s="2"/>
      <c r="AC3530" s="2"/>
      <c r="AD3530" t="str">
        <f>IFERROR(__xludf.DUMMYFUNCTION("""COMPUTED_VALUE"""),"Kevin Hart: Let Me Explain ")</f>
        <v>Kevin Hart: Let Me Explain </v>
      </c>
      <c r="AE3530">
        <f t="shared" si="84"/>
        <v>14399902</v>
      </c>
    </row>
    <row r="3531" customHeight="1" spans="1:31">
      <c r="A3531" s="2" t="s">
        <v>3888</v>
      </c>
      <c r="B3531" s="2">
        <v>90</v>
      </c>
      <c r="C3531" s="2">
        <v>52166</v>
      </c>
      <c r="D3531" s="2" t="s">
        <v>30</v>
      </c>
      <c r="E3531" s="2" t="s">
        <v>30</v>
      </c>
      <c r="N3531" s="2" t="s">
        <v>18</v>
      </c>
      <c r="O3531" s="2" t="s">
        <v>19</v>
      </c>
      <c r="P3531" s="2">
        <v>2000000</v>
      </c>
      <c r="Q3531" s="2">
        <v>6.7</v>
      </c>
      <c r="R3531" s="2" t="s">
        <v>6137</v>
      </c>
      <c r="S3531" s="2"/>
      <c r="AC3531" s="2"/>
      <c r="AD3531" t="str">
        <f>IFERROR(__xludf.DUMMYFUNCTION("""COMPUTED_VALUE"""),"My Own Private Idaho ")</f>
        <v>My Own Private Idaho </v>
      </c>
      <c r="AE3531">
        <f t="shared" si="84"/>
        <v>32230832</v>
      </c>
    </row>
    <row r="3532" customHeight="1" spans="1:31">
      <c r="A3532" s="2" t="s">
        <v>2571</v>
      </c>
      <c r="B3532" s="2">
        <v>101</v>
      </c>
      <c r="C3532" s="2">
        <v>1163508</v>
      </c>
      <c r="D3532" s="2" t="s">
        <v>346</v>
      </c>
      <c r="E3532" s="2" t="s">
        <v>30</v>
      </c>
      <c r="N3532" s="2" t="s">
        <v>18</v>
      </c>
      <c r="O3532" s="2" t="s">
        <v>19</v>
      </c>
      <c r="P3532" s="2">
        <v>2500000</v>
      </c>
      <c r="Q3532" s="2">
        <v>5.1</v>
      </c>
      <c r="R3532" s="2" t="s">
        <v>6138</v>
      </c>
      <c r="S3532" s="2"/>
      <c r="AC3532" s="2"/>
      <c r="AD3532" t="str">
        <f>IFERROR(__xludf.DUMMYFUNCTION("""COMPUTED_VALUE"""),"Garden State ")</f>
        <v>Garden State </v>
      </c>
      <c r="AE3532">
        <f t="shared" si="84"/>
        <v>6401232</v>
      </c>
    </row>
    <row r="3533" customHeight="1" spans="1:31">
      <c r="A3533" s="2" t="s">
        <v>3890</v>
      </c>
      <c r="B3533" s="2">
        <v>83</v>
      </c>
      <c r="C3533" s="2">
        <v>184925485</v>
      </c>
      <c r="D3533" s="2" t="s">
        <v>2494</v>
      </c>
      <c r="E3533" s="2" t="s">
        <v>35</v>
      </c>
      <c r="N3533" s="2" t="s">
        <v>18</v>
      </c>
      <c r="O3533" s="2" t="s">
        <v>19</v>
      </c>
      <c r="P3533" s="2">
        <v>2000000</v>
      </c>
      <c r="Q3533" s="2">
        <v>7.7</v>
      </c>
      <c r="R3533" s="2" t="s">
        <v>6139</v>
      </c>
      <c r="S3533" s="2"/>
      <c r="AC3533" s="2"/>
      <c r="AD3533" t="str">
        <f>IFERROR(__xludf.DUMMYFUNCTION("""COMPUTED_VALUE"""),"Before Sunrise ")</f>
        <v>Before Sunrise </v>
      </c>
      <c r="AE3533">
        <f t="shared" si="84"/>
        <v>26781621</v>
      </c>
    </row>
    <row r="3534" customHeight="1" spans="1:31">
      <c r="A3534" s="2" t="s">
        <v>3893</v>
      </c>
      <c r="B3534" s="2">
        <v>106</v>
      </c>
      <c r="C3534" s="2">
        <v>304124</v>
      </c>
      <c r="D3534" s="2" t="s">
        <v>30</v>
      </c>
      <c r="E3534" s="2" t="s">
        <v>30</v>
      </c>
      <c r="N3534" s="2" t="s">
        <v>1081</v>
      </c>
      <c r="O3534" s="2" t="s">
        <v>5903</v>
      </c>
      <c r="P3534" s="2">
        <v>1400000</v>
      </c>
      <c r="Q3534" s="2">
        <v>6.7</v>
      </c>
      <c r="R3534" s="2" t="s">
        <v>6140</v>
      </c>
      <c r="S3534" s="2"/>
      <c r="AC3534" s="2"/>
      <c r="AD3534" t="str">
        <f>IFERROR(__xludf.DUMMYFUNCTION("""COMPUTED_VALUE"""),"Jesus' Son ")</f>
        <v>Jesus' Son </v>
      </c>
      <c r="AE3534">
        <f t="shared" si="84"/>
        <v>5399895</v>
      </c>
    </row>
    <row r="3535" customHeight="1" spans="1:31">
      <c r="A3535" s="2" t="s">
        <v>3895</v>
      </c>
      <c r="B3535" s="2">
        <v>94</v>
      </c>
      <c r="C3535" s="2">
        <v>36830</v>
      </c>
      <c r="D3535" s="2" t="s">
        <v>6141</v>
      </c>
      <c r="E3535" s="2" t="s">
        <v>13</v>
      </c>
      <c r="N3535" s="2" t="s">
        <v>18</v>
      </c>
      <c r="O3535" s="2" t="s">
        <v>31</v>
      </c>
      <c r="P3535" s="2">
        <v>1400000</v>
      </c>
      <c r="Q3535" s="2">
        <v>6.6</v>
      </c>
      <c r="R3535" s="2" t="s">
        <v>6142</v>
      </c>
      <c r="S3535" s="2"/>
      <c r="AC3535" s="2"/>
      <c r="AD3535" t="str">
        <f>IFERROR(__xludf.DUMMYFUNCTION("""COMPUTED_VALUE"""),"Robot &amp; Frank ")</f>
        <v>Robot &amp; Frank </v>
      </c>
      <c r="AE3535">
        <f t="shared" si="84"/>
        <v>1281977</v>
      </c>
    </row>
    <row r="3536" customHeight="1" spans="1:31">
      <c r="A3536" s="2" t="s">
        <v>479</v>
      </c>
      <c r="B3536" s="2">
        <v>120</v>
      </c>
      <c r="C3536" s="2">
        <v>3650677</v>
      </c>
      <c r="D3536" s="2" t="s">
        <v>383</v>
      </c>
      <c r="E3536" s="2" t="s">
        <v>40</v>
      </c>
      <c r="N3536" s="2" t="s">
        <v>18</v>
      </c>
      <c r="O3536" s="2" t="s">
        <v>31</v>
      </c>
      <c r="P3536" s="2">
        <v>960000</v>
      </c>
      <c r="Q3536" s="2">
        <v>8.2</v>
      </c>
      <c r="R3536" s="2" t="s">
        <v>6143</v>
      </c>
      <c r="S3536" s="2"/>
      <c r="AC3536" s="2"/>
      <c r="AD3536" t="str">
        <f>IFERROR(__xludf.DUMMYFUNCTION("""COMPUTED_VALUE"""),"My Life Without Me ")</f>
        <v>My Life Without Me </v>
      </c>
      <c r="AE3536">
        <f t="shared" si="84"/>
        <v>3325549</v>
      </c>
    </row>
    <row r="3537" customHeight="1" spans="1:31">
      <c r="A3537" s="2" t="s">
        <v>3209</v>
      </c>
      <c r="B3537" s="2">
        <v>105</v>
      </c>
      <c r="C3537" s="2">
        <v>1647780</v>
      </c>
      <c r="D3537" s="2" t="s">
        <v>30</v>
      </c>
      <c r="E3537" s="2" t="s">
        <v>30</v>
      </c>
      <c r="N3537" s="2" t="s">
        <v>5421</v>
      </c>
      <c r="O3537" s="2" t="s">
        <v>3235</v>
      </c>
      <c r="P3537" s="2">
        <v>1300000</v>
      </c>
      <c r="Q3537" s="2">
        <v>8.1</v>
      </c>
      <c r="R3537" s="2" t="s">
        <v>6144</v>
      </c>
      <c r="S3537" s="2"/>
      <c r="AC3537" s="2"/>
      <c r="AD3537" t="str">
        <f>IFERROR(__xludf.DUMMYFUNCTION("""COMPUTED_VALUE"""),"The Spectacular Now ")</f>
        <v>The Spectacular Now </v>
      </c>
      <c r="AE3537">
        <f t="shared" si="84"/>
        <v>395486</v>
      </c>
    </row>
    <row r="3538" customHeight="1" spans="1:31">
      <c r="A3538" s="2" t="s">
        <v>3897</v>
      </c>
      <c r="B3538" s="2">
        <v>95</v>
      </c>
      <c r="C3538" s="2">
        <v>695229</v>
      </c>
      <c r="D3538" s="2" t="s">
        <v>975</v>
      </c>
      <c r="E3538" s="2" t="s">
        <v>40</v>
      </c>
      <c r="N3538" s="2" t="s">
        <v>18</v>
      </c>
      <c r="O3538" s="2" t="s">
        <v>19</v>
      </c>
      <c r="P3538" s="2">
        <v>1300000</v>
      </c>
      <c r="Q3538" s="2">
        <v>7.2</v>
      </c>
      <c r="R3538" s="2" t="s">
        <v>6145</v>
      </c>
      <c r="S3538" s="2"/>
      <c r="AC3538" s="2"/>
      <c r="AD3538" t="str">
        <f>IFERROR(__xludf.DUMMYFUNCTION("""COMPUTED_VALUE"""),"Marilyn Hotchkiss' Ballroom Dancing and Charm School ")</f>
        <v>Marilyn Hotchkiss' Ballroom Dancing and Charm School </v>
      </c>
      <c r="AE3538">
        <f t="shared" si="84"/>
        <v>6851874</v>
      </c>
    </row>
    <row r="3539" customHeight="1" spans="1:31">
      <c r="A3539" s="2" t="s">
        <v>3899</v>
      </c>
      <c r="B3539" s="2">
        <v>135</v>
      </c>
      <c r="C3539" s="2">
        <v>638951</v>
      </c>
      <c r="D3539" s="2" t="s">
        <v>30</v>
      </c>
      <c r="E3539" s="2" t="s">
        <v>30</v>
      </c>
      <c r="N3539" s="2" t="s">
        <v>6146</v>
      </c>
      <c r="O3539" s="2" t="s">
        <v>19</v>
      </c>
      <c r="P3539" s="2">
        <v>1592000</v>
      </c>
      <c r="Q3539" s="2">
        <v>7.4</v>
      </c>
      <c r="R3539" s="2" t="s">
        <v>6147</v>
      </c>
      <c r="S3539" s="2"/>
      <c r="AC3539" s="2"/>
      <c r="AD3539" t="str">
        <f>IFERROR(__xludf.DUMMYFUNCTION("""COMPUTED_VALUE"""),"Religulous ")</f>
        <v>Religulous </v>
      </c>
      <c r="AE3539">
        <f t="shared" si="84"/>
        <v>333624</v>
      </c>
    </row>
    <row r="3540" customHeight="1" spans="1:31">
      <c r="A3540" s="2" t="s">
        <v>3902</v>
      </c>
      <c r="B3540" s="2">
        <v>105</v>
      </c>
      <c r="C3540" s="2">
        <v>609042</v>
      </c>
      <c r="D3540" s="2" t="s">
        <v>30</v>
      </c>
      <c r="E3540" s="2" t="s">
        <v>30</v>
      </c>
      <c r="N3540" s="2" t="s">
        <v>18</v>
      </c>
      <c r="O3540" s="2" t="s">
        <v>19</v>
      </c>
      <c r="P3540" s="2">
        <v>1300000</v>
      </c>
      <c r="Q3540" s="2">
        <v>6.5</v>
      </c>
      <c r="R3540" s="2" t="s">
        <v>6148</v>
      </c>
      <c r="S3540" s="2"/>
      <c r="AC3540" s="2"/>
      <c r="AD3540" t="str">
        <f>IFERROR(__xludf.DUMMYFUNCTION("""COMPUTED_VALUE"""),"Fuel ")</f>
        <v>Fuel </v>
      </c>
      <c r="AE3540">
        <f t="shared" si="84"/>
        <v>12995572</v>
      </c>
    </row>
    <row r="3541" customHeight="1" spans="1:31">
      <c r="A3541" s="2" t="s">
        <v>3905</v>
      </c>
      <c r="B3541" s="2">
        <v>83</v>
      </c>
      <c r="C3541" s="2">
        <v>1521</v>
      </c>
      <c r="D3541" s="2" t="s">
        <v>3178</v>
      </c>
      <c r="E3541" s="2" t="s">
        <v>40</v>
      </c>
      <c r="N3541" s="2" t="s">
        <v>18</v>
      </c>
      <c r="O3541" s="2" t="s">
        <v>121</v>
      </c>
      <c r="P3541" s="2">
        <v>1500000</v>
      </c>
      <c r="Q3541" s="2">
        <v>5.7</v>
      </c>
      <c r="R3541" s="2" t="s">
        <v>6149</v>
      </c>
      <c r="S3541" s="2"/>
      <c r="AC3541" s="2"/>
      <c r="AD3541" t="str">
        <f>IFERROR(__xludf.DUMMYFUNCTION("""COMPUTED_VALUE"""),"Valley of the Heart's Delight ")</f>
        <v>Valley of the Heart's Delight </v>
      </c>
      <c r="AE3541">
        <f t="shared" si="84"/>
        <v>173671</v>
      </c>
    </row>
    <row r="3542" customHeight="1" spans="1:31">
      <c r="A3542" s="2" t="s">
        <v>3907</v>
      </c>
      <c r="B3542" s="2">
        <v>87</v>
      </c>
      <c r="C3542" s="2">
        <v>19539</v>
      </c>
      <c r="D3542" s="2" t="s">
        <v>40</v>
      </c>
      <c r="E3542" s="2" t="s">
        <v>40</v>
      </c>
      <c r="N3542" s="2" t="s">
        <v>18</v>
      </c>
      <c r="O3542" s="2" t="s">
        <v>19</v>
      </c>
      <c r="P3542" s="2">
        <v>1000000</v>
      </c>
      <c r="Q3542" s="2">
        <v>6.2</v>
      </c>
      <c r="R3542" s="2" t="s">
        <v>6150</v>
      </c>
      <c r="S3542" s="2"/>
      <c r="AC3542" s="2"/>
      <c r="AD3542" t="str">
        <f>IFERROR(__xludf.DUMMYFUNCTION("""COMPUTED_VALUE"""),"Eye of the Dolphin ")</f>
        <v>Eye of the Dolphin </v>
      </c>
      <c r="AE3542">
        <f t="shared" si="84"/>
        <v>118566</v>
      </c>
    </row>
    <row r="3543" customHeight="1" spans="1:31">
      <c r="A3543" s="2" t="s">
        <v>3910</v>
      </c>
      <c r="B3543" s="2">
        <v>97</v>
      </c>
      <c r="C3543" s="2">
        <v>100358</v>
      </c>
      <c r="D3543" s="2" t="s">
        <v>4512</v>
      </c>
      <c r="E3543" s="2" t="s">
        <v>40</v>
      </c>
      <c r="N3543" s="2" t="s">
        <v>18</v>
      </c>
      <c r="O3543" s="2" t="s">
        <v>2888</v>
      </c>
      <c r="P3543" s="2">
        <v>1500000</v>
      </c>
      <c r="Q3543" s="2">
        <v>3.3</v>
      </c>
      <c r="R3543" s="2" t="s">
        <v>6151</v>
      </c>
      <c r="S3543" s="2"/>
      <c r="AC3543" s="2"/>
      <c r="AD3543" t="str">
        <f>IFERROR(__xludf.DUMMYFUNCTION("""COMPUTED_VALUE"""),"8: The Mormon Proposition ")</f>
        <v>8: The Mormon Proposition </v>
      </c>
      <c r="AE3543">
        <f t="shared" si="84"/>
        <v>71804</v>
      </c>
    </row>
    <row r="3544" customHeight="1" spans="1:31">
      <c r="A3544" s="2" t="s">
        <v>1618</v>
      </c>
      <c r="B3544" s="2">
        <v>87</v>
      </c>
      <c r="C3544" s="2">
        <v>19100000</v>
      </c>
      <c r="D3544" s="2" t="s">
        <v>1189</v>
      </c>
      <c r="E3544" s="2" t="s">
        <v>72</v>
      </c>
      <c r="N3544" s="2" t="s">
        <v>18</v>
      </c>
      <c r="O3544" s="2" t="s">
        <v>19</v>
      </c>
      <c r="P3544" s="2">
        <v>1250000</v>
      </c>
      <c r="Q3544" s="2">
        <v>6.1</v>
      </c>
      <c r="R3544" s="2" t="s">
        <v>6152</v>
      </c>
      <c r="S3544" s="2"/>
      <c r="AC3544" s="2"/>
      <c r="AD3544" t="str">
        <f>IFERROR(__xludf.DUMMYFUNCTION("""COMPUTED_VALUE"""),"The Other End of the Line ")</f>
        <v>The Other End of the Line </v>
      </c>
      <c r="AE3544">
        <f t="shared" si="84"/>
        <v>99771</v>
      </c>
    </row>
    <row r="3545" customHeight="1" spans="1:31">
      <c r="A3545" s="2" t="s">
        <v>3912</v>
      </c>
      <c r="B3545" s="2">
        <v>80</v>
      </c>
      <c r="C3545" s="2">
        <v>2833383</v>
      </c>
      <c r="D3545" s="2" t="s">
        <v>2565</v>
      </c>
      <c r="E3545" s="2" t="s">
        <v>30</v>
      </c>
      <c r="N3545" s="2" t="s">
        <v>18</v>
      </c>
      <c r="O3545" s="2" t="s">
        <v>19</v>
      </c>
      <c r="P3545" s="2">
        <v>427000</v>
      </c>
      <c r="Q3545" s="2">
        <v>5.7</v>
      </c>
      <c r="R3545" s="2" t="s">
        <v>6153</v>
      </c>
      <c r="S3545" s="2"/>
      <c r="AC3545" s="2"/>
      <c r="AD3545" t="str">
        <f>IFERROR(__xludf.DUMMYFUNCTION("""COMPUTED_VALUE"""),"Anatomy ")</f>
        <v>Anatomy </v>
      </c>
      <c r="AE3545">
        <f t="shared" si="84"/>
        <v>115398</v>
      </c>
    </row>
    <row r="3546" customHeight="1" spans="1:31">
      <c r="A3546" s="2" t="s">
        <v>556</v>
      </c>
      <c r="B3546" s="2">
        <v>100</v>
      </c>
      <c r="C3546" s="2">
        <v>24741700</v>
      </c>
      <c r="D3546" s="2" t="s">
        <v>30</v>
      </c>
      <c r="E3546" s="2" t="s">
        <v>30</v>
      </c>
      <c r="N3546" s="2" t="s">
        <v>18</v>
      </c>
      <c r="O3546" s="2" t="s">
        <v>19</v>
      </c>
      <c r="P3546" s="2">
        <v>1200000</v>
      </c>
      <c r="Q3546" s="2">
        <v>7.2</v>
      </c>
      <c r="R3546" s="2" t="s">
        <v>6154</v>
      </c>
      <c r="S3546" s="2"/>
      <c r="AC3546" s="2"/>
      <c r="AD3546" t="str">
        <f>IFERROR(__xludf.DUMMYFUNCTION("""COMPUTED_VALUE"""),"Sleep Dealer ")</f>
        <v>Sleep Dealer </v>
      </c>
      <c r="AE3546">
        <f t="shared" si="84"/>
        <v>5622</v>
      </c>
    </row>
    <row r="3547" customHeight="1" spans="1:31">
      <c r="A3547" s="2" t="s">
        <v>149</v>
      </c>
      <c r="B3547" s="2">
        <v>103</v>
      </c>
      <c r="C3547" s="2">
        <v>55153403</v>
      </c>
      <c r="D3547" s="2" t="s">
        <v>1189</v>
      </c>
      <c r="E3547" s="2" t="s">
        <v>72</v>
      </c>
      <c r="N3547" s="2" t="s">
        <v>18</v>
      </c>
      <c r="O3547" s="2" t="s">
        <v>19</v>
      </c>
      <c r="P3547" s="2">
        <v>1200000</v>
      </c>
      <c r="Q3547" s="2">
        <v>7.7</v>
      </c>
      <c r="R3547" s="2" t="s">
        <v>6155</v>
      </c>
      <c r="S3547" s="2"/>
      <c r="AC3547" s="2"/>
      <c r="AD3547" t="str">
        <f>IFERROR(__xludf.DUMMYFUNCTION("""COMPUTED_VALUE"""),"Super ")</f>
        <v>Super </v>
      </c>
      <c r="AE3547">
        <f t="shared" si="84"/>
        <v>75637</v>
      </c>
    </row>
    <row r="3548" customHeight="1" spans="1:31">
      <c r="A3548" s="2" t="s">
        <v>1233</v>
      </c>
      <c r="B3548" s="2">
        <v>100</v>
      </c>
      <c r="C3548" s="2">
        <v>18488314</v>
      </c>
      <c r="D3548" s="2" t="s">
        <v>4771</v>
      </c>
      <c r="E3548" s="2" t="s">
        <v>40</v>
      </c>
      <c r="N3548" s="2" t="s">
        <v>18</v>
      </c>
      <c r="O3548" s="2" t="s">
        <v>19</v>
      </c>
      <c r="P3548" s="2">
        <v>1200000</v>
      </c>
      <c r="Q3548" s="2">
        <v>7.1</v>
      </c>
      <c r="R3548" s="2" t="s">
        <v>6156</v>
      </c>
      <c r="S3548" s="2"/>
      <c r="AC3548" s="2"/>
      <c r="AD3548" t="str">
        <f>IFERROR(__xludf.DUMMYFUNCTION("""COMPUTED_VALUE"""),"Get on the Bus ")</f>
        <v>Get on the Bus </v>
      </c>
      <c r="AE3548">
        <f t="shared" si="84"/>
        <v>322061</v>
      </c>
    </row>
    <row r="3549" customHeight="1" spans="1:31">
      <c r="A3549" s="2" t="s">
        <v>3914</v>
      </c>
      <c r="B3549" s="2">
        <v>89</v>
      </c>
      <c r="C3549" s="2">
        <v>11278</v>
      </c>
      <c r="D3549" s="2" t="s">
        <v>975</v>
      </c>
      <c r="E3549" s="2" t="s">
        <v>40</v>
      </c>
      <c r="N3549" s="2" t="s">
        <v>1081</v>
      </c>
      <c r="O3549" s="2" t="s">
        <v>4531</v>
      </c>
      <c r="P3549" s="2">
        <v>1300000</v>
      </c>
      <c r="Q3549" s="2">
        <v>7</v>
      </c>
      <c r="R3549" s="2" t="s">
        <v>6157</v>
      </c>
      <c r="S3549" s="2"/>
      <c r="AC3549" s="2"/>
      <c r="AD3549" t="str">
        <f>IFERROR(__xludf.DUMMYFUNCTION("""COMPUTED_VALUE"""),"Thr3e ")</f>
        <v>Thr3e </v>
      </c>
      <c r="AE3549">
        <f t="shared" si="84"/>
        <v>5730983</v>
      </c>
    </row>
    <row r="3550" customHeight="1" spans="1:31">
      <c r="A3550" s="2" t="s">
        <v>2150</v>
      </c>
      <c r="B3550" s="2">
        <v>114</v>
      </c>
      <c r="C3550" s="2">
        <v>13876974</v>
      </c>
      <c r="D3550" s="2" t="s">
        <v>521</v>
      </c>
      <c r="E3550" s="2" t="s">
        <v>40</v>
      </c>
      <c r="N3550" s="2" t="s">
        <v>5227</v>
      </c>
      <c r="O3550" s="2" t="s">
        <v>2888</v>
      </c>
      <c r="P3550" s="2">
        <v>7000000</v>
      </c>
      <c r="Q3550" s="2">
        <v>7.4</v>
      </c>
      <c r="R3550" s="2" t="s">
        <v>6158</v>
      </c>
      <c r="S3550" s="2"/>
      <c r="AC3550" s="2"/>
      <c r="AD3550" t="str">
        <f>IFERROR(__xludf.DUMMYFUNCTION("""COMPUTED_VALUE"""),"This Is England ")</f>
        <v>This Is England </v>
      </c>
      <c r="AE3550">
        <f t="shared" si="84"/>
        <v>978807</v>
      </c>
    </row>
    <row r="3551" customHeight="1" spans="1:31">
      <c r="A3551" s="2" t="s">
        <v>2729</v>
      </c>
      <c r="B3551" s="2">
        <v>111</v>
      </c>
      <c r="C3551" s="2">
        <v>9180275</v>
      </c>
      <c r="D3551" s="2" t="s">
        <v>30</v>
      </c>
      <c r="E3551" s="2" t="s">
        <v>30</v>
      </c>
      <c r="N3551" s="2" t="s">
        <v>18</v>
      </c>
      <c r="O3551" s="2" t="s">
        <v>19</v>
      </c>
      <c r="P3551" s="2">
        <v>1200000</v>
      </c>
      <c r="Q3551" s="2">
        <v>7.7</v>
      </c>
      <c r="R3551" s="2" t="s">
        <v>6159</v>
      </c>
      <c r="S3551" s="2"/>
      <c r="AC3551" s="2"/>
      <c r="AD3551" t="str">
        <f>IFERROR(__xludf.DUMMYFUNCTION("""COMPUTED_VALUE"""),"Go for It! ")</f>
        <v>Go for It! </v>
      </c>
      <c r="AE3551">
        <f t="shared" si="84"/>
        <v>327818</v>
      </c>
    </row>
    <row r="3552" customHeight="1" spans="1:31">
      <c r="A3552" s="2" t="s">
        <v>3916</v>
      </c>
      <c r="B3552" s="2">
        <v>85</v>
      </c>
      <c r="C3552" s="2">
        <v>2199853</v>
      </c>
      <c r="D3552" s="2" t="s">
        <v>975</v>
      </c>
      <c r="E3552" s="2" t="s">
        <v>40</v>
      </c>
      <c r="N3552" s="2" t="s">
        <v>18</v>
      </c>
      <c r="O3552" s="2" t="s">
        <v>19</v>
      </c>
      <c r="P3552" s="2">
        <v>1200000</v>
      </c>
      <c r="Q3552" s="2">
        <v>6.6</v>
      </c>
      <c r="R3552" s="2" t="s">
        <v>6160</v>
      </c>
      <c r="S3552" s="2"/>
      <c r="AC3552" s="2"/>
      <c r="AD3552" t="str">
        <f>IFERROR(__xludf.DUMMYFUNCTION("""COMPUTED_VALUE"""),"Fantasia ")</f>
        <v>Fantasia </v>
      </c>
      <c r="AE3552">
        <f t="shared" si="84"/>
        <v>178634</v>
      </c>
    </row>
    <row r="3553" customHeight="1" spans="1:31">
      <c r="A3553" s="2" t="s">
        <v>3918</v>
      </c>
      <c r="B3553" s="2">
        <v>113</v>
      </c>
      <c r="C3553" s="2">
        <v>2859955</v>
      </c>
      <c r="D3553" s="2" t="s">
        <v>1527</v>
      </c>
      <c r="E3553" s="2" t="s">
        <v>30</v>
      </c>
      <c r="N3553" s="2" t="s">
        <v>18</v>
      </c>
      <c r="O3553" s="2" t="s">
        <v>19</v>
      </c>
      <c r="P3553" s="2">
        <v>1200000</v>
      </c>
      <c r="Q3553" s="2">
        <v>6</v>
      </c>
      <c r="R3553" s="2" t="s">
        <v>6161</v>
      </c>
      <c r="S3553" s="2"/>
      <c r="AC3553" s="2"/>
      <c r="AD3553" t="str">
        <f>IFERROR(__xludf.DUMMYFUNCTION("""COMPUTED_VALUE"""),"Friday the 13th Part III ")</f>
        <v>Friday the 13th Part III </v>
      </c>
      <c r="AE3553">
        <f t="shared" si="84"/>
        <v>76399880</v>
      </c>
    </row>
    <row r="3554" customHeight="1" spans="1:31">
      <c r="A3554" s="2" t="s">
        <v>627</v>
      </c>
      <c r="B3554" s="2">
        <v>99</v>
      </c>
      <c r="C3554" s="2">
        <v>2812029</v>
      </c>
      <c r="D3554" s="2" t="s">
        <v>805</v>
      </c>
      <c r="E3554" s="2" t="s">
        <v>56</v>
      </c>
      <c r="N3554" s="2" t="s">
        <v>18</v>
      </c>
      <c r="O3554" s="2" t="s">
        <v>19</v>
      </c>
      <c r="P3554" s="2">
        <v>1200000</v>
      </c>
      <c r="Q3554" s="2">
        <v>8.4</v>
      </c>
      <c r="R3554" s="2" t="s">
        <v>6162</v>
      </c>
      <c r="S3554" s="2"/>
      <c r="AC3554" s="2"/>
      <c r="AD3554" t="str">
        <f>IFERROR(__xludf.DUMMYFUNCTION("""COMPUTED_VALUE"""),"Friday the 13th: A New Beginning ")</f>
        <v>Friday the 13th: A New Beginning </v>
      </c>
      <c r="AE3554">
        <f t="shared" si="84"/>
        <v>36199909</v>
      </c>
    </row>
    <row r="3555" customHeight="1" spans="1:31">
      <c r="A3555" s="2" t="s">
        <v>1903</v>
      </c>
      <c r="B3555" s="2">
        <v>142</v>
      </c>
      <c r="C3555" s="2">
        <v>6100000</v>
      </c>
      <c r="D3555" s="2" t="s">
        <v>71</v>
      </c>
      <c r="E3555" s="2" t="s">
        <v>71</v>
      </c>
      <c r="N3555" s="2" t="s">
        <v>4119</v>
      </c>
      <c r="O3555" s="2" t="s">
        <v>3655</v>
      </c>
      <c r="P3555" s="2">
        <v>1200000</v>
      </c>
      <c r="Q3555" s="2">
        <v>8.9</v>
      </c>
      <c r="R3555" s="2" t="s">
        <v>6163</v>
      </c>
      <c r="S3555" s="2"/>
      <c r="AC3555" s="2"/>
      <c r="AD3555" t="str">
        <f>IFERROR(__xludf.DUMMYFUNCTION("""COMPUTED_VALUE"""),"The Last Sin Eater ")</f>
        <v>The Last Sin Eater </v>
      </c>
      <c r="AE3555">
        <f t="shared" si="84"/>
        <v>21299908</v>
      </c>
    </row>
    <row r="3556" customHeight="1" spans="1:31">
      <c r="A3556" s="2" t="s">
        <v>3921</v>
      </c>
      <c r="B3556" s="2">
        <v>112</v>
      </c>
      <c r="C3556" s="2">
        <v>375723</v>
      </c>
      <c r="D3556" s="2" t="s">
        <v>975</v>
      </c>
      <c r="E3556" s="2" t="s">
        <v>40</v>
      </c>
      <c r="N3556" s="2" t="s">
        <v>5590</v>
      </c>
      <c r="O3556" s="2" t="s">
        <v>5591</v>
      </c>
      <c r="P3556" s="2">
        <v>4000000</v>
      </c>
      <c r="Q3556" s="2">
        <v>7.9</v>
      </c>
      <c r="R3556" s="2" t="s">
        <v>6164</v>
      </c>
      <c r="S3556" s="2"/>
      <c r="AC3556" s="2"/>
      <c r="AD3556" t="str">
        <f>IFERROR(__xludf.DUMMYFUNCTION("""COMPUTED_VALUE"""),"Do You Believe? ")</f>
        <v>Do You Believe? </v>
      </c>
      <c r="AE3556">
        <f t="shared" si="84"/>
        <v>379526</v>
      </c>
    </row>
    <row r="3557" customHeight="1" spans="1:31">
      <c r="A3557" s="2" t="s">
        <v>3923</v>
      </c>
      <c r="B3557" s="2">
        <v>108</v>
      </c>
      <c r="C3557" s="2">
        <v>594904</v>
      </c>
      <c r="D3557" s="2" t="s">
        <v>975</v>
      </c>
      <c r="E3557" s="2" t="s">
        <v>40</v>
      </c>
      <c r="N3557" s="2" t="s">
        <v>18</v>
      </c>
      <c r="O3557" s="2" t="s">
        <v>19</v>
      </c>
      <c r="P3557" s="2">
        <v>1200000</v>
      </c>
      <c r="Q3557" s="2">
        <v>6</v>
      </c>
      <c r="R3557" s="2" t="s">
        <v>6165</v>
      </c>
      <c r="S3557" s="2"/>
      <c r="AC3557" s="2"/>
      <c r="AD3557" t="str">
        <f>IFERROR(__xludf.DUMMYFUNCTION("""COMPUTED_VALUE"""),"The Best Years of Our Lives ")</f>
        <v>The Best Years of Our Lives </v>
      </c>
      <c r="AE3557">
        <f t="shared" si="84"/>
        <v>12985147</v>
      </c>
    </row>
    <row r="3558" customHeight="1" spans="1:31">
      <c r="A3558" s="2" t="s">
        <v>3926</v>
      </c>
      <c r="B3558" s="2">
        <v>88</v>
      </c>
      <c r="C3558" s="2">
        <v>58936</v>
      </c>
      <c r="D3558" s="2" t="s">
        <v>3198</v>
      </c>
      <c r="E3558" s="2" t="s">
        <v>40</v>
      </c>
      <c r="N3558" s="2" t="s">
        <v>18</v>
      </c>
      <c r="O3558" s="2" t="s">
        <v>19</v>
      </c>
      <c r="P3558" s="2">
        <v>1200000</v>
      </c>
      <c r="Q3558" s="2">
        <v>6.1</v>
      </c>
      <c r="R3558" s="2" t="s">
        <v>6166</v>
      </c>
      <c r="S3558" s="2"/>
      <c r="AC3558" s="2"/>
      <c r="AD3558" t="str">
        <f>IFERROR(__xludf.DUMMYFUNCTION("""COMPUTED_VALUE"""),"Elling ")</f>
        <v>Elling </v>
      </c>
      <c r="AE3558">
        <f t="shared" si="84"/>
        <v>23649828</v>
      </c>
    </row>
    <row r="3559" customHeight="1" spans="1:31">
      <c r="A3559" s="2" t="s">
        <v>3929</v>
      </c>
      <c r="B3559" s="2">
        <v>97</v>
      </c>
      <c r="C3559" s="2">
        <v>24784</v>
      </c>
      <c r="D3559" s="2" t="s">
        <v>65</v>
      </c>
      <c r="E3559" s="2" t="s">
        <v>65</v>
      </c>
      <c r="N3559" s="2" t="s">
        <v>18</v>
      </c>
      <c r="O3559" s="2" t="s">
        <v>121</v>
      </c>
      <c r="P3559" s="2">
        <v>1200000</v>
      </c>
      <c r="Q3559" s="2">
        <v>7.4</v>
      </c>
      <c r="R3559" s="2" t="s">
        <v>6167</v>
      </c>
      <c r="S3559" s="2"/>
      <c r="AC3559" s="2"/>
      <c r="AD3559" t="str">
        <f>IFERROR(__xludf.DUMMYFUNCTION("""COMPUTED_VALUE"""),"Mi America ")</f>
        <v>Mi America </v>
      </c>
      <c r="AE3559">
        <f t="shared" si="84"/>
        <v>313347</v>
      </c>
    </row>
    <row r="3560" customHeight="1" spans="1:31">
      <c r="A3560" s="2" t="s">
        <v>3931</v>
      </c>
      <c r="B3560" s="2">
        <v>85</v>
      </c>
      <c r="C3560" s="2">
        <v>7826</v>
      </c>
      <c r="D3560" s="2" t="s">
        <v>5711</v>
      </c>
      <c r="E3560" s="2" t="s">
        <v>40</v>
      </c>
      <c r="N3560" s="2" t="s">
        <v>18</v>
      </c>
      <c r="O3560" s="2" t="s">
        <v>19</v>
      </c>
      <c r="P3560" s="2">
        <v>1200000</v>
      </c>
      <c r="Q3560" s="2">
        <v>6.2</v>
      </c>
      <c r="R3560" s="2" t="s">
        <v>6168</v>
      </c>
      <c r="S3560" s="2"/>
      <c r="AC3560" s="2"/>
      <c r="AD3560" t="str">
        <f>IFERROR(__xludf.DUMMYFUNCTION("""COMPUTED_VALUE"""),"From Russia with Love ")</f>
        <v>From Russia with Love </v>
      </c>
      <c r="AE3560">
        <f t="shared" si="84"/>
        <v>3205</v>
      </c>
    </row>
    <row r="3561" customHeight="1" spans="1:31">
      <c r="A3561" s="2" t="s">
        <v>3933</v>
      </c>
      <c r="B3561" s="2">
        <v>110</v>
      </c>
      <c r="C3561" s="2">
        <v>3830</v>
      </c>
      <c r="D3561" s="2" t="s">
        <v>975</v>
      </c>
      <c r="E3561" s="2" t="s">
        <v>40</v>
      </c>
      <c r="N3561" s="2" t="s">
        <v>1081</v>
      </c>
      <c r="O3561" s="2" t="s">
        <v>19</v>
      </c>
      <c r="P3561" s="2">
        <v>1200000</v>
      </c>
      <c r="Q3561" s="2">
        <v>7.2</v>
      </c>
      <c r="R3561" s="2" t="s">
        <v>6169</v>
      </c>
      <c r="S3561" s="2"/>
      <c r="AC3561" s="2"/>
      <c r="AD3561" t="str">
        <f>IFERROR(__xludf.DUMMYFUNCTION("""COMPUTED_VALUE"""),"The Toxic Avenger Part II ")</f>
        <v>The Toxic Avenger Part II </v>
      </c>
      <c r="AE3561">
        <f t="shared" si="84"/>
        <v>24799885</v>
      </c>
    </row>
    <row r="3562" customHeight="1" spans="1:31">
      <c r="A3562" s="2" t="s">
        <v>981</v>
      </c>
      <c r="B3562" s="2">
        <v>91</v>
      </c>
      <c r="C3562" s="2">
        <v>2850263</v>
      </c>
      <c r="D3562" s="2" t="s">
        <v>6170</v>
      </c>
      <c r="E3562" s="2" t="s">
        <v>13</v>
      </c>
      <c r="N3562" s="2" t="s">
        <v>18</v>
      </c>
      <c r="O3562" s="2" t="s">
        <v>19</v>
      </c>
      <c r="P3562" s="2">
        <v>2600000</v>
      </c>
      <c r="Q3562" s="2">
        <v>6.2</v>
      </c>
      <c r="R3562" s="2" t="s">
        <v>6171</v>
      </c>
      <c r="S3562" s="2"/>
      <c r="AC3562" s="2"/>
      <c r="AD3562" t="str">
        <f>IFERROR(__xludf.DUMMYFUNCTION("""COMPUTED_VALUE"""),"It Follows ")</f>
        <v>It Follows </v>
      </c>
      <c r="AE3562">
        <f t="shared" si="84"/>
        <v>792870</v>
      </c>
    </row>
    <row r="3563" customHeight="1" spans="1:31">
      <c r="A3563" s="2" t="s">
        <v>3936</v>
      </c>
      <c r="B3563" s="2">
        <v>94</v>
      </c>
      <c r="C3563" s="2">
        <v>16101109</v>
      </c>
      <c r="D3563" s="2" t="s">
        <v>40</v>
      </c>
      <c r="E3563" s="2" t="s">
        <v>40</v>
      </c>
      <c r="N3563" s="2" t="s">
        <v>18</v>
      </c>
      <c r="O3563" s="2" t="s">
        <v>19</v>
      </c>
      <c r="P3563" s="2">
        <v>3000000</v>
      </c>
      <c r="Q3563" s="2">
        <v>6.8</v>
      </c>
      <c r="R3563" s="2" t="s">
        <v>6172</v>
      </c>
      <c r="S3563" s="2"/>
      <c r="AC3563" s="2"/>
      <c r="AD3563" t="str">
        <f>IFERROR(__xludf.DUMMYFUNCTION("""COMPUTED_VALUE"""),"Mad Max 2: The Road Warrior ")</f>
        <v>Mad Max 2: The Road Warrior </v>
      </c>
      <c r="AE3563">
        <f t="shared" si="84"/>
        <v>14673201</v>
      </c>
    </row>
    <row r="3564" customHeight="1" spans="1:31">
      <c r="A3564" s="2" t="s">
        <v>3747</v>
      </c>
      <c r="B3564" s="2">
        <v>90</v>
      </c>
      <c r="C3564" s="2">
        <v>6013</v>
      </c>
      <c r="D3564" s="2" t="s">
        <v>805</v>
      </c>
      <c r="E3564" s="2" t="s">
        <v>56</v>
      </c>
      <c r="N3564" s="2" t="s">
        <v>18</v>
      </c>
      <c r="O3564" s="2" t="s">
        <v>31</v>
      </c>
      <c r="P3564" s="2">
        <v>695393</v>
      </c>
      <c r="Q3564" s="2">
        <v>7.7</v>
      </c>
      <c r="R3564" s="2" t="s">
        <v>6173</v>
      </c>
      <c r="S3564" s="2"/>
      <c r="AC3564" s="2"/>
      <c r="AD3564" t="str">
        <f>IFERROR(__xludf.DUMMYFUNCTION("""COMPUTED_VALUE"""),"The Legend of Drunken Master ")</f>
        <v>The Legend of Drunken Master </v>
      </c>
      <c r="AE3564">
        <f t="shared" si="84"/>
        <v>9002924</v>
      </c>
    </row>
    <row r="3565" customHeight="1" spans="1:31">
      <c r="A3565" s="2" t="s">
        <v>3939</v>
      </c>
      <c r="B3565" s="2">
        <v>92</v>
      </c>
      <c r="C3565" s="2">
        <v>1400000</v>
      </c>
      <c r="D3565" s="2" t="s">
        <v>6174</v>
      </c>
      <c r="E3565" s="2" t="s">
        <v>12</v>
      </c>
      <c r="N3565" s="2" t="s">
        <v>18</v>
      </c>
      <c r="O3565" s="2" t="s">
        <v>19</v>
      </c>
      <c r="P3565" s="2">
        <v>1100000</v>
      </c>
      <c r="Q3565" s="2">
        <v>5.9</v>
      </c>
      <c r="R3565" s="2" t="s">
        <v>6175</v>
      </c>
      <c r="S3565" s="2"/>
      <c r="AC3565" s="2"/>
      <c r="AD3565" t="str">
        <f>IFERROR(__xludf.DUMMYFUNCTION("""COMPUTED_VALUE"""),"Boys Don't Cry ")</f>
        <v>Boys Don't Cry </v>
      </c>
      <c r="AE3565">
        <f t="shared" si="84"/>
        <v>11546441</v>
      </c>
    </row>
    <row r="3566" customHeight="1" spans="1:31">
      <c r="A3566" s="2" t="s">
        <v>3941</v>
      </c>
      <c r="B3566" s="2">
        <v>73</v>
      </c>
      <c r="C3566" s="2">
        <v>39659</v>
      </c>
      <c r="D3566" s="2" t="s">
        <v>6176</v>
      </c>
      <c r="E3566" s="2" t="s">
        <v>40</v>
      </c>
      <c r="N3566" s="2" t="s">
        <v>18</v>
      </c>
      <c r="O3566" s="2" t="s">
        <v>121</v>
      </c>
      <c r="P3566" s="2">
        <v>1600000</v>
      </c>
      <c r="Q3566" s="2">
        <v>7</v>
      </c>
      <c r="R3566" s="2" t="s">
        <v>6177</v>
      </c>
      <c r="S3566" s="2"/>
      <c r="AC3566" s="2"/>
      <c r="AD3566" t="str">
        <f>IFERROR(__xludf.DUMMYFUNCTION("""COMPUTED_VALUE"""),"Silent House ")</f>
        <v>Silent House </v>
      </c>
      <c r="AE3566">
        <f t="shared" si="84"/>
        <v>11533827</v>
      </c>
    </row>
    <row r="3567" customHeight="1" spans="1:31">
      <c r="A3567" s="2" t="s">
        <v>3943</v>
      </c>
      <c r="B3567" s="2">
        <v>110</v>
      </c>
      <c r="C3567" s="2">
        <v>56129</v>
      </c>
      <c r="D3567" s="2" t="s">
        <v>1154</v>
      </c>
      <c r="E3567" s="2" t="s">
        <v>15</v>
      </c>
      <c r="N3567" s="2" t="s">
        <v>18</v>
      </c>
      <c r="O3567" s="2" t="s">
        <v>121</v>
      </c>
      <c r="P3567" s="2">
        <v>1100000</v>
      </c>
      <c r="Q3567" s="2">
        <v>6.1</v>
      </c>
      <c r="R3567" s="2" t="s">
        <v>6178</v>
      </c>
      <c r="S3567" s="2"/>
      <c r="AC3567" s="2"/>
      <c r="AD3567" t="str">
        <f>IFERROR(__xludf.DUMMYFUNCTION("""COMPUTED_VALUE"""),"The Lives of Others ")</f>
        <v>The Lives of Others </v>
      </c>
      <c r="AE3567">
        <f t="shared" si="84"/>
        <v>12555144</v>
      </c>
    </row>
    <row r="3568" customHeight="1" spans="1:31">
      <c r="A3568" s="2" t="s">
        <v>3945</v>
      </c>
      <c r="B3568" s="2">
        <v>102</v>
      </c>
      <c r="C3568" s="2">
        <v>4105123</v>
      </c>
      <c r="D3568" s="2" t="s">
        <v>150</v>
      </c>
      <c r="E3568" s="2" t="s">
        <v>12</v>
      </c>
      <c r="N3568" s="2" t="s">
        <v>6179</v>
      </c>
      <c r="O3568" s="2" t="s">
        <v>6180</v>
      </c>
      <c r="P3568" s="2">
        <v>1100000</v>
      </c>
      <c r="Q3568" s="2">
        <v>7.6</v>
      </c>
      <c r="R3568" s="2" t="s">
        <v>6181</v>
      </c>
      <c r="S3568" s="2"/>
      <c r="AC3568" s="2"/>
      <c r="AD3568" t="str">
        <f>IFERROR(__xludf.DUMMYFUNCTION("""COMPUTED_VALUE"""),"Courageous ")</f>
        <v>Courageous </v>
      </c>
      <c r="AE3568">
        <f t="shared" si="84"/>
        <v>11284520</v>
      </c>
    </row>
    <row r="3569" customHeight="1" spans="1:31">
      <c r="A3569" s="2" t="s">
        <v>1492</v>
      </c>
      <c r="B3569" s="2">
        <v>145</v>
      </c>
      <c r="C3569" s="2">
        <v>117235247</v>
      </c>
      <c r="D3569" s="2" t="s">
        <v>1527</v>
      </c>
      <c r="E3569" s="2" t="s">
        <v>30</v>
      </c>
      <c r="N3569" s="2" t="s">
        <v>18</v>
      </c>
      <c r="O3569" s="2" t="s">
        <v>19</v>
      </c>
      <c r="P3569" s="2">
        <v>960000</v>
      </c>
      <c r="Q3569" s="2">
        <v>8.1</v>
      </c>
      <c r="R3569" s="2" t="s">
        <v>6182</v>
      </c>
      <c r="S3569" s="2"/>
      <c r="AC3569" s="2"/>
      <c r="AD3569" t="str">
        <f>IFERROR(__xludf.DUMMYFUNCTION("""COMPUTED_VALUE"""),"The Triplets of Belleville ")</f>
        <v>The Triplets of Belleville </v>
      </c>
      <c r="AE3569">
        <f t="shared" si="84"/>
        <v>34522092</v>
      </c>
    </row>
    <row r="3570" customHeight="1" spans="1:31">
      <c r="A3570" s="2" t="s">
        <v>3947</v>
      </c>
      <c r="B3570" s="2">
        <v>83</v>
      </c>
      <c r="C3570" s="2">
        <v>31537320</v>
      </c>
      <c r="D3570" s="2" t="s">
        <v>1189</v>
      </c>
      <c r="E3570" s="2" t="s">
        <v>72</v>
      </c>
      <c r="N3570" s="2" t="s">
        <v>18</v>
      </c>
      <c r="O3570" s="2" t="s">
        <v>19</v>
      </c>
      <c r="P3570" s="2">
        <v>1000000</v>
      </c>
      <c r="Q3570" s="2">
        <v>5.7</v>
      </c>
      <c r="R3570" s="2" t="s">
        <v>6183</v>
      </c>
      <c r="S3570" s="2"/>
      <c r="AC3570" s="2"/>
      <c r="AD3570" t="str">
        <f>IFERROR(__xludf.DUMMYFUNCTION("""COMPUTED_VALUE"""),"Smoke Signals ")</f>
        <v>Smoke Signals </v>
      </c>
      <c r="AE3570">
        <f t="shared" si="84"/>
        <v>7002175</v>
      </c>
    </row>
    <row r="3571" customHeight="1" spans="1:31">
      <c r="A3571" s="2" t="s">
        <v>845</v>
      </c>
      <c r="B3571" s="2">
        <v>91</v>
      </c>
      <c r="C3571" s="2">
        <v>17986000</v>
      </c>
      <c r="D3571" s="2" t="s">
        <v>72</v>
      </c>
      <c r="E3571" s="2" t="s">
        <v>72</v>
      </c>
      <c r="N3571" s="2" t="s">
        <v>18</v>
      </c>
      <c r="O3571" s="2" t="s">
        <v>19</v>
      </c>
      <c r="P3571" s="2">
        <v>1000000</v>
      </c>
      <c r="Q3571" s="2">
        <v>6.6</v>
      </c>
      <c r="R3571" s="2" t="s">
        <v>6184</v>
      </c>
      <c r="S3571" s="2"/>
      <c r="AC3571" s="2"/>
      <c r="AD3571" t="str">
        <f>IFERROR(__xludf.DUMMYFUNCTION("""COMPUTED_VALUE"""),"Before Sunset ")</f>
        <v>Before Sunset </v>
      </c>
      <c r="AE3571">
        <f t="shared" si="84"/>
        <v>6719211</v>
      </c>
    </row>
    <row r="3572" customHeight="1" spans="1:31">
      <c r="A3572" s="2" t="s">
        <v>3114</v>
      </c>
      <c r="B3572" s="2">
        <v>110</v>
      </c>
      <c r="C3572" s="2">
        <v>16067035</v>
      </c>
      <c r="D3572" s="2" t="s">
        <v>27</v>
      </c>
      <c r="E3572" s="2" t="s">
        <v>12</v>
      </c>
      <c r="N3572" s="2" t="s">
        <v>18</v>
      </c>
      <c r="O3572" s="2" t="s">
        <v>31</v>
      </c>
      <c r="P3572" s="2">
        <v>1100000</v>
      </c>
      <c r="Q3572" s="2">
        <v>7.3</v>
      </c>
      <c r="R3572" s="2" t="s">
        <v>6185</v>
      </c>
      <c r="S3572" s="2"/>
      <c r="AC3572" s="2"/>
      <c r="AD3572" t="str">
        <f>IFERROR(__xludf.DUMMYFUNCTION("""COMPUTED_VALUE"""),"Amores Perros ")</f>
        <v>Amores Perros </v>
      </c>
      <c r="AE3572">
        <f t="shared" si="84"/>
        <v>5792742</v>
      </c>
    </row>
    <row r="3573" customHeight="1" spans="1:31">
      <c r="A3573" s="2" t="s">
        <v>3949</v>
      </c>
      <c r="B3573" s="2">
        <v>86</v>
      </c>
      <c r="C3573" s="2">
        <v>18112929</v>
      </c>
      <c r="D3573" s="2" t="s">
        <v>1738</v>
      </c>
      <c r="E3573" s="2" t="s">
        <v>72</v>
      </c>
      <c r="N3573" s="2" t="s">
        <v>18</v>
      </c>
      <c r="O3573" s="2" t="s">
        <v>19</v>
      </c>
      <c r="P3573" s="2">
        <v>1000000</v>
      </c>
      <c r="Q3573" s="2">
        <v>5</v>
      </c>
      <c r="R3573" s="2" t="s">
        <v>6186</v>
      </c>
      <c r="S3573" s="2"/>
      <c r="AC3573" s="2"/>
      <c r="AD3573" t="str">
        <f>IFERROR(__xludf.DUMMYFUNCTION("""COMPUTED_VALUE"""),"Thirteen ")</f>
        <v>Thirteen </v>
      </c>
      <c r="AE3573">
        <f t="shared" si="84"/>
        <v>5383719</v>
      </c>
    </row>
    <row r="3574" customHeight="1" spans="1:31">
      <c r="A3574" s="2" t="s">
        <v>3952</v>
      </c>
      <c r="B3574" s="2">
        <v>86</v>
      </c>
      <c r="C3574" s="2">
        <v>14564027</v>
      </c>
      <c r="D3574" s="2" t="s">
        <v>3112</v>
      </c>
      <c r="E3574" s="2" t="s">
        <v>14</v>
      </c>
      <c r="N3574" s="2" t="s">
        <v>18</v>
      </c>
      <c r="O3574" s="2" t="s">
        <v>31</v>
      </c>
      <c r="P3574" s="2">
        <v>1000000</v>
      </c>
      <c r="Q3574" s="2">
        <v>7</v>
      </c>
      <c r="R3574" s="2" t="s">
        <v>6187</v>
      </c>
      <c r="S3574" s="2"/>
      <c r="AC3574" s="2"/>
      <c r="AD3574" t="str">
        <f>IFERROR(__xludf.DUMMYFUNCTION("""COMPUTED_VALUE"""),"Winter's Bone ")</f>
        <v>Winter's Bone </v>
      </c>
      <c r="AE3574">
        <f t="shared" si="84"/>
        <v>4599580</v>
      </c>
    </row>
    <row r="3575" customHeight="1" spans="1:31">
      <c r="A3575" s="2" t="s">
        <v>3954</v>
      </c>
      <c r="B3575" s="2">
        <v>120</v>
      </c>
      <c r="C3575" s="2">
        <v>20773070</v>
      </c>
      <c r="D3575" s="2" t="s">
        <v>30</v>
      </c>
      <c r="E3575" s="2" t="s">
        <v>30</v>
      </c>
      <c r="N3575" s="2" t="s">
        <v>18</v>
      </c>
      <c r="O3575" s="2" t="s">
        <v>19</v>
      </c>
      <c r="P3575" s="2">
        <v>5000000</v>
      </c>
      <c r="Q3575" s="2">
        <v>3.4</v>
      </c>
      <c r="R3575" s="2" t="s">
        <v>6188</v>
      </c>
      <c r="S3575" s="2"/>
      <c r="AC3575" s="2"/>
      <c r="AD3575" t="str">
        <f>IFERROR(__xludf.DUMMYFUNCTION("""COMPUTED_VALUE"""),"Me and You and Everyone We Know ")</f>
        <v>Me and You and Everyone We Know </v>
      </c>
      <c r="AE3575">
        <f t="shared" ref="AE3575:AE3638" si="85">C3459-B3459</f>
        <v>6531391</v>
      </c>
    </row>
    <row r="3576" customHeight="1" spans="1:31">
      <c r="A3576" s="2" t="s">
        <v>1946</v>
      </c>
      <c r="B3576" s="2">
        <v>90</v>
      </c>
      <c r="C3576" s="2">
        <v>10042266</v>
      </c>
      <c r="D3576" s="2" t="s">
        <v>2539</v>
      </c>
      <c r="E3576" s="2" t="s">
        <v>30</v>
      </c>
      <c r="N3576" s="2" t="s">
        <v>18</v>
      </c>
      <c r="O3576" s="2" t="s">
        <v>19</v>
      </c>
      <c r="P3576" s="2">
        <v>1000000</v>
      </c>
      <c r="Q3576" s="2">
        <v>5.9</v>
      </c>
      <c r="R3576" s="2" t="s">
        <v>6189</v>
      </c>
      <c r="S3576" s="2"/>
      <c r="AC3576" s="2"/>
      <c r="AD3576" t="str">
        <f>IFERROR(__xludf.DUMMYFUNCTION("""COMPUTED_VALUE"""),"We Are Your Friends ")</f>
        <v>We Are Your Friends </v>
      </c>
      <c r="AE3576">
        <f t="shared" si="85"/>
        <v>3885043</v>
      </c>
    </row>
    <row r="3577" customHeight="1" spans="1:31">
      <c r="A3577" s="2" t="s">
        <v>3956</v>
      </c>
      <c r="B3577" s="2">
        <v>99</v>
      </c>
      <c r="C3577" s="2">
        <v>10037390</v>
      </c>
      <c r="D3577" s="2" t="s">
        <v>2330</v>
      </c>
      <c r="E3577" s="2" t="s">
        <v>12</v>
      </c>
      <c r="N3577" s="2" t="s">
        <v>3256</v>
      </c>
      <c r="O3577" s="2" t="s">
        <v>1160</v>
      </c>
      <c r="P3577" s="2">
        <v>1000000000</v>
      </c>
      <c r="Q3577" s="2">
        <v>6</v>
      </c>
      <c r="R3577" s="2" t="s">
        <v>6190</v>
      </c>
      <c r="S3577" s="2"/>
      <c r="AC3577" s="2"/>
      <c r="AD3577" t="str">
        <f>IFERROR(__xludf.DUMMYFUNCTION("""COMPUTED_VALUE"""),"Harsh Times ")</f>
        <v>Harsh Times </v>
      </c>
      <c r="AE3577">
        <f t="shared" si="85"/>
        <v>3589914</v>
      </c>
    </row>
    <row r="3578" customHeight="1" spans="1:31">
      <c r="A3578" s="2" t="s">
        <v>2608</v>
      </c>
      <c r="B3578" s="2">
        <v>112</v>
      </c>
      <c r="C3578" s="2">
        <v>9701559</v>
      </c>
      <c r="D3578" s="2" t="s">
        <v>103</v>
      </c>
      <c r="E3578" s="2" t="s">
        <v>30</v>
      </c>
      <c r="N3578" s="2" t="s">
        <v>18</v>
      </c>
      <c r="O3578" s="2" t="s">
        <v>19</v>
      </c>
      <c r="P3578" s="2">
        <v>3500000</v>
      </c>
      <c r="Q3578" s="2">
        <v>7.4</v>
      </c>
      <c r="R3578" s="2" t="s">
        <v>6191</v>
      </c>
      <c r="S3578" s="2"/>
      <c r="AC3578" s="2"/>
      <c r="AD3578" t="str">
        <f>IFERROR(__xludf.DUMMYFUNCTION("""COMPUTED_VALUE"""),"Captive ")</f>
        <v>Captive </v>
      </c>
      <c r="AE3578">
        <f t="shared" si="85"/>
        <v>3335723</v>
      </c>
    </row>
    <row r="3579" customHeight="1" spans="1:31">
      <c r="A3579" s="2" t="s">
        <v>3958</v>
      </c>
      <c r="B3579" s="2">
        <v>103</v>
      </c>
      <c r="C3579" s="2">
        <v>9013113</v>
      </c>
      <c r="D3579" s="2" t="s">
        <v>2214</v>
      </c>
      <c r="E3579" s="2" t="s">
        <v>13</v>
      </c>
      <c r="N3579" s="2" t="s">
        <v>18</v>
      </c>
      <c r="O3579" s="2" t="s">
        <v>19</v>
      </c>
      <c r="P3579" s="2">
        <v>1000000</v>
      </c>
      <c r="Q3579" s="2">
        <v>7.4</v>
      </c>
      <c r="R3579" s="2" t="s">
        <v>6192</v>
      </c>
      <c r="S3579" s="2"/>
      <c r="AC3579" s="2"/>
      <c r="AD3579" t="str">
        <f>IFERROR(__xludf.DUMMYFUNCTION("""COMPUTED_VALUE"""),"Full Frontal ")</f>
        <v>Full Frontal </v>
      </c>
      <c r="AE3579">
        <f t="shared" si="85"/>
        <v>2557571</v>
      </c>
    </row>
    <row r="3580" customHeight="1" spans="1:31">
      <c r="A3580" s="2" t="s">
        <v>2258</v>
      </c>
      <c r="B3580" s="2">
        <v>83</v>
      </c>
      <c r="C3580" s="2">
        <v>53245055</v>
      </c>
      <c r="D3580" s="2" t="s">
        <v>72</v>
      </c>
      <c r="E3580" s="2" t="s">
        <v>72</v>
      </c>
      <c r="N3580" s="2" t="s">
        <v>18</v>
      </c>
      <c r="O3580" s="2" t="s">
        <v>19</v>
      </c>
      <c r="P3580" s="2">
        <v>1000000</v>
      </c>
      <c r="Q3580" s="2">
        <v>4.2</v>
      </c>
      <c r="R3580" s="2" t="s">
        <v>6193</v>
      </c>
      <c r="S3580" s="2"/>
      <c r="AC3580" s="2"/>
      <c r="AD3580" t="str">
        <f>IFERROR(__xludf.DUMMYFUNCTION("""COMPUTED_VALUE"""),"Witchboard ")</f>
        <v>Witchboard </v>
      </c>
      <c r="AE3580">
        <f t="shared" si="85"/>
        <v>2506345</v>
      </c>
    </row>
    <row r="3581" customHeight="1" spans="1:31">
      <c r="A3581" s="2" t="s">
        <v>3961</v>
      </c>
      <c r="B3581" s="2">
        <v>109</v>
      </c>
      <c r="C3581" s="2">
        <v>9000000</v>
      </c>
      <c r="D3581" s="2" t="s">
        <v>3722</v>
      </c>
      <c r="E3581" s="2" t="s">
        <v>40</v>
      </c>
      <c r="N3581" s="2" t="s">
        <v>18</v>
      </c>
      <c r="O3581" s="2" t="s">
        <v>19</v>
      </c>
      <c r="P3581" s="2">
        <v>900000</v>
      </c>
      <c r="Q3581" s="2">
        <v>6.2</v>
      </c>
      <c r="R3581" s="2" t="s">
        <v>6194</v>
      </c>
      <c r="S3581" s="2"/>
      <c r="AC3581" s="2"/>
      <c r="AD3581" t="str">
        <f>IFERROR(__xludf.DUMMYFUNCTION("""COMPUTED_VALUE"""),"Shortbus ")</f>
        <v>Shortbus </v>
      </c>
      <c r="AE3581">
        <f t="shared" si="85"/>
        <v>7369275</v>
      </c>
    </row>
    <row r="3582" customHeight="1" spans="1:31">
      <c r="A3582" s="2" t="s">
        <v>3220</v>
      </c>
      <c r="B3582" s="2">
        <v>100</v>
      </c>
      <c r="C3582" s="2">
        <v>7186670</v>
      </c>
      <c r="D3582" s="2" t="s">
        <v>5739</v>
      </c>
      <c r="E3582" s="2" t="s">
        <v>13</v>
      </c>
      <c r="N3582" s="2" t="s">
        <v>18</v>
      </c>
      <c r="O3582" s="2" t="s">
        <v>19</v>
      </c>
      <c r="P3582" s="2">
        <v>6000000</v>
      </c>
      <c r="Q3582" s="2">
        <v>5.4</v>
      </c>
      <c r="R3582" s="2" t="s">
        <v>6195</v>
      </c>
      <c r="S3582" s="2"/>
      <c r="AC3582" s="2"/>
      <c r="AD3582" t="str">
        <f>IFERROR(__xludf.DUMMYFUNCTION("""COMPUTED_VALUE"""),"Waltz with Bashir ")</f>
        <v>Waltz with Bashir </v>
      </c>
      <c r="AE3582">
        <f t="shared" si="85"/>
        <v>1984277</v>
      </c>
    </row>
    <row r="3583" customHeight="1" spans="1:31">
      <c r="A3583" s="2" t="s">
        <v>3963</v>
      </c>
      <c r="B3583" s="2">
        <v>95</v>
      </c>
      <c r="C3583" s="2">
        <v>5997134</v>
      </c>
      <c r="D3583" s="2" t="s">
        <v>2062</v>
      </c>
      <c r="E3583" s="2" t="s">
        <v>59</v>
      </c>
      <c r="N3583" s="2" t="s">
        <v>18</v>
      </c>
      <c r="O3583" s="2" t="s">
        <v>19</v>
      </c>
      <c r="P3583" s="2">
        <v>1000000</v>
      </c>
      <c r="Q3583" s="2">
        <v>7.2</v>
      </c>
      <c r="R3583" s="2" t="s">
        <v>6196</v>
      </c>
      <c r="S3583" s="2"/>
      <c r="AC3583" s="2"/>
      <c r="AD3583" t="str">
        <f>IFERROR(__xludf.DUMMYFUNCTION("""COMPUTED_VALUE"""),"The Book of Mormon Movie, Volume 1: The Journey ")</f>
        <v>The Book of Mormon Movie, Volume 1: The Journey </v>
      </c>
      <c r="AE3583">
        <f t="shared" si="85"/>
        <v>2283186</v>
      </c>
    </row>
    <row r="3584" customHeight="1" spans="1:31">
      <c r="A3584" s="2" t="s">
        <v>2669</v>
      </c>
      <c r="B3584" s="2">
        <v>104</v>
      </c>
      <c r="C3584" s="2">
        <v>3386698</v>
      </c>
      <c r="D3584" s="2" t="s">
        <v>521</v>
      </c>
      <c r="E3584" s="2" t="s">
        <v>40</v>
      </c>
      <c r="N3584" s="2" t="s">
        <v>18</v>
      </c>
      <c r="O3584" s="2" t="s">
        <v>19</v>
      </c>
      <c r="P3584" s="2">
        <v>1000000</v>
      </c>
      <c r="Q3584" s="2">
        <v>6.7</v>
      </c>
      <c r="R3584" s="2" t="s">
        <v>6197</v>
      </c>
      <c r="S3584" s="2"/>
      <c r="AC3584" s="2"/>
      <c r="AD3584" t="str">
        <f>IFERROR(__xludf.DUMMYFUNCTION("""COMPUTED_VALUE"""),"No End in Sight ")</f>
        <v>No End in Sight </v>
      </c>
      <c r="AE3584">
        <f t="shared" si="85"/>
        <v>1098104</v>
      </c>
    </row>
    <row r="3585" customHeight="1" spans="1:31">
      <c r="A3585" s="2" t="s">
        <v>3965</v>
      </c>
      <c r="B3585" s="2">
        <v>97</v>
      </c>
      <c r="C3585" s="2">
        <v>2508841</v>
      </c>
      <c r="D3585" s="2" t="s">
        <v>718</v>
      </c>
      <c r="E3585" s="2" t="s">
        <v>56</v>
      </c>
      <c r="N3585" s="2" t="s">
        <v>18</v>
      </c>
      <c r="O3585" s="2" t="s">
        <v>19</v>
      </c>
      <c r="P3585" s="2">
        <v>1000000</v>
      </c>
      <c r="Q3585" s="2">
        <v>7.2</v>
      </c>
      <c r="R3585" s="2" t="s">
        <v>6198</v>
      </c>
      <c r="S3585" s="2"/>
      <c r="AC3585" s="2"/>
      <c r="AD3585" t="str">
        <f>IFERROR(__xludf.DUMMYFUNCTION("""COMPUTED_VALUE"""),"The Diary of a Teenage Girl ")</f>
        <v>The Diary of a Teenage Girl </v>
      </c>
      <c r="AE3585">
        <f t="shared" si="85"/>
        <v>1430083</v>
      </c>
    </row>
    <row r="3586" customHeight="1" spans="1:31">
      <c r="A3586" s="2" t="s">
        <v>3967</v>
      </c>
      <c r="B3586" s="2">
        <v>91</v>
      </c>
      <c r="C3586" s="2">
        <v>4946250</v>
      </c>
      <c r="D3586" s="2" t="s">
        <v>1652</v>
      </c>
      <c r="E3586" s="2" t="s">
        <v>65</v>
      </c>
      <c r="N3586" s="2" t="s">
        <v>18</v>
      </c>
      <c r="O3586" s="2" t="s">
        <v>19</v>
      </c>
      <c r="P3586" s="2">
        <v>1000000</v>
      </c>
      <c r="Q3586" s="2">
        <v>7.4</v>
      </c>
      <c r="R3586" s="2" t="s">
        <v>6199</v>
      </c>
      <c r="S3586" s="2"/>
      <c r="AC3586" s="2"/>
      <c r="AD3586" t="str">
        <f>IFERROR(__xludf.DUMMYFUNCTION("""COMPUTED_VALUE"""),"In the Shadow of the Moon ")</f>
        <v>In the Shadow of the Moon </v>
      </c>
      <c r="AE3586">
        <f t="shared" si="85"/>
        <v>1476900</v>
      </c>
    </row>
    <row r="3587" customHeight="1" spans="1:31">
      <c r="A3587" s="2" t="s">
        <v>3403</v>
      </c>
      <c r="B3587" s="2">
        <v>84</v>
      </c>
      <c r="C3587" s="2">
        <v>1950218</v>
      </c>
      <c r="D3587" s="2" t="s">
        <v>975</v>
      </c>
      <c r="E3587" s="2" t="s">
        <v>40</v>
      </c>
      <c r="N3587" s="2" t="s">
        <v>18</v>
      </c>
      <c r="O3587" s="2" t="s">
        <v>19</v>
      </c>
      <c r="P3587" s="2">
        <v>1000000</v>
      </c>
      <c r="Q3587" s="2">
        <v>5.6</v>
      </c>
      <c r="R3587" s="2" t="s">
        <v>6200</v>
      </c>
      <c r="S3587" s="2"/>
      <c r="AC3587" s="2"/>
      <c r="AD3587" t="str">
        <f>IFERROR(__xludf.DUMMYFUNCTION("""COMPUTED_VALUE"""),"Inside Deep Throat ")</f>
        <v>Inside Deep Throat </v>
      </c>
      <c r="AE3587">
        <f t="shared" si="85"/>
        <v>1133949</v>
      </c>
    </row>
    <row r="3588" customHeight="1" spans="1:31">
      <c r="A3588" s="2" t="s">
        <v>3175</v>
      </c>
      <c r="B3588" s="2">
        <v>86</v>
      </c>
      <c r="C3588" s="2">
        <v>1277257</v>
      </c>
      <c r="D3588" s="2" t="s">
        <v>521</v>
      </c>
      <c r="E3588" s="2" t="s">
        <v>40</v>
      </c>
      <c r="N3588" s="2" t="s">
        <v>18</v>
      </c>
      <c r="O3588" s="2" t="s">
        <v>31</v>
      </c>
      <c r="P3588" s="2">
        <v>1000000</v>
      </c>
      <c r="Q3588" s="2">
        <v>6.8</v>
      </c>
      <c r="R3588" s="2" t="s">
        <v>6201</v>
      </c>
      <c r="S3588" s="2"/>
      <c r="AC3588" s="2"/>
      <c r="AD3588" t="str">
        <f>IFERROR(__xludf.DUMMYFUNCTION("""COMPUTED_VALUE"""),"The Virginity Hit ")</f>
        <v>The Virginity Hit </v>
      </c>
      <c r="AE3588">
        <f t="shared" si="85"/>
        <v>653532</v>
      </c>
    </row>
    <row r="3589" customHeight="1" spans="1:31">
      <c r="A3589" s="2" t="s">
        <v>3969</v>
      </c>
      <c r="B3589" s="2">
        <v>92</v>
      </c>
      <c r="C3589" s="2">
        <v>1677838</v>
      </c>
      <c r="D3589" s="2" t="s">
        <v>65</v>
      </c>
      <c r="E3589" s="2" t="s">
        <v>65</v>
      </c>
      <c r="N3589" s="2" t="s">
        <v>18</v>
      </c>
      <c r="O3589" s="2" t="s">
        <v>19</v>
      </c>
      <c r="P3589" s="2">
        <v>1000000</v>
      </c>
      <c r="Q3589" s="2">
        <v>7.7</v>
      </c>
      <c r="R3589" s="2" t="s">
        <v>6202</v>
      </c>
      <c r="S3589" s="2"/>
      <c r="AC3589" s="2"/>
      <c r="AD3589" t="str">
        <f>IFERROR(__xludf.DUMMYFUNCTION("""COMPUTED_VALUE"""),"House of D ")</f>
        <v>House of D </v>
      </c>
      <c r="AE3589">
        <f t="shared" si="85"/>
        <v>535163</v>
      </c>
    </row>
    <row r="3590" customHeight="1" spans="1:31">
      <c r="A3590" s="2" t="s">
        <v>3971</v>
      </c>
      <c r="B3590" s="2">
        <v>94</v>
      </c>
      <c r="C3590" s="2">
        <v>1744858</v>
      </c>
      <c r="D3590" s="2" t="s">
        <v>1826</v>
      </c>
      <c r="E3590" s="2" t="s">
        <v>40</v>
      </c>
      <c r="N3590" s="2" t="s">
        <v>18</v>
      </c>
      <c r="O3590" s="2" t="s">
        <v>19</v>
      </c>
      <c r="P3590" s="2">
        <v>1000000</v>
      </c>
      <c r="Q3590" s="2">
        <v>7</v>
      </c>
      <c r="R3590" s="2" t="s">
        <v>6203</v>
      </c>
      <c r="S3590" s="2"/>
      <c r="AC3590" s="2"/>
      <c r="AD3590" t="str">
        <f>IFERROR(__xludf.DUMMYFUNCTION("""COMPUTED_VALUE"""),"Six-String Samurai ")</f>
        <v>Six-String Samurai </v>
      </c>
      <c r="AE3590">
        <f t="shared" si="85"/>
        <v>370985</v>
      </c>
    </row>
    <row r="3591" customHeight="1" spans="1:31">
      <c r="A3591" s="2" t="s">
        <v>3973</v>
      </c>
      <c r="B3591" s="2">
        <v>100</v>
      </c>
      <c r="C3591" s="2">
        <v>982214</v>
      </c>
      <c r="D3591" s="2" t="s">
        <v>30</v>
      </c>
      <c r="E3591" s="2" t="s">
        <v>30</v>
      </c>
      <c r="N3591" s="2" t="s">
        <v>18</v>
      </c>
      <c r="O3591" s="2" t="s">
        <v>19</v>
      </c>
      <c r="P3591" s="2">
        <v>1000000</v>
      </c>
      <c r="Q3591" s="2">
        <v>7.2</v>
      </c>
      <c r="R3591" s="2" t="s">
        <v>6204</v>
      </c>
      <c r="S3591" s="2"/>
      <c r="AC3591" s="2"/>
      <c r="AD3591" t="str">
        <f>IFERROR(__xludf.DUMMYFUNCTION("""COMPUTED_VALUE"""),"Saint John of Las Vegas ")</f>
        <v>Saint John of Las Vegas </v>
      </c>
      <c r="AE3591">
        <f t="shared" si="85"/>
        <v>124403</v>
      </c>
    </row>
    <row r="3592" customHeight="1" spans="1:31">
      <c r="A3592" s="2" t="s">
        <v>3975</v>
      </c>
      <c r="B3592" s="2">
        <v>119</v>
      </c>
      <c r="C3592" s="2">
        <v>798341</v>
      </c>
      <c r="D3592" s="2" t="s">
        <v>4570</v>
      </c>
      <c r="E3592" s="2" t="s">
        <v>56</v>
      </c>
      <c r="N3592" s="2" t="s">
        <v>18</v>
      </c>
      <c r="O3592" s="2" t="s">
        <v>19</v>
      </c>
      <c r="P3592" s="2">
        <v>1000000</v>
      </c>
      <c r="Q3592" s="2">
        <v>7.2</v>
      </c>
      <c r="R3592" s="2" t="s">
        <v>6205</v>
      </c>
      <c r="S3592" s="2"/>
      <c r="AC3592" s="2"/>
      <c r="AD3592" t="str">
        <f>IFERROR(__xludf.DUMMYFUNCTION("""COMPUTED_VALUE"""),"Stonewall ")</f>
        <v>Stonewall </v>
      </c>
      <c r="AE3592">
        <f t="shared" si="85"/>
        <v>100584</v>
      </c>
    </row>
    <row r="3593" customHeight="1" spans="1:31">
      <c r="A3593" s="2" t="s">
        <v>3977</v>
      </c>
      <c r="B3593" s="2">
        <v>167</v>
      </c>
      <c r="C3593" s="2">
        <v>610991</v>
      </c>
      <c r="D3593" s="2" t="s">
        <v>103</v>
      </c>
      <c r="E3593" s="2" t="s">
        <v>30</v>
      </c>
      <c r="N3593" s="2" t="s">
        <v>5227</v>
      </c>
      <c r="O3593" s="2" t="s">
        <v>2888</v>
      </c>
      <c r="P3593" s="2">
        <v>1000000</v>
      </c>
      <c r="Q3593" s="2">
        <v>6.2</v>
      </c>
      <c r="R3593" s="2" t="s">
        <v>6206</v>
      </c>
      <c r="S3593" s="2"/>
      <c r="AC3593" s="2"/>
      <c r="AD3593" t="str">
        <f>IFERROR(__xludf.DUMMYFUNCTION("""COMPUTED_VALUE"""),"The Missing Person ")</f>
        <v>The Missing Person </v>
      </c>
      <c r="AE3593">
        <f t="shared" si="85"/>
        <v>186225</v>
      </c>
    </row>
    <row r="3594" customHeight="1" spans="1:31">
      <c r="A3594" s="2" t="s">
        <v>2185</v>
      </c>
      <c r="B3594" s="2">
        <v>92</v>
      </c>
      <c r="C3594" s="2">
        <v>582024</v>
      </c>
      <c r="D3594" s="2" t="s">
        <v>2261</v>
      </c>
      <c r="E3594" s="2" t="s">
        <v>40</v>
      </c>
      <c r="N3594" s="2" t="s">
        <v>18</v>
      </c>
      <c r="O3594" s="2" t="s">
        <v>19</v>
      </c>
      <c r="P3594" s="2">
        <v>1000000</v>
      </c>
      <c r="Q3594" s="2">
        <v>6.2</v>
      </c>
      <c r="R3594" s="2" t="s">
        <v>6207</v>
      </c>
      <c r="S3594" s="2"/>
      <c r="AC3594" s="2"/>
      <c r="AD3594" t="str">
        <f>IFERROR(__xludf.DUMMYFUNCTION("""COMPUTED_VALUE"""),"London ")</f>
        <v>London </v>
      </c>
      <c r="AE3594">
        <f t="shared" si="85"/>
        <v>17485</v>
      </c>
    </row>
    <row r="3595" customHeight="1" spans="1:31">
      <c r="A3595" s="2" t="s">
        <v>1344</v>
      </c>
      <c r="B3595" s="2">
        <v>108</v>
      </c>
      <c r="C3595" s="2">
        <v>548712</v>
      </c>
      <c r="D3595" s="2" t="s">
        <v>103</v>
      </c>
      <c r="E3595" s="2" t="s">
        <v>30</v>
      </c>
      <c r="N3595" s="2" t="s">
        <v>18</v>
      </c>
      <c r="O3595" s="2" t="s">
        <v>19</v>
      </c>
      <c r="P3595" s="2">
        <v>2500000</v>
      </c>
      <c r="Q3595" s="2">
        <v>6.9</v>
      </c>
      <c r="R3595" s="2" t="s">
        <v>6208</v>
      </c>
      <c r="S3595" s="2"/>
      <c r="AC3595" s="2"/>
      <c r="AD3595" t="str">
        <f>IFERROR(__xludf.DUMMYFUNCTION("""COMPUTED_VALUE"""),"Sherrybaby ")</f>
        <v>Sherrybaby </v>
      </c>
      <c r="AE3595">
        <f t="shared" si="85"/>
        <v>12575</v>
      </c>
    </row>
    <row r="3596" customHeight="1" spans="1:31">
      <c r="A3596" s="2" t="s">
        <v>3979</v>
      </c>
      <c r="B3596" s="2">
        <v>97</v>
      </c>
      <c r="C3596" s="2">
        <v>464655</v>
      </c>
      <c r="D3596" s="2" t="s">
        <v>975</v>
      </c>
      <c r="E3596" s="2" t="s">
        <v>40</v>
      </c>
      <c r="N3596" s="2" t="s">
        <v>18</v>
      </c>
      <c r="O3596" s="2" t="s">
        <v>19</v>
      </c>
      <c r="P3596" s="2">
        <v>1000000</v>
      </c>
      <c r="Q3596" s="2">
        <v>7</v>
      </c>
      <c r="R3596" s="2" t="s">
        <v>6209</v>
      </c>
      <c r="S3596" s="2"/>
      <c r="AC3596" s="2"/>
      <c r="AD3596" t="str">
        <f>IFERROR(__xludf.DUMMYFUNCTION("""COMPUTED_VALUE"""),"Gangster's Paradise: Jerusalema ")</f>
        <v>Gangster's Paradise: Jerusalema </v>
      </c>
      <c r="AE3596">
        <f t="shared" si="85"/>
        <v>198311</v>
      </c>
    </row>
    <row r="3597" customHeight="1" spans="1:31">
      <c r="A3597" s="2" t="s">
        <v>3981</v>
      </c>
      <c r="B3597" s="2">
        <v>88</v>
      </c>
      <c r="C3597" s="2">
        <v>464126</v>
      </c>
      <c r="D3597" s="2" t="s">
        <v>30</v>
      </c>
      <c r="E3597" s="2" t="s">
        <v>30</v>
      </c>
      <c r="N3597" s="2" t="s">
        <v>18</v>
      </c>
      <c r="O3597" s="2" t="s">
        <v>19</v>
      </c>
      <c r="P3597" s="2">
        <v>1000000</v>
      </c>
      <c r="Q3597" s="2">
        <v>6.7</v>
      </c>
      <c r="R3597" s="2" t="s">
        <v>6210</v>
      </c>
      <c r="S3597" s="2"/>
      <c r="AC3597" s="2"/>
      <c r="AD3597" t="str">
        <f>IFERROR(__xludf.DUMMYFUNCTION("""COMPUTED_VALUE"""),"The Lady from Shanghai ")</f>
        <v>The Lady from Shanghai </v>
      </c>
      <c r="AE3597">
        <f t="shared" si="85"/>
        <v>4839</v>
      </c>
    </row>
    <row r="3598" customHeight="1" spans="1:31">
      <c r="A3598" s="2" t="s">
        <v>3983</v>
      </c>
      <c r="B3598" s="2">
        <v>100</v>
      </c>
      <c r="C3598" s="2">
        <v>428535</v>
      </c>
      <c r="D3598" s="2" t="s">
        <v>607</v>
      </c>
      <c r="E3598" s="2" t="s">
        <v>40</v>
      </c>
      <c r="N3598" s="2" t="s">
        <v>18</v>
      </c>
      <c r="O3598" s="2" t="s">
        <v>19</v>
      </c>
      <c r="P3598" s="2">
        <v>1000000</v>
      </c>
      <c r="Q3598" s="2">
        <v>3.6</v>
      </c>
      <c r="R3598" s="2" t="s">
        <v>6211</v>
      </c>
      <c r="S3598" s="2"/>
      <c r="AC3598" s="2"/>
      <c r="AD3598" t="str">
        <f>IFERROR(__xludf.DUMMYFUNCTION("""COMPUTED_VALUE"""),"The Ghastly Love of Johnny X ")</f>
        <v>The Ghastly Love of Johnny X </v>
      </c>
      <c r="AE3598">
        <f t="shared" si="85"/>
        <v>7835</v>
      </c>
    </row>
    <row r="3599" customHeight="1" spans="1:31">
      <c r="A3599" s="2" t="s">
        <v>3985</v>
      </c>
      <c r="B3599" s="2">
        <v>88</v>
      </c>
      <c r="C3599" s="2">
        <v>104077</v>
      </c>
      <c r="D3599" s="2" t="s">
        <v>959</v>
      </c>
      <c r="E3599" s="2" t="s">
        <v>40</v>
      </c>
      <c r="N3599" s="2" t="s">
        <v>18</v>
      </c>
      <c r="O3599" s="2" t="s">
        <v>19</v>
      </c>
      <c r="P3599" s="2">
        <v>1000000</v>
      </c>
      <c r="Q3599" s="2">
        <v>7.4</v>
      </c>
      <c r="R3599" s="2" t="s">
        <v>6212</v>
      </c>
      <c r="S3599" s="2"/>
      <c r="AC3599" s="2"/>
      <c r="AD3599" t="str">
        <f>IFERROR(__xludf.DUMMYFUNCTION("""COMPUTED_VALUE"""),"River's Edge ")</f>
        <v>River's Edge </v>
      </c>
      <c r="AE3599">
        <f t="shared" si="85"/>
        <v>2330</v>
      </c>
    </row>
    <row r="3600" customHeight="1" spans="1:31">
      <c r="A3600" s="2" t="s">
        <v>3988</v>
      </c>
      <c r="B3600" s="2">
        <v>79</v>
      </c>
      <c r="C3600" s="2">
        <v>279282</v>
      </c>
      <c r="D3600" s="2" t="s">
        <v>521</v>
      </c>
      <c r="E3600" s="2" t="s">
        <v>40</v>
      </c>
      <c r="N3600" s="2" t="s">
        <v>18</v>
      </c>
      <c r="O3600" s="2" t="s">
        <v>19</v>
      </c>
      <c r="P3600" s="2">
        <v>1000000</v>
      </c>
      <c r="Q3600" s="2">
        <v>6.1</v>
      </c>
      <c r="R3600" s="2" t="s">
        <v>6213</v>
      </c>
      <c r="S3600" s="2"/>
      <c r="AC3600" s="2"/>
      <c r="AD3600" t="str">
        <f>IFERROR(__xludf.DUMMYFUNCTION("""COMPUTED_VALUE"""),"Northfork ")</f>
        <v>Northfork </v>
      </c>
      <c r="AE3600">
        <f t="shared" si="85"/>
        <v>4599901</v>
      </c>
    </row>
    <row r="3601" customHeight="1" spans="1:31">
      <c r="A3601" s="2" t="s">
        <v>3990</v>
      </c>
      <c r="B3601" s="2">
        <v>96</v>
      </c>
      <c r="C3601" s="2">
        <v>484221</v>
      </c>
      <c r="D3601" s="2" t="s">
        <v>6214</v>
      </c>
      <c r="E3601" s="2" t="s">
        <v>59</v>
      </c>
      <c r="N3601" s="2" t="s">
        <v>6179</v>
      </c>
      <c r="O3601" s="2" t="s">
        <v>31</v>
      </c>
      <c r="P3601" s="2">
        <v>1000000</v>
      </c>
      <c r="Q3601" s="2">
        <v>8.2</v>
      </c>
      <c r="R3601" s="2" t="s">
        <v>6215</v>
      </c>
      <c r="S3601" s="2"/>
      <c r="AC3601" s="2"/>
      <c r="AD3601" t="str">
        <f>IFERROR(__xludf.DUMMYFUNCTION("""COMPUTED_VALUE"""),"Buried ")</f>
        <v>Buried </v>
      </c>
      <c r="AE3601">
        <f t="shared" si="85"/>
        <v>1420475</v>
      </c>
    </row>
    <row r="3602" customHeight="1" spans="1:31">
      <c r="A3602" s="2" t="s">
        <v>3992</v>
      </c>
      <c r="B3602" s="2">
        <v>53</v>
      </c>
      <c r="C3602" s="2">
        <v>274661</v>
      </c>
      <c r="D3602" s="2" t="s">
        <v>6216</v>
      </c>
      <c r="E3602" s="2" t="s">
        <v>56</v>
      </c>
      <c r="N3602" s="2" t="s">
        <v>18</v>
      </c>
      <c r="O3602" s="2" t="s">
        <v>19</v>
      </c>
      <c r="P3602" s="2">
        <v>1000000</v>
      </c>
      <c r="Q3602" s="2">
        <v>7.7</v>
      </c>
      <c r="R3602" s="2" t="s">
        <v>6217</v>
      </c>
      <c r="S3602" s="2"/>
      <c r="AC3602" s="2"/>
      <c r="AD3602" t="str">
        <f>IFERROR(__xludf.DUMMYFUNCTION("""COMPUTED_VALUE"""),"One to Another ")</f>
        <v>One to Another </v>
      </c>
      <c r="AE3602">
        <f t="shared" si="85"/>
        <v>1028563</v>
      </c>
    </row>
    <row r="3603" customHeight="1" spans="1:31">
      <c r="A3603" s="2" t="s">
        <v>3994</v>
      </c>
      <c r="B3603" s="2">
        <v>97</v>
      </c>
      <c r="C3603" s="2">
        <v>144431</v>
      </c>
      <c r="D3603" s="2" t="s">
        <v>6218</v>
      </c>
      <c r="E3603" s="2" t="s">
        <v>65</v>
      </c>
      <c r="N3603" s="2" t="s">
        <v>18</v>
      </c>
      <c r="O3603" s="2" t="s">
        <v>31</v>
      </c>
      <c r="P3603" s="2">
        <v>1000000</v>
      </c>
      <c r="Q3603" s="2">
        <v>7.3</v>
      </c>
      <c r="R3603" s="2" t="s">
        <v>6219</v>
      </c>
      <c r="S3603" s="2"/>
      <c r="AC3603" s="2"/>
      <c r="AD3603" t="str">
        <f>IFERROR(__xludf.DUMMYFUNCTION("""COMPUTED_VALUE"""),"Man on Wire ")</f>
        <v>Man on Wire </v>
      </c>
      <c r="AE3603">
        <f t="shared" si="85"/>
        <v>18340</v>
      </c>
    </row>
    <row r="3604" customHeight="1" spans="1:31">
      <c r="A3604" s="2" t="s">
        <v>3996</v>
      </c>
      <c r="B3604" s="2">
        <v>91</v>
      </c>
      <c r="C3604" s="2">
        <v>287761</v>
      </c>
      <c r="D3604" s="2" t="s">
        <v>6220</v>
      </c>
      <c r="E3604" s="2" t="s">
        <v>13</v>
      </c>
      <c r="N3604" s="2" t="s">
        <v>18</v>
      </c>
      <c r="O3604" s="2" t="s">
        <v>90</v>
      </c>
      <c r="P3604" s="2">
        <v>1000000</v>
      </c>
      <c r="Q3604" s="2">
        <v>7.6</v>
      </c>
      <c r="R3604" s="2" t="s">
        <v>6221</v>
      </c>
      <c r="S3604" s="2"/>
      <c r="AC3604" s="2"/>
      <c r="AD3604" t="str">
        <f>IFERROR(__xludf.DUMMYFUNCTION("""COMPUTED_VALUE"""),"Brotherly Love ")</f>
        <v>Brotherly Love </v>
      </c>
      <c r="AE3604">
        <f t="shared" si="85"/>
        <v>2957888</v>
      </c>
    </row>
    <row r="3605" customHeight="1" spans="1:31">
      <c r="A3605" s="2" t="s">
        <v>3999</v>
      </c>
      <c r="B3605" s="2">
        <v>93</v>
      </c>
      <c r="C3605" s="2">
        <v>100240</v>
      </c>
      <c r="D3605" s="2" t="s">
        <v>65</v>
      </c>
      <c r="E3605" s="2" t="s">
        <v>65</v>
      </c>
      <c r="N3605" s="2" t="s">
        <v>18</v>
      </c>
      <c r="O3605" s="2" t="s">
        <v>3235</v>
      </c>
      <c r="P3605" s="2">
        <v>1000000</v>
      </c>
      <c r="Q3605" s="2">
        <v>6.8</v>
      </c>
      <c r="R3605" s="2" t="s">
        <v>6222</v>
      </c>
      <c r="S3605" s="2"/>
      <c r="AC3605" s="2"/>
      <c r="AD3605" t="str">
        <f>IFERROR(__xludf.DUMMYFUNCTION("""COMPUTED_VALUE"""),"The Last Exorcism ")</f>
        <v>The Last Exorcism </v>
      </c>
      <c r="AE3605">
        <f t="shared" si="85"/>
        <v>443955</v>
      </c>
    </row>
    <row r="3606" customHeight="1" spans="1:31">
      <c r="A3606" s="2" t="s">
        <v>4001</v>
      </c>
      <c r="B3606" s="2">
        <v>112</v>
      </c>
      <c r="C3606" s="2">
        <v>96734</v>
      </c>
      <c r="D3606" s="2" t="s">
        <v>297</v>
      </c>
      <c r="E3606" s="2" t="s">
        <v>12</v>
      </c>
      <c r="N3606" s="2" t="s">
        <v>18</v>
      </c>
      <c r="O3606" s="2" t="s">
        <v>19</v>
      </c>
      <c r="P3606" s="2">
        <v>1000000</v>
      </c>
      <c r="Q3606" s="2">
        <v>5.6</v>
      </c>
      <c r="R3606" s="2" t="s">
        <v>6223</v>
      </c>
      <c r="S3606" s="2"/>
      <c r="AC3606" s="2"/>
      <c r="AD3606" t="str">
        <f>IFERROR(__xludf.DUMMYFUNCTION("""COMPUTED_VALUE"""),"El crimen del padre Amaro ")</f>
        <v>El crimen del padre Amaro </v>
      </c>
      <c r="AE3606">
        <f t="shared" si="85"/>
        <v>40989968</v>
      </c>
    </row>
    <row r="3607" customHeight="1" spans="1:31">
      <c r="A3607" s="2" t="s">
        <v>4003</v>
      </c>
      <c r="B3607" s="2">
        <v>160</v>
      </c>
      <c r="C3607" s="2">
        <v>49000</v>
      </c>
      <c r="D3607" s="2" t="s">
        <v>24</v>
      </c>
      <c r="E3607" s="2" t="s">
        <v>24</v>
      </c>
      <c r="N3607" s="2" t="s">
        <v>5227</v>
      </c>
      <c r="O3607" s="2" t="s">
        <v>2888</v>
      </c>
      <c r="P3607" s="2">
        <v>1500000</v>
      </c>
      <c r="Q3607" s="2">
        <v>4.8</v>
      </c>
      <c r="R3607" s="2" t="s">
        <v>6224</v>
      </c>
      <c r="S3607" s="2"/>
      <c r="AC3607" s="2"/>
      <c r="AD3607" t="str">
        <f>IFERROR(__xludf.DUMMYFUNCTION("""COMPUTED_VALUE"""),"Beasts of the Southern Wild ")</f>
        <v>Beasts of the Southern Wild </v>
      </c>
      <c r="AE3607">
        <f t="shared" si="85"/>
        <v>5709498</v>
      </c>
    </row>
    <row r="3608" customHeight="1" spans="1:31">
      <c r="A3608" s="2" t="s">
        <v>4005</v>
      </c>
      <c r="B3608" s="2">
        <v>95</v>
      </c>
      <c r="C3608" s="2">
        <v>100659</v>
      </c>
      <c r="D3608" s="2" t="s">
        <v>72</v>
      </c>
      <c r="E3608" s="2" t="s">
        <v>72</v>
      </c>
      <c r="N3608" s="2" t="s">
        <v>18</v>
      </c>
      <c r="O3608" s="2" t="s">
        <v>19</v>
      </c>
      <c r="P3608" s="2">
        <v>900000</v>
      </c>
      <c r="Q3608" s="2">
        <v>6.4</v>
      </c>
      <c r="R3608" s="2" t="s">
        <v>6225</v>
      </c>
      <c r="S3608" s="2"/>
      <c r="AC3608" s="2"/>
      <c r="AD3608" t="str">
        <f>IFERROR(__xludf.DUMMYFUNCTION("""COMPUTED_VALUE"""),"Songcatcher ")</f>
        <v>Songcatcher </v>
      </c>
      <c r="AE3608">
        <f t="shared" si="85"/>
        <v>12784304</v>
      </c>
    </row>
    <row r="3609" customHeight="1" spans="1:31">
      <c r="A3609" s="2" t="s">
        <v>4007</v>
      </c>
      <c r="B3609" s="2">
        <v>93</v>
      </c>
      <c r="C3609" s="2">
        <v>48430</v>
      </c>
      <c r="D3609" s="2" t="s">
        <v>2471</v>
      </c>
      <c r="E3609" s="2" t="s">
        <v>40</v>
      </c>
      <c r="N3609" s="2" t="s">
        <v>18</v>
      </c>
      <c r="O3609" s="2" t="s">
        <v>19</v>
      </c>
      <c r="P3609" s="2">
        <v>500000</v>
      </c>
      <c r="Q3609" s="2">
        <v>6.8</v>
      </c>
      <c r="R3609" s="2" t="s">
        <v>6226</v>
      </c>
      <c r="S3609" s="2"/>
      <c r="AC3609" s="2"/>
      <c r="AD3609" t="str">
        <f>IFERROR(__xludf.DUMMYFUNCTION("""COMPUTED_VALUE"""),"The Greatest Movie Ever Sold ")</f>
        <v>The Greatest Movie Ever Sold </v>
      </c>
      <c r="AE3609">
        <f t="shared" si="85"/>
        <v>3050825</v>
      </c>
    </row>
    <row r="3610" customHeight="1" spans="1:31">
      <c r="A3610" s="2" t="s">
        <v>1460</v>
      </c>
      <c r="B3610" s="2">
        <v>88</v>
      </c>
      <c r="C3610" s="2">
        <v>21210</v>
      </c>
      <c r="D3610" s="2" t="s">
        <v>383</v>
      </c>
      <c r="E3610" s="2" t="s">
        <v>40</v>
      </c>
      <c r="N3610" s="2" t="s">
        <v>18</v>
      </c>
      <c r="O3610" s="2" t="s">
        <v>19</v>
      </c>
      <c r="P3610" s="2">
        <v>1000000</v>
      </c>
      <c r="Q3610" s="2">
        <v>6.1</v>
      </c>
      <c r="R3610" s="2" t="s">
        <v>6227</v>
      </c>
      <c r="S3610" s="2"/>
      <c r="AC3610" s="2"/>
      <c r="AD3610" t="str">
        <f>IFERROR(__xludf.DUMMYFUNCTION("""COMPUTED_VALUE"""),"Travelers and Magicians ")</f>
        <v>Travelers and Magicians </v>
      </c>
      <c r="AE3610">
        <f t="shared" si="85"/>
        <v>638386</v>
      </c>
    </row>
    <row r="3611" customHeight="1" spans="1:31">
      <c r="A3611" s="2" t="s">
        <v>1693</v>
      </c>
      <c r="B3611" s="2">
        <v>82</v>
      </c>
      <c r="C3611" s="2">
        <v>12996</v>
      </c>
      <c r="D3611" s="2" t="s">
        <v>370</v>
      </c>
      <c r="E3611" s="2" t="s">
        <v>12</v>
      </c>
      <c r="N3611" s="2" t="s">
        <v>18</v>
      </c>
      <c r="O3611" s="2" t="s">
        <v>19</v>
      </c>
      <c r="P3611" s="2">
        <v>1000000</v>
      </c>
      <c r="Q3611" s="2">
        <v>6</v>
      </c>
      <c r="R3611" s="2" t="s">
        <v>6228</v>
      </c>
      <c r="S3611" s="2"/>
      <c r="AC3611" s="2"/>
      <c r="AD3611" t="str">
        <f>IFERROR(__xludf.DUMMYFUNCTION("""COMPUTED_VALUE"""),"Run Lola Run ")</f>
        <v>Run Lola Run </v>
      </c>
      <c r="AE3611">
        <f t="shared" si="85"/>
        <v>505187</v>
      </c>
    </row>
    <row r="3612" customHeight="1" spans="1:31">
      <c r="A3612" s="2" t="s">
        <v>4009</v>
      </c>
      <c r="B3612" s="2">
        <v>78</v>
      </c>
      <c r="C3612" s="2">
        <v>10018</v>
      </c>
      <c r="D3612" s="2" t="s">
        <v>805</v>
      </c>
      <c r="E3612" s="2" t="s">
        <v>56</v>
      </c>
      <c r="N3612" s="2" t="s">
        <v>18</v>
      </c>
      <c r="O3612" s="2" t="s">
        <v>19</v>
      </c>
      <c r="P3612" s="2">
        <v>1000000</v>
      </c>
      <c r="Q3612" s="2">
        <v>6.1</v>
      </c>
      <c r="R3612" s="2" t="s">
        <v>6229</v>
      </c>
      <c r="S3612" s="2"/>
      <c r="AC3612" s="2"/>
      <c r="AD3612" t="str">
        <f>IFERROR(__xludf.DUMMYFUNCTION("""COMPUTED_VALUE"""),"May ")</f>
        <v>May </v>
      </c>
      <c r="AE3612">
        <f t="shared" si="85"/>
        <v>7267243</v>
      </c>
    </row>
    <row r="3613" customHeight="1" spans="1:31">
      <c r="A3613" s="2" t="s">
        <v>4012</v>
      </c>
      <c r="B3613" s="2">
        <v>97</v>
      </c>
      <c r="C3613" s="2">
        <v>62480</v>
      </c>
      <c r="D3613" s="2" t="s">
        <v>677</v>
      </c>
      <c r="E3613" s="2" t="s">
        <v>30</v>
      </c>
      <c r="N3613" s="2" t="s">
        <v>18</v>
      </c>
      <c r="O3613" s="2" t="s">
        <v>19</v>
      </c>
      <c r="P3613" s="2">
        <v>1000000</v>
      </c>
      <c r="Q3613" s="2">
        <v>5.5</v>
      </c>
      <c r="R3613" s="2" t="s">
        <v>6230</v>
      </c>
      <c r="S3613" s="2"/>
      <c r="AC3613" s="2"/>
      <c r="AD3613" t="str">
        <f>IFERROR(__xludf.DUMMYFUNCTION("""COMPUTED_VALUE"""),"In the Bedroom ")</f>
        <v>In the Bedroom </v>
      </c>
      <c r="AE3613">
        <f t="shared" si="85"/>
        <v>145447</v>
      </c>
    </row>
    <row r="3614" customHeight="1" spans="1:31">
      <c r="A3614" s="2" t="s">
        <v>4014</v>
      </c>
      <c r="B3614" s="2">
        <v>81</v>
      </c>
      <c r="C3614" s="2">
        <v>6387</v>
      </c>
      <c r="D3614" s="2" t="s">
        <v>866</v>
      </c>
      <c r="E3614" s="2" t="s">
        <v>40</v>
      </c>
      <c r="N3614" s="2" t="s">
        <v>18</v>
      </c>
      <c r="O3614" s="2" t="s">
        <v>19</v>
      </c>
      <c r="P3614" s="2">
        <v>1000000</v>
      </c>
      <c r="Q3614" s="2">
        <v>6.9</v>
      </c>
      <c r="R3614" s="2" t="s">
        <v>6231</v>
      </c>
      <c r="S3614" s="2"/>
      <c r="AC3614" s="2"/>
      <c r="AD3614" t="str">
        <f>IFERROR(__xludf.DUMMYFUNCTION("""COMPUTED_VALUE"""),"I Spit on Your Grave ")</f>
        <v>I Spit on Your Grave </v>
      </c>
      <c r="AE3614">
        <f t="shared" si="85"/>
        <v>35918291</v>
      </c>
    </row>
    <row r="3615" customHeight="1" spans="1:31">
      <c r="A3615" s="2" t="s">
        <v>2170</v>
      </c>
      <c r="B3615" s="2">
        <v>88</v>
      </c>
      <c r="C3615" s="2">
        <v>721</v>
      </c>
      <c r="D3615" s="2" t="s">
        <v>297</v>
      </c>
      <c r="E3615" s="2" t="s">
        <v>12</v>
      </c>
      <c r="N3615" s="2" t="s">
        <v>18</v>
      </c>
      <c r="O3615" s="2" t="s">
        <v>293</v>
      </c>
      <c r="P3615" s="2">
        <v>1000000</v>
      </c>
      <c r="Q3615" s="2">
        <v>4.1</v>
      </c>
      <c r="R3615" s="2" t="s">
        <v>6232</v>
      </c>
      <c r="S3615" s="2"/>
      <c r="AC3615" s="2"/>
      <c r="AD3615" t="str">
        <f>IFERROR(__xludf.DUMMYFUNCTION("""COMPUTED_VALUE"""),"Happy, Texas ")</f>
        <v>Happy, Texas </v>
      </c>
      <c r="AE3615">
        <f t="shared" si="85"/>
        <v>92296</v>
      </c>
    </row>
    <row r="3616" customHeight="1" spans="1:31">
      <c r="A3616" s="2" t="s">
        <v>4016</v>
      </c>
      <c r="B3616" s="2">
        <v>96</v>
      </c>
      <c r="C3616" s="2">
        <v>703</v>
      </c>
      <c r="D3616" s="2" t="s">
        <v>975</v>
      </c>
      <c r="E3616" s="2" t="s">
        <v>40</v>
      </c>
      <c r="N3616" s="2" t="s">
        <v>18</v>
      </c>
      <c r="O3616" s="2" t="s">
        <v>19</v>
      </c>
      <c r="P3616" s="2">
        <v>1500000</v>
      </c>
      <c r="Q3616" s="2">
        <v>5.4</v>
      </c>
      <c r="R3616" s="2" t="s">
        <v>6233</v>
      </c>
      <c r="S3616" s="2"/>
      <c r="AC3616" s="2"/>
      <c r="AD3616" t="str">
        <f>IFERROR(__xludf.DUMMYFUNCTION("""COMPUTED_VALUE"""),"My Summer of Love ")</f>
        <v>My Summer of Love </v>
      </c>
      <c r="AE3616">
        <f t="shared" si="85"/>
        <v>1943551</v>
      </c>
    </row>
    <row r="3617" customHeight="1" spans="1:31">
      <c r="A3617" s="2" t="s">
        <v>4018</v>
      </c>
      <c r="B3617" s="2">
        <v>108</v>
      </c>
      <c r="C3617" s="2">
        <v>9600000</v>
      </c>
      <c r="D3617" s="2" t="s">
        <v>5167</v>
      </c>
      <c r="E3617" s="2" t="s">
        <v>56</v>
      </c>
      <c r="N3617" s="2" t="s">
        <v>18</v>
      </c>
      <c r="O3617" s="2" t="s">
        <v>19</v>
      </c>
      <c r="P3617" s="2">
        <v>910000</v>
      </c>
      <c r="Q3617" s="2">
        <v>8.2</v>
      </c>
      <c r="R3617" s="2" t="s">
        <v>6234</v>
      </c>
      <c r="S3617" s="2"/>
      <c r="AC3617" s="2"/>
      <c r="AD3617" t="str">
        <f>IFERROR(__xludf.DUMMYFUNCTION("""COMPUTED_VALUE"""),"The Lunchbox ")</f>
        <v>The Lunchbox </v>
      </c>
      <c r="AE3617">
        <f t="shared" si="85"/>
        <v>992152</v>
      </c>
    </row>
    <row r="3618" customHeight="1" spans="1:31">
      <c r="A3618" s="2" t="s">
        <v>4020</v>
      </c>
      <c r="B3618" s="2">
        <v>100</v>
      </c>
      <c r="C3618" s="2">
        <v>20186</v>
      </c>
      <c r="D3618" s="2" t="s">
        <v>40</v>
      </c>
      <c r="E3618" s="2" t="s">
        <v>40</v>
      </c>
      <c r="N3618" s="2" t="s">
        <v>18</v>
      </c>
      <c r="O3618" s="2" t="s">
        <v>19</v>
      </c>
      <c r="P3618" s="2">
        <v>930000</v>
      </c>
      <c r="Q3618" s="2">
        <v>5.7</v>
      </c>
      <c r="R3618" s="2" t="s">
        <v>6235</v>
      </c>
      <c r="S3618" s="2"/>
      <c r="AC3618" s="2"/>
      <c r="AD3618" t="str">
        <f>IFERROR(__xludf.DUMMYFUNCTION("""COMPUTED_VALUE"""),"Yes ")</f>
        <v>Yes </v>
      </c>
      <c r="AE3618">
        <f t="shared" si="85"/>
        <v>4231396</v>
      </c>
    </row>
    <row r="3619" customHeight="1" spans="1:31">
      <c r="A3619" s="2" t="s">
        <v>4022</v>
      </c>
      <c r="B3619" s="2">
        <v>113</v>
      </c>
      <c r="C3619" s="2">
        <v>1185783</v>
      </c>
      <c r="D3619" s="2" t="s">
        <v>30</v>
      </c>
      <c r="E3619" s="2" t="s">
        <v>30</v>
      </c>
      <c r="N3619" s="2" t="s">
        <v>6236</v>
      </c>
      <c r="O3619" s="2" t="s">
        <v>3697</v>
      </c>
      <c r="P3619" s="2">
        <v>590000</v>
      </c>
      <c r="Q3619" s="2">
        <v>7.9</v>
      </c>
      <c r="R3619" s="2" t="s">
        <v>6237</v>
      </c>
      <c r="S3619" s="2"/>
      <c r="AC3619" s="2"/>
      <c r="AD3619" t="str">
        <f>IFERROR(__xludf.DUMMYFUNCTION("""COMPUTED_VALUE"""),"Foolish ")</f>
        <v>Foolish </v>
      </c>
      <c r="AE3619">
        <f t="shared" si="85"/>
        <v>395935</v>
      </c>
    </row>
    <row r="3620" customHeight="1" spans="1:31">
      <c r="A3620" s="2" t="s">
        <v>969</v>
      </c>
      <c r="B3620" s="2">
        <v>104</v>
      </c>
      <c r="C3620" s="2">
        <v>1007962</v>
      </c>
      <c r="D3620" s="2" t="s">
        <v>805</v>
      </c>
      <c r="E3620" s="2" t="s">
        <v>56</v>
      </c>
      <c r="N3620" s="2" t="s">
        <v>18</v>
      </c>
      <c r="O3620" s="2" t="s">
        <v>19</v>
      </c>
      <c r="P3620" s="2">
        <v>950000</v>
      </c>
      <c r="Q3620" s="2">
        <v>7.1</v>
      </c>
      <c r="R3620" s="2" t="s">
        <v>6238</v>
      </c>
      <c r="S3620" s="2"/>
      <c r="AC3620" s="2"/>
      <c r="AD3620" t="str">
        <f>IFERROR(__xludf.DUMMYFUNCTION("""COMPUTED_VALUE"""),"Caramel ")</f>
        <v>Caramel </v>
      </c>
      <c r="AE3620">
        <f t="shared" si="85"/>
        <v>6026824</v>
      </c>
    </row>
    <row r="3621" customHeight="1" spans="1:31">
      <c r="A3621" s="2" t="s">
        <v>3916</v>
      </c>
      <c r="B3621" s="2">
        <v>91</v>
      </c>
      <c r="C3621" s="2">
        <v>381186</v>
      </c>
      <c r="D3621" s="2" t="s">
        <v>1655</v>
      </c>
      <c r="E3621" s="2" t="s">
        <v>30</v>
      </c>
      <c r="N3621" s="2" t="s">
        <v>18</v>
      </c>
      <c r="O3621" s="2" t="s">
        <v>19</v>
      </c>
      <c r="P3621" s="2">
        <v>900000</v>
      </c>
      <c r="Q3621" s="2">
        <v>6.4</v>
      </c>
      <c r="R3621" s="2" t="s">
        <v>6239</v>
      </c>
      <c r="S3621" s="2"/>
      <c r="AC3621" s="2"/>
      <c r="AD3621" t="str">
        <f>IFERROR(__xludf.DUMMYFUNCTION("""COMPUTED_VALUE"""),"The Bubble ")</f>
        <v>The Bubble </v>
      </c>
      <c r="AE3621">
        <f t="shared" si="85"/>
        <v>1060496</v>
      </c>
    </row>
    <row r="3622" customHeight="1" spans="1:31">
      <c r="A3622" s="2" t="s">
        <v>1624</v>
      </c>
      <c r="B3622" s="2">
        <v>85</v>
      </c>
      <c r="C3622" s="2">
        <v>16097842</v>
      </c>
      <c r="D3622" s="2" t="s">
        <v>2624</v>
      </c>
      <c r="E3622" s="2" t="s">
        <v>59</v>
      </c>
      <c r="N3622" s="2" t="s">
        <v>18</v>
      </c>
      <c r="O3622" s="2" t="s">
        <v>19</v>
      </c>
      <c r="P3622" s="2">
        <v>900000</v>
      </c>
      <c r="Q3622" s="2">
        <v>7.5</v>
      </c>
      <c r="R3622" s="2" t="s">
        <v>6240</v>
      </c>
      <c r="S3622" s="2"/>
      <c r="AC3622" s="2"/>
      <c r="AD3622" t="str">
        <f>IFERROR(__xludf.DUMMYFUNCTION("""COMPUTED_VALUE"""),"Mississippi Mermaid ")</f>
        <v>Mississippi Mermaid </v>
      </c>
      <c r="AE3622">
        <f t="shared" si="85"/>
        <v>155882</v>
      </c>
    </row>
    <row r="3623" customHeight="1" spans="1:31">
      <c r="A3623" s="2" t="s">
        <v>4024</v>
      </c>
      <c r="B3623" s="2">
        <v>101</v>
      </c>
      <c r="C3623" s="2">
        <v>6643</v>
      </c>
      <c r="D3623" s="2" t="s">
        <v>6241</v>
      </c>
      <c r="E3623" s="2" t="s">
        <v>40</v>
      </c>
      <c r="N3623" s="2" t="s">
        <v>18</v>
      </c>
      <c r="O3623" s="2" t="s">
        <v>19</v>
      </c>
      <c r="P3623" s="2">
        <v>900000</v>
      </c>
      <c r="Q3623" s="2">
        <v>6.4</v>
      </c>
      <c r="R3623" s="2" t="s">
        <v>6242</v>
      </c>
      <c r="S3623" s="2"/>
      <c r="AC3623" s="2"/>
      <c r="AD3623" t="str">
        <f>IFERROR(__xludf.DUMMYFUNCTION("""COMPUTED_VALUE"""),"I Love Your Work ")</f>
        <v>I Love Your Work </v>
      </c>
      <c r="AE3623">
        <f t="shared" si="85"/>
        <v>26770</v>
      </c>
    </row>
    <row r="3624" customHeight="1" spans="1:31">
      <c r="A3624" s="2" t="s">
        <v>2002</v>
      </c>
      <c r="B3624" s="2">
        <v>88</v>
      </c>
      <c r="C3624" s="2">
        <v>442638</v>
      </c>
      <c r="D3624" s="2" t="s">
        <v>1573</v>
      </c>
      <c r="E3624" s="2" t="s">
        <v>40</v>
      </c>
      <c r="N3624" s="2" t="s">
        <v>18</v>
      </c>
      <c r="O3624" s="2" t="s">
        <v>19</v>
      </c>
      <c r="P3624" s="2">
        <v>850000</v>
      </c>
      <c r="Q3624" s="2">
        <v>7.3</v>
      </c>
      <c r="R3624" s="2" t="s">
        <v>6243</v>
      </c>
      <c r="S3624" s="2"/>
      <c r="AC3624" s="2"/>
      <c r="AD3624" t="str">
        <f>IFERROR(__xludf.DUMMYFUNCTION("""COMPUTED_VALUE"""),"Waitress ")</f>
        <v>Waitress </v>
      </c>
      <c r="AE3624">
        <f t="shared" si="85"/>
        <v>2469</v>
      </c>
    </row>
    <row r="3625" customHeight="1" spans="1:31">
      <c r="A3625" s="2" t="s">
        <v>4026</v>
      </c>
      <c r="B3625" s="2">
        <v>107</v>
      </c>
      <c r="C3625" s="2">
        <v>819939</v>
      </c>
      <c r="D3625" s="2" t="s">
        <v>521</v>
      </c>
      <c r="E3625" s="2" t="s">
        <v>40</v>
      </c>
      <c r="N3625" s="2" t="s">
        <v>18</v>
      </c>
      <c r="O3625" s="2" t="s">
        <v>19</v>
      </c>
      <c r="P3625" s="2">
        <v>850000</v>
      </c>
      <c r="Q3625" s="2">
        <v>7.2</v>
      </c>
      <c r="R3625" s="2" t="s">
        <v>6244</v>
      </c>
      <c r="S3625" s="2"/>
      <c r="AC3625" s="2"/>
      <c r="AD3625" t="str">
        <f>IFERROR(__xludf.DUMMYFUNCTION("""COMPUTED_VALUE"""),"Bloodsport ")</f>
        <v>Bloodsport </v>
      </c>
      <c r="AE3625">
        <f t="shared" si="85"/>
        <v>19067523</v>
      </c>
    </row>
    <row r="3626" customHeight="1" spans="1:31">
      <c r="A3626" s="2" t="s">
        <v>4028</v>
      </c>
      <c r="B3626" s="2">
        <v>88</v>
      </c>
      <c r="C3626" s="2">
        <v>1243961</v>
      </c>
      <c r="D3626" s="2" t="s">
        <v>40</v>
      </c>
      <c r="E3626" s="2" t="s">
        <v>40</v>
      </c>
      <c r="N3626" s="2" t="s">
        <v>18</v>
      </c>
      <c r="O3626" s="2" t="s">
        <v>19</v>
      </c>
      <c r="P3626" s="2">
        <v>850000</v>
      </c>
      <c r="Q3626" s="2">
        <v>6</v>
      </c>
      <c r="R3626" s="2" t="s">
        <v>6245</v>
      </c>
      <c r="S3626" s="2"/>
      <c r="AC3626" s="2"/>
      <c r="AD3626" t="str">
        <f>IFERROR(__xludf.DUMMYFUNCTION("""COMPUTED_VALUE"""),"Kids ")</f>
        <v>Kids </v>
      </c>
      <c r="AE3626">
        <f t="shared" si="85"/>
        <v>11806027</v>
      </c>
    </row>
    <row r="3627" customHeight="1" spans="1:31">
      <c r="A3627" s="2" t="s">
        <v>4030</v>
      </c>
      <c r="B3627" s="2">
        <v>95</v>
      </c>
      <c r="C3627" s="2">
        <v>15278</v>
      </c>
      <c r="D3627" s="2" t="s">
        <v>6246</v>
      </c>
      <c r="E3627" s="2" t="s">
        <v>30</v>
      </c>
      <c r="N3627" s="2" t="s">
        <v>18</v>
      </c>
      <c r="O3627" s="2" t="s">
        <v>19</v>
      </c>
      <c r="P3627" s="2">
        <v>825000</v>
      </c>
      <c r="Q3627" s="2">
        <v>5.6</v>
      </c>
      <c r="R3627" s="2" t="s">
        <v>6247</v>
      </c>
      <c r="S3627" s="2"/>
      <c r="AC3627" s="2"/>
      <c r="AD3627" t="str">
        <f>IFERROR(__xludf.DUMMYFUNCTION("""COMPUTED_VALUE"""),"The Squid and the Whale ")</f>
        <v>The Squid and the Whale </v>
      </c>
      <c r="AE3627">
        <f t="shared" si="85"/>
        <v>7417119</v>
      </c>
    </row>
    <row r="3628" customHeight="1" spans="1:31">
      <c r="A3628" s="2" t="s">
        <v>4032</v>
      </c>
      <c r="B3628" s="2">
        <v>123</v>
      </c>
      <c r="C3628" s="2">
        <v>7098492</v>
      </c>
      <c r="D3628" s="2" t="s">
        <v>3388</v>
      </c>
      <c r="E3628" s="2" t="s">
        <v>30</v>
      </c>
      <c r="N3628" s="2" t="s">
        <v>6248</v>
      </c>
      <c r="O3628" s="2" t="s">
        <v>4987</v>
      </c>
      <c r="P3628" s="2">
        <v>500000</v>
      </c>
      <c r="Q3628" s="2">
        <v>8.4</v>
      </c>
      <c r="R3628" s="2" t="s">
        <v>6249</v>
      </c>
      <c r="S3628" s="2"/>
      <c r="AC3628" s="2"/>
      <c r="AD3628" t="str">
        <f>IFERROR(__xludf.DUMMYFUNCTION("""COMPUTED_VALUE"""),"Kissing Jessica Stein ")</f>
        <v>Kissing Jessica Stein </v>
      </c>
      <c r="AE3628">
        <f t="shared" si="85"/>
        <v>7362012</v>
      </c>
    </row>
    <row r="3629" customHeight="1" spans="1:31">
      <c r="A3629" s="2" t="s">
        <v>3679</v>
      </c>
      <c r="B3629" s="2">
        <v>88</v>
      </c>
      <c r="C3629" s="2">
        <v>4771000</v>
      </c>
      <c r="D3629" s="2" t="s">
        <v>975</v>
      </c>
      <c r="E3629" s="2" t="s">
        <v>40</v>
      </c>
      <c r="N3629" s="2" t="s">
        <v>18</v>
      </c>
      <c r="O3629" s="2" t="s">
        <v>19</v>
      </c>
      <c r="P3629" s="2">
        <v>800000</v>
      </c>
      <c r="Q3629" s="2">
        <v>7.5</v>
      </c>
      <c r="R3629" s="2" t="s">
        <v>6250</v>
      </c>
      <c r="S3629" s="2"/>
      <c r="AC3629" s="2"/>
      <c r="AD3629" t="str">
        <f>IFERROR(__xludf.DUMMYFUNCTION("""COMPUTED_VALUE"""),"Exotica ")</f>
        <v>Exotica </v>
      </c>
      <c r="AE3629">
        <f t="shared" si="85"/>
        <v>7022843</v>
      </c>
    </row>
    <row r="3630" customHeight="1" spans="1:31">
      <c r="A3630" s="2" t="s">
        <v>3711</v>
      </c>
      <c r="B3630" s="2">
        <v>114</v>
      </c>
      <c r="C3630" s="2">
        <v>1001437</v>
      </c>
      <c r="D3630" s="2" t="s">
        <v>103</v>
      </c>
      <c r="E3630" s="2" t="s">
        <v>30</v>
      </c>
      <c r="N3630" s="2" t="s">
        <v>18</v>
      </c>
      <c r="O3630" s="2" t="s">
        <v>19</v>
      </c>
      <c r="P3630" s="2">
        <v>800000</v>
      </c>
      <c r="Q3630" s="2">
        <v>7.2</v>
      </c>
      <c r="R3630" s="2" t="s">
        <v>6251</v>
      </c>
      <c r="S3630" s="2"/>
      <c r="AC3630" s="2"/>
      <c r="AD3630" t="str">
        <f>IFERROR(__xludf.DUMMYFUNCTION("""COMPUTED_VALUE"""),"Buffalo '66 ")</f>
        <v>Buffalo '66 </v>
      </c>
      <c r="AE3630">
        <f t="shared" si="85"/>
        <v>5132119</v>
      </c>
    </row>
    <row r="3631" customHeight="1" spans="1:31">
      <c r="A3631" s="2" t="s">
        <v>2972</v>
      </c>
      <c r="B3631" s="2">
        <v>88</v>
      </c>
      <c r="C3631" s="2">
        <v>2073984</v>
      </c>
      <c r="D3631" s="2" t="s">
        <v>103</v>
      </c>
      <c r="E3631" s="2" t="s">
        <v>30</v>
      </c>
      <c r="N3631" s="2" t="s">
        <v>18</v>
      </c>
      <c r="O3631" s="2" t="s">
        <v>707</v>
      </c>
      <c r="P3631" s="2">
        <v>800000</v>
      </c>
      <c r="Q3631" s="2">
        <v>7.2</v>
      </c>
      <c r="R3631" s="2" t="s">
        <v>6252</v>
      </c>
      <c r="S3631" s="2"/>
      <c r="AC3631" s="2"/>
      <c r="AD3631" t="str">
        <f>IFERROR(__xludf.DUMMYFUNCTION("""COMPUTED_VALUE"""),"Insidious ")</f>
        <v>Insidious </v>
      </c>
      <c r="AE3631">
        <f t="shared" si="85"/>
        <v>2365821</v>
      </c>
    </row>
    <row r="3632" customHeight="1" spans="1:31">
      <c r="A3632" s="2" t="s">
        <v>1129</v>
      </c>
      <c r="B3632" s="2">
        <v>104</v>
      </c>
      <c r="C3632" s="2">
        <v>144583</v>
      </c>
      <c r="D3632" s="2" t="s">
        <v>1655</v>
      </c>
      <c r="E3632" s="2" t="s">
        <v>30</v>
      </c>
      <c r="N3632" s="2" t="s">
        <v>18</v>
      </c>
      <c r="O3632" s="2" t="s">
        <v>707</v>
      </c>
      <c r="P3632" s="2">
        <v>800000</v>
      </c>
      <c r="Q3632" s="2">
        <v>6.5</v>
      </c>
      <c r="R3632" s="2" t="s">
        <v>6253</v>
      </c>
      <c r="S3632" s="2"/>
      <c r="AC3632" s="2"/>
      <c r="AD3632" t="str">
        <f>IFERROR(__xludf.DUMMYFUNCTION("""COMPUTED_VALUE"""),"Nine Queens ")</f>
        <v>Nine Queens </v>
      </c>
      <c r="AE3632">
        <f t="shared" si="85"/>
        <v>53991034</v>
      </c>
    </row>
    <row r="3633" customHeight="1" spans="1:31">
      <c r="A3633" s="2" t="s">
        <v>4034</v>
      </c>
      <c r="B3633" s="2">
        <v>93</v>
      </c>
      <c r="C3633" s="2">
        <v>35688</v>
      </c>
      <c r="D3633" s="2" t="s">
        <v>40</v>
      </c>
      <c r="E3633" s="2" t="s">
        <v>40</v>
      </c>
      <c r="N3633" s="2" t="s">
        <v>18</v>
      </c>
      <c r="O3633" s="2" t="s">
        <v>19</v>
      </c>
      <c r="P3633" s="2">
        <v>600000</v>
      </c>
      <c r="Q3633" s="2">
        <v>5.1</v>
      </c>
      <c r="R3633" s="2" t="s">
        <v>6254</v>
      </c>
      <c r="S3633" s="2"/>
      <c r="AC3633" s="2"/>
      <c r="AD3633" t="str">
        <f>IFERROR(__xludf.DUMMYFUNCTION("""COMPUTED_VALUE"""),"The Ballad of Jack and Rose ")</f>
        <v>The Ballad of Jack and Rose </v>
      </c>
      <c r="AE3633">
        <f t="shared" si="85"/>
        <v>1221147</v>
      </c>
    </row>
    <row r="3634" customHeight="1" spans="1:31">
      <c r="A3634" s="2" t="s">
        <v>1288</v>
      </c>
      <c r="B3634" s="2">
        <v>91</v>
      </c>
      <c r="C3634" s="2">
        <v>41709</v>
      </c>
      <c r="D3634" s="2" t="s">
        <v>3178</v>
      </c>
      <c r="E3634" s="2" t="s">
        <v>40</v>
      </c>
      <c r="N3634" s="2" t="s">
        <v>5703</v>
      </c>
      <c r="O3634" s="2" t="s">
        <v>5704</v>
      </c>
      <c r="P3634" s="2">
        <v>800000</v>
      </c>
      <c r="Q3634" s="2">
        <v>6.4</v>
      </c>
      <c r="R3634" s="2" t="s">
        <v>6255</v>
      </c>
      <c r="S3634" s="2"/>
      <c r="AC3634" s="2"/>
      <c r="AD3634" t="str">
        <f>IFERROR(__xludf.DUMMYFUNCTION("""COMPUTED_VALUE"""),"The To Do List ")</f>
        <v>The To Do List </v>
      </c>
      <c r="AE3634">
        <f t="shared" si="85"/>
        <v>712182</v>
      </c>
    </row>
    <row r="3635" customHeight="1" spans="1:31">
      <c r="A3635" s="2" t="s">
        <v>4036</v>
      </c>
      <c r="B3635" s="2">
        <v>90</v>
      </c>
      <c r="C3635" s="2">
        <v>1310270</v>
      </c>
      <c r="D3635" s="2" t="s">
        <v>6256</v>
      </c>
      <c r="E3635" s="2" t="s">
        <v>12</v>
      </c>
      <c r="N3635" s="2" t="s">
        <v>18</v>
      </c>
      <c r="O3635" s="2" t="s">
        <v>19</v>
      </c>
      <c r="P3635" s="2">
        <v>780000</v>
      </c>
      <c r="Q3635" s="2">
        <v>6.8</v>
      </c>
      <c r="R3635" s="2" t="s">
        <v>6257</v>
      </c>
      <c r="S3635" s="2"/>
      <c r="AC3635" s="2"/>
      <c r="AD3635" t="str">
        <f>IFERROR(__xludf.DUMMYFUNCTION("""COMPUTED_VALUE"""),"Killing Zoe ")</f>
        <v>Killing Zoe </v>
      </c>
      <c r="AE3635">
        <f t="shared" si="85"/>
        <v>3447235</v>
      </c>
    </row>
    <row r="3636" customHeight="1" spans="1:31">
      <c r="A3636" s="2" t="s">
        <v>528</v>
      </c>
      <c r="B3636" s="2">
        <v>112</v>
      </c>
      <c r="C3636" s="2">
        <v>115000000</v>
      </c>
      <c r="D3636" s="2" t="s">
        <v>3722</v>
      </c>
      <c r="E3636" s="2" t="s">
        <v>40</v>
      </c>
      <c r="N3636" s="2" t="s">
        <v>18</v>
      </c>
      <c r="O3636" s="2" t="s">
        <v>19</v>
      </c>
      <c r="P3636" s="2">
        <v>777000</v>
      </c>
      <c r="Q3636" s="2">
        <v>7.5</v>
      </c>
      <c r="R3636" s="2" t="s">
        <v>6258</v>
      </c>
      <c r="S3636" s="2"/>
      <c r="AC3636" s="2"/>
      <c r="AD3636" t="str">
        <f>IFERROR(__xludf.DUMMYFUNCTION("""COMPUTED_VALUE"""),"The Believer ")</f>
        <v>The Believer </v>
      </c>
      <c r="AE3636">
        <f t="shared" si="85"/>
        <v>418854</v>
      </c>
    </row>
    <row r="3637" customHeight="1" spans="1:31">
      <c r="A3637" s="2" t="s">
        <v>4038</v>
      </c>
      <c r="B3637" s="2">
        <v>86</v>
      </c>
      <c r="C3637" s="2">
        <v>5518918</v>
      </c>
      <c r="D3637" s="2" t="s">
        <v>6259</v>
      </c>
      <c r="E3637" s="2" t="s">
        <v>12</v>
      </c>
      <c r="N3637" s="2" t="s">
        <v>18</v>
      </c>
      <c r="O3637" s="2" t="s">
        <v>19</v>
      </c>
      <c r="P3637" s="2">
        <v>750000</v>
      </c>
      <c r="Q3637" s="2">
        <v>6.9</v>
      </c>
      <c r="R3637" s="2" t="s">
        <v>6260</v>
      </c>
      <c r="S3637" s="2"/>
      <c r="AC3637" s="2"/>
      <c r="AD3637" t="str">
        <f>IFERROR(__xludf.DUMMYFUNCTION("""COMPUTED_VALUE"""),"Session 9 ")</f>
        <v>Session 9 </v>
      </c>
      <c r="AE3637">
        <f t="shared" si="85"/>
        <v>405937</v>
      </c>
    </row>
    <row r="3638" customHeight="1" spans="1:31">
      <c r="A3638" s="2" t="s">
        <v>110</v>
      </c>
      <c r="B3638" s="2">
        <v>86</v>
      </c>
      <c r="C3638" s="2">
        <v>4007792</v>
      </c>
      <c r="D3638" s="2" t="s">
        <v>521</v>
      </c>
      <c r="E3638" s="2" t="s">
        <v>40</v>
      </c>
      <c r="N3638" s="2" t="s">
        <v>18</v>
      </c>
      <c r="O3638" s="2" t="s">
        <v>19</v>
      </c>
      <c r="P3638" s="2">
        <v>750000</v>
      </c>
      <c r="Q3638" s="2">
        <v>7</v>
      </c>
      <c r="R3638" s="2" t="s">
        <v>6261</v>
      </c>
      <c r="S3638" s="2"/>
      <c r="AC3638" s="2"/>
      <c r="AD3638" t="str">
        <f>IFERROR(__xludf.DUMMYFUNCTION("""COMPUTED_VALUE"""),"I Want Someone to Eat Cheese With ")</f>
        <v>I Want Someone to Eat Cheese With </v>
      </c>
      <c r="AE3638">
        <f t="shared" si="85"/>
        <v>373867</v>
      </c>
    </row>
    <row r="3639" customHeight="1" spans="1:31">
      <c r="A3639" s="2" t="s">
        <v>4040</v>
      </c>
      <c r="B3639" s="2">
        <v>95</v>
      </c>
      <c r="C3639" s="2">
        <v>26297</v>
      </c>
      <c r="D3639" s="2" t="s">
        <v>2833</v>
      </c>
      <c r="E3639" s="2" t="s">
        <v>56</v>
      </c>
      <c r="N3639" s="2" t="s">
        <v>18</v>
      </c>
      <c r="O3639" s="2" t="s">
        <v>31</v>
      </c>
      <c r="P3639" s="2">
        <v>500000</v>
      </c>
      <c r="Q3639" s="2">
        <v>6.3</v>
      </c>
      <c r="R3639" s="2" t="s">
        <v>6262</v>
      </c>
      <c r="S3639" s="2"/>
      <c r="AC3639" s="2"/>
      <c r="AD3639" t="str">
        <f>IFERROR(__xludf.DUMMYFUNCTION("""COMPUTED_VALUE"""),"Modern Times ")</f>
        <v>Modern Times </v>
      </c>
      <c r="AE3639">
        <f t="shared" ref="AE3639:AE3702" si="86">C3523-B3523</f>
        <v>194488</v>
      </c>
    </row>
    <row r="3640" customHeight="1" spans="1:31">
      <c r="A3640" s="2" t="s">
        <v>4005</v>
      </c>
      <c r="B3640" s="2">
        <v>101</v>
      </c>
      <c r="C3640" s="2">
        <v>77501</v>
      </c>
      <c r="D3640" s="2" t="s">
        <v>72</v>
      </c>
      <c r="E3640" s="2" t="s">
        <v>72</v>
      </c>
      <c r="N3640" s="2" t="s">
        <v>18</v>
      </c>
      <c r="O3640" s="2" t="s">
        <v>19</v>
      </c>
      <c r="P3640" s="2">
        <v>750000</v>
      </c>
      <c r="Q3640" s="2">
        <v>5.5</v>
      </c>
      <c r="R3640" s="2" t="s">
        <v>6263</v>
      </c>
      <c r="S3640" s="2"/>
      <c r="AC3640" s="2"/>
      <c r="AD3640" t="str">
        <f>IFERROR(__xludf.DUMMYFUNCTION("""COMPUTED_VALUE"""),"Stolen Summer ")</f>
        <v>Stolen Summer </v>
      </c>
      <c r="AE3640">
        <f t="shared" si="86"/>
        <v>163158</v>
      </c>
    </row>
    <row r="3641" customHeight="1" spans="1:31">
      <c r="A3641" s="2" t="s">
        <v>763</v>
      </c>
      <c r="B3641" s="2">
        <v>88</v>
      </c>
      <c r="C3641" s="2">
        <v>47329</v>
      </c>
      <c r="D3641" s="2" t="s">
        <v>30</v>
      </c>
      <c r="E3641" s="2" t="s">
        <v>30</v>
      </c>
      <c r="N3641" s="2" t="s">
        <v>18</v>
      </c>
      <c r="O3641" s="2" t="s">
        <v>19</v>
      </c>
      <c r="P3641" s="2">
        <v>750000</v>
      </c>
      <c r="Q3641" s="2">
        <v>6.6</v>
      </c>
      <c r="R3641" s="2" t="s">
        <v>6264</v>
      </c>
      <c r="S3641" s="2"/>
      <c r="AC3641" s="2"/>
      <c r="AD3641" t="str">
        <f>IFERROR(__xludf.DUMMYFUNCTION("""COMPUTED_VALUE"""),"My Name Is Bruce ")</f>
        <v>My Name Is Bruce </v>
      </c>
      <c r="AE3641">
        <f t="shared" si="86"/>
        <v>119750</v>
      </c>
    </row>
    <row r="3642" customHeight="1" spans="1:31">
      <c r="A3642" s="2" t="s">
        <v>4043</v>
      </c>
      <c r="B3642" s="2">
        <v>99</v>
      </c>
      <c r="C3642" s="2">
        <v>18378</v>
      </c>
      <c r="D3642" s="2" t="s">
        <v>2768</v>
      </c>
      <c r="E3642" s="2" t="s">
        <v>56</v>
      </c>
      <c r="N3642" s="2" t="s">
        <v>18</v>
      </c>
      <c r="O3642" s="2" t="s">
        <v>31</v>
      </c>
      <c r="P3642" s="2">
        <v>900000</v>
      </c>
      <c r="Q3642" s="2">
        <v>5.2</v>
      </c>
      <c r="R3642" s="2" t="s">
        <v>6265</v>
      </c>
      <c r="S3642" s="2"/>
      <c r="AC3642" s="2"/>
      <c r="AD3642" t="str">
        <f>IFERROR(__xludf.DUMMYFUNCTION("""COMPUTED_VALUE"""),"The Salon ")</f>
        <v>The Salon </v>
      </c>
      <c r="AE3642">
        <f t="shared" si="86"/>
        <v>172982</v>
      </c>
    </row>
    <row r="3643" customHeight="1" spans="1:31">
      <c r="A3643" s="2" t="s">
        <v>3186</v>
      </c>
      <c r="B3643" s="2">
        <v>170</v>
      </c>
      <c r="C3643" s="2">
        <v>7830611</v>
      </c>
      <c r="D3643" s="2" t="s">
        <v>6266</v>
      </c>
      <c r="E3643" s="2" t="s">
        <v>65</v>
      </c>
      <c r="N3643" s="2" t="s">
        <v>18</v>
      </c>
      <c r="O3643" s="2" t="s">
        <v>19</v>
      </c>
      <c r="P3643" s="2">
        <v>700000</v>
      </c>
      <c r="Q3643" s="2">
        <v>8.3</v>
      </c>
      <c r="R3643" s="2" t="s">
        <v>6267</v>
      </c>
      <c r="S3643" s="2"/>
      <c r="AC3643" s="2"/>
      <c r="AD3643" t="str">
        <f>IFERROR(__xludf.DUMMYFUNCTION("""COMPUTED_VALUE"""),"Road Hard ")</f>
        <v>Road Hard </v>
      </c>
      <c r="AE3643">
        <f t="shared" si="86"/>
        <v>92272</v>
      </c>
    </row>
    <row r="3644" customHeight="1" spans="1:31">
      <c r="A3644" s="2" t="s">
        <v>3488</v>
      </c>
      <c r="B3644" s="2">
        <v>97</v>
      </c>
      <c r="C3644" s="2">
        <v>1141829</v>
      </c>
      <c r="D3644" s="2" t="s">
        <v>718</v>
      </c>
      <c r="E3644" s="2" t="s">
        <v>56</v>
      </c>
      <c r="N3644" s="2" t="s">
        <v>18</v>
      </c>
      <c r="O3644" s="2" t="s">
        <v>19</v>
      </c>
      <c r="P3644" s="2">
        <v>700000</v>
      </c>
      <c r="Q3644" s="2">
        <v>7.2</v>
      </c>
      <c r="R3644" s="2" t="s">
        <v>6268</v>
      </c>
      <c r="S3644" s="2"/>
      <c r="AC3644" s="2"/>
      <c r="AD3644" t="str">
        <f>IFERROR(__xludf.DUMMYFUNCTION("""COMPUTED_VALUE"""),"Amigo ")</f>
        <v>Amigo </v>
      </c>
      <c r="AE3644">
        <f t="shared" si="86"/>
        <v>105845</v>
      </c>
    </row>
    <row r="3645" customHeight="1" spans="1:31">
      <c r="A3645" s="2" t="s">
        <v>4045</v>
      </c>
      <c r="B3645" s="2">
        <v>106</v>
      </c>
      <c r="C3645" s="2">
        <v>2694973</v>
      </c>
      <c r="D3645" s="2" t="s">
        <v>30</v>
      </c>
      <c r="E3645" s="2" t="s">
        <v>30</v>
      </c>
      <c r="N3645" s="2" t="s">
        <v>18</v>
      </c>
      <c r="O3645" s="2" t="s">
        <v>19</v>
      </c>
      <c r="P3645" s="2">
        <v>700000</v>
      </c>
      <c r="Q3645" s="2">
        <v>7.2</v>
      </c>
      <c r="R3645" s="2" t="s">
        <v>6269</v>
      </c>
      <c r="S3645" s="2"/>
      <c r="AC3645" s="2"/>
      <c r="AD3645" t="str">
        <f>IFERROR(__xludf.DUMMYFUNCTION("""COMPUTED_VALUE"""),"Pontypool ")</f>
        <v>Pontypool </v>
      </c>
      <c r="AE3645">
        <f t="shared" si="86"/>
        <v>183366</v>
      </c>
    </row>
    <row r="3646" customHeight="1" spans="1:31">
      <c r="A3646" s="2" t="s">
        <v>4047</v>
      </c>
      <c r="B3646" s="2">
        <v>107</v>
      </c>
      <c r="C3646" s="2">
        <v>10508</v>
      </c>
      <c r="D3646" s="2" t="s">
        <v>30</v>
      </c>
      <c r="E3646" s="2" t="s">
        <v>30</v>
      </c>
      <c r="N3646" s="2" t="s">
        <v>18</v>
      </c>
      <c r="O3646" s="2" t="s">
        <v>19</v>
      </c>
      <c r="P3646" s="2">
        <v>700000</v>
      </c>
      <c r="Q3646" s="2">
        <v>6.5</v>
      </c>
      <c r="R3646" s="2" t="s">
        <v>6270</v>
      </c>
      <c r="S3646" s="2"/>
      <c r="AC3646" s="2"/>
      <c r="AD3646" t="str">
        <f>IFERROR(__xludf.DUMMYFUNCTION("""COMPUTED_VALUE"""),"Trucker ")</f>
        <v>Trucker </v>
      </c>
      <c r="AE3646">
        <f t="shared" si="86"/>
        <v>3383</v>
      </c>
    </row>
    <row r="3647" customHeight="1" spans="1:31">
      <c r="A3647" s="2" t="s">
        <v>4049</v>
      </c>
      <c r="B3647" s="2">
        <v>84</v>
      </c>
      <c r="C3647" s="2">
        <v>2301777</v>
      </c>
      <c r="D3647" s="2" t="s">
        <v>40</v>
      </c>
      <c r="E3647" s="2" t="s">
        <v>40</v>
      </c>
      <c r="N3647" s="2" t="s">
        <v>18</v>
      </c>
      <c r="O3647" s="2" t="s">
        <v>19</v>
      </c>
      <c r="P3647" s="2">
        <v>650000</v>
      </c>
      <c r="Q3647" s="2">
        <v>6.5</v>
      </c>
      <c r="R3647" s="2" t="s">
        <v>6271</v>
      </c>
      <c r="S3647" s="2"/>
      <c r="AC3647" s="2"/>
      <c r="AD3647" t="str">
        <f>IFERROR(__xludf.DUMMYFUNCTION("""COMPUTED_VALUE"""),"The Lords of Salem ")</f>
        <v>The Lords of Salem </v>
      </c>
      <c r="AE3647">
        <f t="shared" si="86"/>
        <v>52076</v>
      </c>
    </row>
    <row r="3648" customHeight="1" spans="1:31">
      <c r="A3648" s="2" t="s">
        <v>4051</v>
      </c>
      <c r="B3648" s="2">
        <v>81</v>
      </c>
      <c r="C3648" s="2">
        <v>3000000</v>
      </c>
      <c r="D3648" s="2" t="s">
        <v>4512</v>
      </c>
      <c r="E3648" s="2" t="s">
        <v>40</v>
      </c>
      <c r="N3648" s="2" t="s">
        <v>18</v>
      </c>
      <c r="O3648" s="2" t="s">
        <v>19</v>
      </c>
      <c r="P3648" s="2">
        <v>609000</v>
      </c>
      <c r="Q3648" s="2">
        <v>7.8</v>
      </c>
      <c r="R3648" s="2" t="s">
        <v>6272</v>
      </c>
      <c r="S3648" s="2"/>
      <c r="AC3648" s="2"/>
      <c r="AD3648" t="str">
        <f>IFERROR(__xludf.DUMMYFUNCTION("""COMPUTED_VALUE"""),"Snow White and the Seven Dwarfs ")</f>
        <v>Snow White and the Seven Dwarfs </v>
      </c>
      <c r="AE3648">
        <f t="shared" si="86"/>
        <v>1163407</v>
      </c>
    </row>
    <row r="3649" customHeight="1" spans="1:31">
      <c r="A3649" s="2" t="s">
        <v>4053</v>
      </c>
      <c r="B3649" s="2">
        <v>81</v>
      </c>
      <c r="C3649" s="2">
        <v>140530114</v>
      </c>
      <c r="D3649" s="2" t="s">
        <v>72</v>
      </c>
      <c r="E3649" s="2" t="s">
        <v>72</v>
      </c>
      <c r="N3649" s="2" t="s">
        <v>18</v>
      </c>
      <c r="O3649" s="2" t="s">
        <v>19</v>
      </c>
      <c r="P3649" s="2">
        <v>60000</v>
      </c>
      <c r="Q3649" s="2">
        <v>6.4</v>
      </c>
      <c r="R3649" s="2" t="s">
        <v>6273</v>
      </c>
      <c r="S3649" s="2"/>
      <c r="AC3649" s="2"/>
      <c r="AD3649" t="str">
        <f>IFERROR(__xludf.DUMMYFUNCTION("""COMPUTED_VALUE"""),"The Holy Girl ")</f>
        <v>The Holy Girl </v>
      </c>
      <c r="AE3649">
        <f t="shared" si="86"/>
        <v>184925402</v>
      </c>
    </row>
    <row r="3650" customHeight="1" spans="1:31">
      <c r="A3650" s="2" t="s">
        <v>4055</v>
      </c>
      <c r="B3650" s="2">
        <v>215</v>
      </c>
      <c r="C3650" s="2">
        <v>13300000</v>
      </c>
      <c r="D3650" s="2" t="s">
        <v>6274</v>
      </c>
      <c r="E3650" s="2" t="s">
        <v>65</v>
      </c>
      <c r="N3650" s="2" t="s">
        <v>18</v>
      </c>
      <c r="O3650" s="2" t="s">
        <v>19</v>
      </c>
      <c r="P3650" s="2">
        <v>600000</v>
      </c>
      <c r="Q3650" s="2">
        <v>8.1</v>
      </c>
      <c r="R3650" s="2" t="s">
        <v>6275</v>
      </c>
      <c r="S3650" s="2"/>
      <c r="AC3650" s="2"/>
      <c r="AD3650" t="str">
        <f>IFERROR(__xludf.DUMMYFUNCTION("""COMPUTED_VALUE"""),"Incident at Loch Ness ")</f>
        <v>Incident at Loch Ness </v>
      </c>
      <c r="AE3650">
        <f t="shared" si="86"/>
        <v>304018</v>
      </c>
    </row>
    <row r="3651" customHeight="1" spans="1:31">
      <c r="A3651" s="2" t="s">
        <v>3755</v>
      </c>
      <c r="B3651" s="2">
        <v>106</v>
      </c>
      <c r="C3651" s="2">
        <v>171988</v>
      </c>
      <c r="D3651" s="2" t="s">
        <v>5324</v>
      </c>
      <c r="E3651" s="2" t="s">
        <v>12</v>
      </c>
      <c r="N3651" s="2" t="s">
        <v>18</v>
      </c>
      <c r="O3651" s="2" t="s">
        <v>19</v>
      </c>
      <c r="P3651" s="2">
        <v>600000</v>
      </c>
      <c r="Q3651" s="2">
        <v>5.6</v>
      </c>
      <c r="R3651" s="2" t="s">
        <v>6276</v>
      </c>
      <c r="S3651" s="2"/>
      <c r="AC3651" s="2"/>
      <c r="AD3651" t="str">
        <f>IFERROR(__xludf.DUMMYFUNCTION("""COMPUTED_VALUE"""),"Lock, Stock and Two Smoking Barrels ")</f>
        <v>Lock, Stock and Two Smoking Barrels </v>
      </c>
      <c r="AE3651">
        <f t="shared" si="86"/>
        <v>36736</v>
      </c>
    </row>
    <row r="3652" customHeight="1" spans="1:31">
      <c r="A3652" s="2" t="s">
        <v>4057</v>
      </c>
      <c r="B3652" s="2">
        <v>103</v>
      </c>
      <c r="C3652" s="2">
        <v>23616</v>
      </c>
      <c r="D3652" s="2" t="s">
        <v>328</v>
      </c>
      <c r="E3652" s="2" t="s">
        <v>28</v>
      </c>
      <c r="N3652" s="2" t="s">
        <v>18</v>
      </c>
      <c r="O3652" s="2" t="s">
        <v>19</v>
      </c>
      <c r="P3652" s="2">
        <v>600000</v>
      </c>
      <c r="Q3652" s="2">
        <v>5.6</v>
      </c>
      <c r="R3652" s="2" t="s">
        <v>6277</v>
      </c>
      <c r="S3652" s="2"/>
      <c r="AC3652" s="2"/>
      <c r="AD3652" t="str">
        <f>IFERROR(__xludf.DUMMYFUNCTION("""COMPUTED_VALUE"""),"The Celebration ")</f>
        <v>The Celebration </v>
      </c>
      <c r="AE3652">
        <f t="shared" si="86"/>
        <v>3650557</v>
      </c>
    </row>
    <row r="3653" customHeight="1" spans="1:31">
      <c r="A3653" s="2" t="s">
        <v>4059</v>
      </c>
      <c r="B3653" s="2">
        <v>90</v>
      </c>
      <c r="C3653" s="2">
        <v>13493</v>
      </c>
      <c r="D3653" s="2" t="s">
        <v>30</v>
      </c>
      <c r="E3653" s="2" t="s">
        <v>30</v>
      </c>
      <c r="N3653" s="2" t="s">
        <v>18</v>
      </c>
      <c r="O3653" s="2" t="s">
        <v>19</v>
      </c>
      <c r="P3653" s="2">
        <v>600000</v>
      </c>
      <c r="Q3653" s="2">
        <v>6.6</v>
      </c>
      <c r="R3653" s="2" t="s">
        <v>6278</v>
      </c>
      <c r="S3653" s="2"/>
      <c r="AC3653" s="2"/>
      <c r="AD3653" t="str">
        <f>IFERROR(__xludf.DUMMYFUNCTION("""COMPUTED_VALUE"""),"Trees Lounge ")</f>
        <v>Trees Lounge </v>
      </c>
      <c r="AE3653">
        <f t="shared" si="86"/>
        <v>1647675</v>
      </c>
    </row>
    <row r="3654" customHeight="1" spans="1:31">
      <c r="A3654" s="2" t="s">
        <v>1220</v>
      </c>
      <c r="B3654" s="2">
        <v>87</v>
      </c>
      <c r="C3654" s="2">
        <v>515005</v>
      </c>
      <c r="D3654" s="2" t="s">
        <v>2450</v>
      </c>
      <c r="E3654" s="2" t="s">
        <v>40</v>
      </c>
      <c r="N3654" s="2" t="s">
        <v>18</v>
      </c>
      <c r="O3654" s="2" t="s">
        <v>31</v>
      </c>
      <c r="P3654" s="2">
        <v>560000</v>
      </c>
      <c r="Q3654" s="2">
        <v>7.7</v>
      </c>
      <c r="R3654" s="2" t="s">
        <v>6279</v>
      </c>
      <c r="S3654" s="2"/>
      <c r="AC3654" s="2"/>
      <c r="AD3654" t="str">
        <f>IFERROR(__xludf.DUMMYFUNCTION("""COMPUTED_VALUE"""),"Journey from the Fall ")</f>
        <v>Journey from the Fall </v>
      </c>
      <c r="AE3654">
        <f t="shared" si="86"/>
        <v>695134</v>
      </c>
    </row>
    <row r="3655" customHeight="1" spans="1:31">
      <c r="A3655" s="2" t="s">
        <v>4061</v>
      </c>
      <c r="B3655" s="2">
        <v>80</v>
      </c>
      <c r="C3655" s="2">
        <v>2245</v>
      </c>
      <c r="D3655" s="2" t="s">
        <v>65</v>
      </c>
      <c r="E3655" s="2" t="s">
        <v>65</v>
      </c>
      <c r="N3655" s="2" t="s">
        <v>18</v>
      </c>
      <c r="O3655" s="2" t="s">
        <v>19</v>
      </c>
      <c r="P3655" s="2">
        <v>560000</v>
      </c>
      <c r="Q3655" s="2">
        <v>7.2</v>
      </c>
      <c r="R3655" s="2" t="s">
        <v>6280</v>
      </c>
      <c r="S3655" s="2"/>
      <c r="AC3655" s="2"/>
      <c r="AD3655" t="str">
        <f>IFERROR(__xludf.DUMMYFUNCTION("""COMPUTED_VALUE"""),"The Basket ")</f>
        <v>The Basket </v>
      </c>
      <c r="AE3655">
        <f t="shared" si="86"/>
        <v>638816</v>
      </c>
    </row>
    <row r="3656" customHeight="1" spans="1:31">
      <c r="A3656" s="2" t="s">
        <v>3773</v>
      </c>
      <c r="B3656" s="2">
        <v>122</v>
      </c>
      <c r="C3656" s="2">
        <v>33451479</v>
      </c>
      <c r="D3656" s="2" t="s">
        <v>103</v>
      </c>
      <c r="E3656" s="2" t="s">
        <v>30</v>
      </c>
      <c r="N3656" s="2" t="s">
        <v>18</v>
      </c>
      <c r="O3656" s="2" t="s">
        <v>19</v>
      </c>
      <c r="P3656" s="2">
        <v>500000</v>
      </c>
      <c r="Q3656" s="2">
        <v>6.5</v>
      </c>
      <c r="R3656" s="2" t="s">
        <v>6281</v>
      </c>
      <c r="S3656" s="2"/>
      <c r="AC3656" s="2"/>
      <c r="AD3656" t="str">
        <f>IFERROR(__xludf.DUMMYFUNCTION("""COMPUTED_VALUE"""),"Eddie: The Sleepwalking Cannibal ")</f>
        <v>Eddie: The Sleepwalking Cannibal </v>
      </c>
      <c r="AE3656">
        <f t="shared" si="86"/>
        <v>608937</v>
      </c>
    </row>
    <row r="3657" customHeight="1" spans="1:31">
      <c r="A3657" s="2" t="s">
        <v>4063</v>
      </c>
      <c r="B3657" s="2">
        <v>86</v>
      </c>
      <c r="C3657" s="2">
        <v>39552600</v>
      </c>
      <c r="D3657" s="2" t="s">
        <v>6282</v>
      </c>
      <c r="E3657" s="2" t="s">
        <v>13</v>
      </c>
      <c r="N3657" s="2" t="s">
        <v>18</v>
      </c>
      <c r="O3657" s="2" t="s">
        <v>19</v>
      </c>
      <c r="P3657" s="2">
        <v>500000</v>
      </c>
      <c r="Q3657" s="2">
        <v>6.1</v>
      </c>
      <c r="R3657" s="2" t="s">
        <v>6283</v>
      </c>
      <c r="S3657" s="2"/>
      <c r="AC3657" s="2"/>
      <c r="AD3657" t="str">
        <f>IFERROR(__xludf.DUMMYFUNCTION("""COMPUTED_VALUE"""),"The Hebrew Hammer ")</f>
        <v>The Hebrew Hammer </v>
      </c>
      <c r="AE3657">
        <f t="shared" si="86"/>
        <v>1438</v>
      </c>
    </row>
    <row r="3658" customHeight="1" spans="1:31">
      <c r="A3658" s="2" t="s">
        <v>3771</v>
      </c>
      <c r="B3658" s="2">
        <v>79</v>
      </c>
      <c r="C3658" s="2">
        <v>30500882</v>
      </c>
      <c r="D3658" s="2" t="s">
        <v>6284</v>
      </c>
      <c r="E3658" s="2" t="s">
        <v>13</v>
      </c>
      <c r="N3658" s="2" t="s">
        <v>18</v>
      </c>
      <c r="O3658" s="2" t="s">
        <v>19</v>
      </c>
      <c r="P3658" s="2">
        <v>500000</v>
      </c>
      <c r="Q3658" s="2">
        <v>5.7</v>
      </c>
      <c r="R3658" s="2" t="s">
        <v>6285</v>
      </c>
      <c r="S3658" s="2"/>
      <c r="AC3658" s="2"/>
      <c r="AD3658" t="str">
        <f>IFERROR(__xludf.DUMMYFUNCTION("""COMPUTED_VALUE"""),"Neal 'N' Nikki ")</f>
        <v>Neal 'N' Nikki </v>
      </c>
      <c r="AE3658">
        <f t="shared" si="86"/>
        <v>19452</v>
      </c>
    </row>
    <row r="3659" customHeight="1" spans="1:31">
      <c r="A3659" s="2" t="s">
        <v>4065</v>
      </c>
      <c r="B3659" s="2">
        <v>97</v>
      </c>
      <c r="C3659" s="2">
        <v>17000000</v>
      </c>
      <c r="D3659" s="2" t="s">
        <v>4273</v>
      </c>
      <c r="E3659" s="2" t="s">
        <v>72</v>
      </c>
      <c r="N3659" s="2" t="s">
        <v>18</v>
      </c>
      <c r="O3659" s="2" t="s">
        <v>19</v>
      </c>
      <c r="P3659" s="2">
        <v>500000</v>
      </c>
      <c r="Q3659" s="2">
        <v>5.9</v>
      </c>
      <c r="R3659" s="2" t="s">
        <v>6286</v>
      </c>
      <c r="S3659" s="2"/>
      <c r="AC3659" s="2"/>
      <c r="AD3659" t="str">
        <f>IFERROR(__xludf.DUMMYFUNCTION("""COMPUTED_VALUE"""),"Friday the 13th Part 2 ")</f>
        <v>Friday the 13th Part 2 </v>
      </c>
      <c r="AE3659">
        <f t="shared" si="86"/>
        <v>100261</v>
      </c>
    </row>
    <row r="3660" customHeight="1" spans="1:31">
      <c r="A3660" s="2" t="s">
        <v>2229</v>
      </c>
      <c r="B3660" s="2">
        <v>89</v>
      </c>
      <c r="C3660" s="2">
        <v>5739376</v>
      </c>
      <c r="D3660" s="2" t="s">
        <v>975</v>
      </c>
      <c r="E3660" s="2" t="s">
        <v>40</v>
      </c>
      <c r="N3660" s="2" t="s">
        <v>18</v>
      </c>
      <c r="O3660" s="2" t="s">
        <v>19</v>
      </c>
      <c r="P3660" s="2">
        <v>500000</v>
      </c>
      <c r="Q3660" s="2">
        <v>7.7</v>
      </c>
      <c r="R3660" s="2" t="s">
        <v>6287</v>
      </c>
      <c r="S3660" s="2"/>
      <c r="AC3660" s="2"/>
      <c r="AD3660" t="str">
        <f>IFERROR(__xludf.DUMMYFUNCTION("""COMPUTED_VALUE"""),"Filly Brown ")</f>
        <v>Filly Brown </v>
      </c>
      <c r="AE3660">
        <f t="shared" si="86"/>
        <v>19099913</v>
      </c>
    </row>
    <row r="3661" customHeight="1" spans="1:31">
      <c r="A3661" s="2" t="s">
        <v>4068</v>
      </c>
      <c r="B3661" s="2">
        <v>120</v>
      </c>
      <c r="C3661" s="2">
        <v>3773863</v>
      </c>
      <c r="D3661" s="2" t="s">
        <v>30</v>
      </c>
      <c r="E3661" s="2" t="s">
        <v>30</v>
      </c>
      <c r="N3661" s="2" t="s">
        <v>18</v>
      </c>
      <c r="O3661" s="2" t="s">
        <v>19</v>
      </c>
      <c r="P3661" s="2">
        <v>1000000</v>
      </c>
      <c r="Q3661" s="2">
        <v>7.1</v>
      </c>
      <c r="R3661" s="2" t="s">
        <v>6288</v>
      </c>
      <c r="S3661" s="2"/>
      <c r="AC3661" s="2"/>
      <c r="AD3661" t="str">
        <f>IFERROR(__xludf.DUMMYFUNCTION("""COMPUTED_VALUE"""),"Sex, Lies, and Videotape ")</f>
        <v>Sex, Lies, and Videotape </v>
      </c>
      <c r="AE3661">
        <f t="shared" si="86"/>
        <v>2833303</v>
      </c>
    </row>
    <row r="3662" customHeight="1" spans="1:31">
      <c r="A3662" s="2" t="s">
        <v>4070</v>
      </c>
      <c r="B3662" s="2">
        <v>108</v>
      </c>
      <c r="C3662" s="2">
        <v>2047570</v>
      </c>
      <c r="D3662" s="2" t="s">
        <v>6289</v>
      </c>
      <c r="E3662" s="2" t="s">
        <v>59</v>
      </c>
      <c r="N3662" s="2" t="s">
        <v>18</v>
      </c>
      <c r="O3662" s="2" t="s">
        <v>19</v>
      </c>
      <c r="P3662" s="2">
        <v>500000</v>
      </c>
      <c r="Q3662" s="2">
        <v>7.6</v>
      </c>
      <c r="R3662" s="2" t="s">
        <v>6290</v>
      </c>
      <c r="S3662" s="2"/>
      <c r="AC3662" s="2"/>
      <c r="AD3662" t="str">
        <f>IFERROR(__xludf.DUMMYFUNCTION("""COMPUTED_VALUE"""),"Saw ")</f>
        <v>Saw </v>
      </c>
      <c r="AE3662">
        <f t="shared" si="86"/>
        <v>24741600</v>
      </c>
    </row>
    <row r="3663" customHeight="1" spans="1:31">
      <c r="A3663" s="2" t="s">
        <v>4073</v>
      </c>
      <c r="B3663" s="2">
        <v>102</v>
      </c>
      <c r="C3663" s="2">
        <v>1250798</v>
      </c>
      <c r="D3663" s="2" t="s">
        <v>521</v>
      </c>
      <c r="E3663" s="2" t="s">
        <v>40</v>
      </c>
      <c r="N3663" s="2" t="s">
        <v>18</v>
      </c>
      <c r="O3663" s="2" t="s">
        <v>19</v>
      </c>
      <c r="P3663" s="2">
        <v>500000</v>
      </c>
      <c r="Q3663" s="2">
        <v>6.4</v>
      </c>
      <c r="R3663" s="2" t="s">
        <v>6291</v>
      </c>
      <c r="S3663" s="2"/>
      <c r="AC3663" s="2"/>
      <c r="AD3663" t="str">
        <f>IFERROR(__xludf.DUMMYFUNCTION("""COMPUTED_VALUE"""),"Super Troopers ")</f>
        <v>Super Troopers </v>
      </c>
      <c r="AE3663">
        <f t="shared" si="86"/>
        <v>55153300</v>
      </c>
    </row>
    <row r="3664" customHeight="1" spans="1:31">
      <c r="A3664" s="2" t="s">
        <v>4076</v>
      </c>
      <c r="B3664" s="2">
        <v>83</v>
      </c>
      <c r="C3664" s="2">
        <v>1127331</v>
      </c>
      <c r="D3664" s="2" t="s">
        <v>30</v>
      </c>
      <c r="E3664" s="2" t="s">
        <v>30</v>
      </c>
      <c r="N3664" s="2" t="s">
        <v>4478</v>
      </c>
      <c r="O3664" s="2" t="s">
        <v>6292</v>
      </c>
      <c r="P3664" s="2">
        <v>46000</v>
      </c>
      <c r="Q3664" s="2">
        <v>7.4</v>
      </c>
      <c r="R3664" s="2" t="s">
        <v>6293</v>
      </c>
      <c r="S3664" s="2"/>
      <c r="AC3664" s="2"/>
      <c r="AD3664" t="str">
        <f>IFERROR(__xludf.DUMMYFUNCTION("""COMPUTED_VALUE"""),"The Amazing Catfish ")</f>
        <v>The Amazing Catfish </v>
      </c>
      <c r="AE3664">
        <f t="shared" si="86"/>
        <v>18488214</v>
      </c>
    </row>
    <row r="3665" customHeight="1" spans="1:31">
      <c r="A3665" s="2" t="s">
        <v>4078</v>
      </c>
      <c r="B3665" s="2">
        <v>93</v>
      </c>
      <c r="C3665" s="2">
        <v>906666</v>
      </c>
      <c r="D3665" s="2" t="s">
        <v>65</v>
      </c>
      <c r="E3665" s="2" t="s">
        <v>65</v>
      </c>
      <c r="N3665" s="2" t="s">
        <v>18</v>
      </c>
      <c r="O3665" s="2" t="s">
        <v>19</v>
      </c>
      <c r="P3665" s="2">
        <v>500000</v>
      </c>
      <c r="Q3665" s="2">
        <v>6.8</v>
      </c>
      <c r="R3665" s="2" t="s">
        <v>6294</v>
      </c>
      <c r="S3665" s="2"/>
      <c r="AC3665" s="2"/>
      <c r="AD3665" t="str">
        <f>IFERROR(__xludf.DUMMYFUNCTION("""COMPUTED_VALUE"""),"Monsoon Wedding ")</f>
        <v>Monsoon Wedding </v>
      </c>
      <c r="AE3665">
        <f t="shared" si="86"/>
        <v>11189</v>
      </c>
    </row>
    <row r="3666" customHeight="1" spans="1:31">
      <c r="A3666" s="2" t="s">
        <v>4081</v>
      </c>
      <c r="B3666" s="2">
        <v>86</v>
      </c>
      <c r="C3666" s="2">
        <v>1114943</v>
      </c>
      <c r="D3666" s="2" t="s">
        <v>2565</v>
      </c>
      <c r="E3666" s="2" t="s">
        <v>30</v>
      </c>
      <c r="N3666" s="2" t="s">
        <v>18</v>
      </c>
      <c r="O3666" s="2" t="s">
        <v>19</v>
      </c>
      <c r="P3666" s="2">
        <v>500000</v>
      </c>
      <c r="Q3666" s="2">
        <v>6.5</v>
      </c>
      <c r="R3666" s="2" t="s">
        <v>6295</v>
      </c>
      <c r="S3666" s="2"/>
      <c r="AC3666" s="2"/>
      <c r="AD3666" t="str">
        <f>IFERROR(__xludf.DUMMYFUNCTION("""COMPUTED_VALUE"""),"You Can Count on Me ")</f>
        <v>You Can Count on Me </v>
      </c>
      <c r="AE3666">
        <f t="shared" si="86"/>
        <v>13876860</v>
      </c>
    </row>
    <row r="3667" customHeight="1" spans="1:31">
      <c r="A3667" s="2" t="s">
        <v>4073</v>
      </c>
      <c r="B3667" s="2">
        <v>101</v>
      </c>
      <c r="C3667" s="2">
        <v>1111615</v>
      </c>
      <c r="D3667" s="2" t="s">
        <v>5136</v>
      </c>
      <c r="E3667" s="2" t="s">
        <v>40</v>
      </c>
      <c r="N3667" s="2" t="s">
        <v>18</v>
      </c>
      <c r="O3667" s="2" t="s">
        <v>19</v>
      </c>
      <c r="P3667" s="2">
        <v>500000</v>
      </c>
      <c r="Q3667" s="2">
        <v>6</v>
      </c>
      <c r="R3667" s="2" t="s">
        <v>6296</v>
      </c>
      <c r="S3667" s="2"/>
      <c r="AC3667" s="2"/>
      <c r="AD3667" t="str">
        <f>IFERROR(__xludf.DUMMYFUNCTION("""COMPUTED_VALUE"""),"But I'm a Cheerleader ")</f>
        <v>But I'm a Cheerleader </v>
      </c>
      <c r="AE3667">
        <f t="shared" si="86"/>
        <v>9180164</v>
      </c>
    </row>
    <row r="3668" customHeight="1" spans="1:31">
      <c r="A3668" s="2" t="s">
        <v>2760</v>
      </c>
      <c r="B3668" s="2">
        <v>111</v>
      </c>
      <c r="C3668" s="2">
        <v>985341</v>
      </c>
      <c r="D3668" s="2" t="s">
        <v>30</v>
      </c>
      <c r="E3668" s="2" t="s">
        <v>30</v>
      </c>
      <c r="N3668" s="2" t="s">
        <v>18</v>
      </c>
      <c r="O3668" s="2" t="s">
        <v>19</v>
      </c>
      <c r="P3668" s="2">
        <v>500000</v>
      </c>
      <c r="Q3668" s="2">
        <v>7.3</v>
      </c>
      <c r="R3668" s="2" t="s">
        <v>6297</v>
      </c>
      <c r="S3668" s="2"/>
      <c r="AC3668" s="2"/>
      <c r="AD3668" t="str">
        <f>IFERROR(__xludf.DUMMYFUNCTION("""COMPUTED_VALUE"""),"Home Run ")</f>
        <v>Home Run </v>
      </c>
      <c r="AE3668">
        <f t="shared" si="86"/>
        <v>2199768</v>
      </c>
    </row>
    <row r="3669" customHeight="1" spans="1:31">
      <c r="A3669" s="2" t="s">
        <v>4083</v>
      </c>
      <c r="B3669" s="2">
        <v>90</v>
      </c>
      <c r="C3669" s="2">
        <v>603943</v>
      </c>
      <c r="D3669" s="2" t="s">
        <v>718</v>
      </c>
      <c r="E3669" s="2" t="s">
        <v>56</v>
      </c>
      <c r="N3669" s="2" t="s">
        <v>18</v>
      </c>
      <c r="O3669" s="2" t="s">
        <v>19</v>
      </c>
      <c r="P3669" s="2">
        <v>500000</v>
      </c>
      <c r="Q3669" s="2">
        <v>7.3</v>
      </c>
      <c r="R3669" s="2" t="s">
        <v>6298</v>
      </c>
      <c r="S3669" s="2"/>
      <c r="AC3669" s="2"/>
      <c r="AD3669" t="str">
        <f>IFERROR(__xludf.DUMMYFUNCTION("""COMPUTED_VALUE"""),"Reservoir Dogs ")</f>
        <v>Reservoir Dogs </v>
      </c>
      <c r="AE3669">
        <f t="shared" si="86"/>
        <v>2859842</v>
      </c>
    </row>
    <row r="3670" customHeight="1" spans="1:31">
      <c r="A3670" s="2" t="s">
        <v>3499</v>
      </c>
      <c r="B3670" s="2">
        <v>86</v>
      </c>
      <c r="C3670" s="2">
        <v>334041</v>
      </c>
      <c r="D3670" s="2" t="s">
        <v>5167</v>
      </c>
      <c r="E3670" s="2" t="s">
        <v>56</v>
      </c>
      <c r="N3670" s="2" t="s">
        <v>18</v>
      </c>
      <c r="O3670" s="2" t="s">
        <v>19</v>
      </c>
      <c r="P3670" s="2">
        <v>500000</v>
      </c>
      <c r="Q3670" s="2">
        <v>6.5</v>
      </c>
      <c r="R3670" s="2" t="s">
        <v>6299</v>
      </c>
      <c r="S3670" s="2"/>
      <c r="AC3670" s="2"/>
      <c r="AD3670" t="str">
        <f>IFERROR(__xludf.DUMMYFUNCTION("""COMPUTED_VALUE"""),"The Good, the Bad and the Ugly ")</f>
        <v>The Good, the Bad and the Ugly </v>
      </c>
      <c r="AE3670">
        <f t="shared" si="86"/>
        <v>2811930</v>
      </c>
    </row>
    <row r="3671" customHeight="1" spans="1:31">
      <c r="A3671" s="2" t="s">
        <v>4085</v>
      </c>
      <c r="B3671" s="2">
        <v>98</v>
      </c>
      <c r="C3671" s="2">
        <v>295468</v>
      </c>
      <c r="D3671" s="2" t="s">
        <v>607</v>
      </c>
      <c r="E3671" s="2" t="s">
        <v>40</v>
      </c>
      <c r="N3671" s="2" t="s">
        <v>18</v>
      </c>
      <c r="O3671" s="2" t="s">
        <v>19</v>
      </c>
      <c r="P3671" s="2">
        <v>500000</v>
      </c>
      <c r="Q3671" s="2">
        <v>6</v>
      </c>
      <c r="R3671" s="2" t="s">
        <v>6300</v>
      </c>
      <c r="S3671" s="2"/>
      <c r="AC3671" s="2"/>
      <c r="AD3671" t="str">
        <f>IFERROR(__xludf.DUMMYFUNCTION("""COMPUTED_VALUE"""),"The Second Mother ")</f>
        <v>The Second Mother </v>
      </c>
      <c r="AE3671">
        <f t="shared" si="86"/>
        <v>6099858</v>
      </c>
    </row>
    <row r="3672" customHeight="1" spans="1:31">
      <c r="A3672" s="2" t="s">
        <v>4087</v>
      </c>
      <c r="B3672" s="2">
        <v>91</v>
      </c>
      <c r="C3672" s="2">
        <v>243347</v>
      </c>
      <c r="D3672" s="2" t="s">
        <v>805</v>
      </c>
      <c r="E3672" s="2" t="s">
        <v>56</v>
      </c>
      <c r="N3672" s="2" t="s">
        <v>18</v>
      </c>
      <c r="O3672" s="2" t="s">
        <v>19</v>
      </c>
      <c r="P3672" s="2">
        <v>500000</v>
      </c>
      <c r="Q3672" s="2">
        <v>5.3</v>
      </c>
      <c r="R3672" s="2" t="s">
        <v>6301</v>
      </c>
      <c r="S3672" s="2"/>
      <c r="AC3672" s="2"/>
      <c r="AD3672" t="str">
        <f>IFERROR(__xludf.DUMMYFUNCTION("""COMPUTED_VALUE"""),"Blue Like Jazz ")</f>
        <v>Blue Like Jazz </v>
      </c>
      <c r="AE3672">
        <f t="shared" si="86"/>
        <v>375611</v>
      </c>
    </row>
    <row r="3673" customHeight="1" spans="1:31">
      <c r="A3673" s="2" t="s">
        <v>3897</v>
      </c>
      <c r="B3673" s="2">
        <v>91</v>
      </c>
      <c r="C3673" s="2">
        <v>154077</v>
      </c>
      <c r="D3673" s="2" t="s">
        <v>975</v>
      </c>
      <c r="E3673" s="2" t="s">
        <v>40</v>
      </c>
      <c r="N3673" s="2" t="s">
        <v>18</v>
      </c>
      <c r="O3673" s="2" t="s">
        <v>19</v>
      </c>
      <c r="P3673" s="2">
        <v>500000</v>
      </c>
      <c r="Q3673" s="2">
        <v>6.6</v>
      </c>
      <c r="R3673" s="2" t="s">
        <v>6302</v>
      </c>
      <c r="S3673" s="2"/>
      <c r="AC3673" s="2"/>
      <c r="AD3673" t="str">
        <f>IFERROR(__xludf.DUMMYFUNCTION("""COMPUTED_VALUE"""),"Down and Out with the Dolls ")</f>
        <v>Down and Out with the Dolls </v>
      </c>
      <c r="AE3673">
        <f t="shared" si="86"/>
        <v>594796</v>
      </c>
    </row>
    <row r="3674" customHeight="1" spans="1:31">
      <c r="A3674" s="2" t="s">
        <v>4089</v>
      </c>
      <c r="B3674" s="2">
        <v>88</v>
      </c>
      <c r="C3674" s="2">
        <v>151389</v>
      </c>
      <c r="D3674" s="2" t="s">
        <v>65</v>
      </c>
      <c r="E3674" s="2" t="s">
        <v>65</v>
      </c>
      <c r="N3674" s="2" t="s">
        <v>18</v>
      </c>
      <c r="O3674" s="2" t="s">
        <v>19</v>
      </c>
      <c r="P3674" s="2">
        <v>500000</v>
      </c>
      <c r="Q3674" s="2">
        <v>7.1</v>
      </c>
      <c r="R3674" s="2" t="s">
        <v>6303</v>
      </c>
      <c r="S3674" s="2"/>
      <c r="AC3674" s="2"/>
      <c r="AD3674" t="str">
        <f>IFERROR(__xludf.DUMMYFUNCTION("""COMPUTED_VALUE"""),"Pink Ribbons, Inc. ")</f>
        <v>Pink Ribbons, Inc. </v>
      </c>
      <c r="AE3674">
        <f t="shared" si="86"/>
        <v>58848</v>
      </c>
    </row>
    <row r="3675" customHeight="1" spans="1:31">
      <c r="A3675" s="2" t="s">
        <v>2905</v>
      </c>
      <c r="B3675" s="2">
        <v>202</v>
      </c>
      <c r="C3675" s="2">
        <v>269061</v>
      </c>
      <c r="D3675" s="2" t="s">
        <v>388</v>
      </c>
      <c r="E3675" s="2" t="s">
        <v>12</v>
      </c>
      <c r="N3675" s="2" t="s">
        <v>3256</v>
      </c>
      <c r="O3675" s="2" t="s">
        <v>1160</v>
      </c>
      <c r="P3675" s="2">
        <v>2000000</v>
      </c>
      <c r="Q3675" s="2">
        <v>8.7</v>
      </c>
      <c r="R3675" s="2" t="s">
        <v>6304</v>
      </c>
      <c r="S3675" s="2"/>
      <c r="AC3675" s="2"/>
      <c r="AD3675" t="str">
        <f>IFERROR(__xludf.DUMMYFUNCTION("""COMPUTED_VALUE"""),"Certifiably Jonathan ")</f>
        <v>Certifiably Jonathan </v>
      </c>
      <c r="AE3675">
        <f t="shared" si="86"/>
        <v>24687</v>
      </c>
    </row>
    <row r="3676" customHeight="1" spans="1:31">
      <c r="A3676" s="2" t="s">
        <v>4092</v>
      </c>
      <c r="B3676" s="2">
        <v>89</v>
      </c>
      <c r="C3676" s="2">
        <v>133778</v>
      </c>
      <c r="D3676" s="2" t="s">
        <v>6218</v>
      </c>
      <c r="E3676" s="2" t="s">
        <v>65</v>
      </c>
      <c r="N3676" s="2" t="s">
        <v>18</v>
      </c>
      <c r="O3676" s="2" t="s">
        <v>19</v>
      </c>
      <c r="P3676" s="2">
        <v>500000</v>
      </c>
      <c r="Q3676" s="2">
        <v>8.4</v>
      </c>
      <c r="R3676" s="2" t="s">
        <v>6305</v>
      </c>
      <c r="S3676" s="2"/>
      <c r="AC3676" s="2"/>
      <c r="AD3676" t="str">
        <f>IFERROR(__xludf.DUMMYFUNCTION("""COMPUTED_VALUE"""),"The Knife of Don Juan ")</f>
        <v>The Knife of Don Juan </v>
      </c>
      <c r="AE3676">
        <f t="shared" si="86"/>
        <v>7741</v>
      </c>
    </row>
    <row r="3677" customHeight="1" spans="1:31">
      <c r="A3677" s="2" t="s">
        <v>170</v>
      </c>
      <c r="B3677" s="2">
        <v>84</v>
      </c>
      <c r="C3677" s="2">
        <v>52850</v>
      </c>
      <c r="D3677" s="2" t="s">
        <v>40</v>
      </c>
      <c r="E3677" s="2" t="s">
        <v>40</v>
      </c>
      <c r="N3677" s="2" t="s">
        <v>18</v>
      </c>
      <c r="O3677" s="2" t="s">
        <v>19</v>
      </c>
      <c r="P3677" s="2">
        <v>500000</v>
      </c>
      <c r="Q3677" s="2">
        <v>6.2</v>
      </c>
      <c r="R3677" s="2" t="s">
        <v>6306</v>
      </c>
      <c r="S3677" s="2"/>
      <c r="AC3677" s="2"/>
      <c r="AD3677" t="str">
        <f>IFERROR(__xludf.DUMMYFUNCTION("""COMPUTED_VALUE"""),"Airborne ")</f>
        <v>Airborne </v>
      </c>
      <c r="AE3677">
        <f t="shared" si="86"/>
        <v>3720</v>
      </c>
    </row>
    <row r="3678" customHeight="1" spans="1:31">
      <c r="A3678" s="2" t="s">
        <v>4094</v>
      </c>
      <c r="B3678" s="2">
        <v>82</v>
      </c>
      <c r="C3678" s="2">
        <v>98017</v>
      </c>
      <c r="D3678" s="2" t="s">
        <v>340</v>
      </c>
      <c r="E3678" s="2" t="s">
        <v>40</v>
      </c>
      <c r="N3678" s="2" t="s">
        <v>18</v>
      </c>
      <c r="O3678" s="2" t="s">
        <v>707</v>
      </c>
      <c r="P3678" s="2">
        <v>500000</v>
      </c>
      <c r="Q3678" s="2">
        <v>5.8</v>
      </c>
      <c r="R3678" s="2" t="s">
        <v>6307</v>
      </c>
      <c r="S3678" s="2"/>
      <c r="AC3678" s="2"/>
      <c r="AD3678" t="str">
        <f>IFERROR(__xludf.DUMMYFUNCTION("""COMPUTED_VALUE"""),"Waiting... ")</f>
        <v>Waiting... </v>
      </c>
      <c r="AE3678">
        <f t="shared" si="86"/>
        <v>2850172</v>
      </c>
    </row>
    <row r="3679" customHeight="1" spans="1:31">
      <c r="A3679" s="2" t="s">
        <v>4026</v>
      </c>
      <c r="B3679" s="2">
        <v>100</v>
      </c>
      <c r="C3679" s="2">
        <v>31937</v>
      </c>
      <c r="D3679" s="2" t="s">
        <v>607</v>
      </c>
      <c r="E3679" s="2" t="s">
        <v>40</v>
      </c>
      <c r="N3679" s="2" t="s">
        <v>18</v>
      </c>
      <c r="O3679" s="2" t="s">
        <v>19</v>
      </c>
      <c r="P3679" s="2">
        <v>500000</v>
      </c>
      <c r="Q3679" s="2">
        <v>5.7</v>
      </c>
      <c r="R3679" s="2" t="s">
        <v>6308</v>
      </c>
      <c r="S3679" s="2"/>
      <c r="AC3679" s="2"/>
      <c r="AD3679" t="str">
        <f>IFERROR(__xludf.DUMMYFUNCTION("""COMPUTED_VALUE"""),"Dead Man's Shoes ")</f>
        <v>Dead Man's Shoes </v>
      </c>
      <c r="AE3679">
        <f t="shared" si="86"/>
        <v>16101015</v>
      </c>
    </row>
    <row r="3680" customHeight="1" spans="1:31">
      <c r="A3680" s="2" t="s">
        <v>4096</v>
      </c>
      <c r="B3680" s="2">
        <v>112</v>
      </c>
      <c r="C3680" s="2">
        <v>13134</v>
      </c>
      <c r="D3680" s="2" t="s">
        <v>1527</v>
      </c>
      <c r="E3680" s="2" t="s">
        <v>30</v>
      </c>
      <c r="N3680" s="2" t="s">
        <v>18</v>
      </c>
      <c r="O3680" s="2" t="s">
        <v>19</v>
      </c>
      <c r="P3680" s="2">
        <v>500000</v>
      </c>
      <c r="Q3680" s="2">
        <v>6.1</v>
      </c>
      <c r="R3680" s="2" t="s">
        <v>6309</v>
      </c>
      <c r="S3680" s="2"/>
      <c r="AC3680" s="2"/>
      <c r="AD3680" t="str">
        <f>IFERROR(__xludf.DUMMYFUNCTION("""COMPUTED_VALUE"""),"From a Whisper to a Scream ")</f>
        <v>From a Whisper to a Scream </v>
      </c>
      <c r="AE3680">
        <f t="shared" si="86"/>
        <v>5923</v>
      </c>
    </row>
    <row r="3681" customHeight="1" spans="1:31">
      <c r="A3681" s="2" t="s">
        <v>4098</v>
      </c>
      <c r="B3681" s="2">
        <v>94</v>
      </c>
      <c r="C3681" s="2">
        <v>237301</v>
      </c>
      <c r="D3681" s="2" t="s">
        <v>1045</v>
      </c>
      <c r="E3681" s="2" t="s">
        <v>30</v>
      </c>
      <c r="N3681" s="2" t="s">
        <v>18</v>
      </c>
      <c r="O3681" s="2" t="s">
        <v>31</v>
      </c>
      <c r="P3681" s="2">
        <v>500000</v>
      </c>
      <c r="Q3681" s="2">
        <v>6.4</v>
      </c>
      <c r="R3681" s="2" t="s">
        <v>6310</v>
      </c>
      <c r="S3681" s="2"/>
      <c r="AC3681" s="2"/>
      <c r="AD3681" t="str">
        <f>IFERROR(__xludf.DUMMYFUNCTION("""COMPUTED_VALUE"""),"Dracula: Pages from a Virgin's Diary ")</f>
        <v>Dracula: Pages from a Virgin's Diary </v>
      </c>
      <c r="AE3681">
        <f t="shared" si="86"/>
        <v>1399908</v>
      </c>
    </row>
    <row r="3682" customHeight="1" spans="1:31">
      <c r="A3682" s="2" t="s">
        <v>4100</v>
      </c>
      <c r="B3682" s="2">
        <v>91</v>
      </c>
      <c r="C3682" s="2">
        <v>12055</v>
      </c>
      <c r="D3682" s="2" t="s">
        <v>40</v>
      </c>
      <c r="E3682" s="2" t="s">
        <v>40</v>
      </c>
      <c r="N3682" s="2" t="s">
        <v>18</v>
      </c>
      <c r="O3682" s="2" t="s">
        <v>19</v>
      </c>
      <c r="P3682" s="2">
        <v>500000</v>
      </c>
      <c r="Q3682" s="2">
        <v>6.5</v>
      </c>
      <c r="R3682" s="2" t="s">
        <v>6311</v>
      </c>
      <c r="S3682" s="2"/>
      <c r="AC3682" s="2"/>
      <c r="AD3682" t="str">
        <f>IFERROR(__xludf.DUMMYFUNCTION("""COMPUTED_VALUE"""),"Beyond the Black Rainbow ")</f>
        <v>Beyond the Black Rainbow </v>
      </c>
      <c r="AE3682">
        <f t="shared" si="86"/>
        <v>39586</v>
      </c>
    </row>
    <row r="3683" customHeight="1" spans="1:31">
      <c r="A3683" s="2" t="s">
        <v>4103</v>
      </c>
      <c r="B3683" s="2">
        <v>87</v>
      </c>
      <c r="C3683" s="2">
        <v>1332</v>
      </c>
      <c r="D3683" s="2" t="s">
        <v>3178</v>
      </c>
      <c r="E3683" s="2" t="s">
        <v>40</v>
      </c>
      <c r="N3683" s="2" t="s">
        <v>18</v>
      </c>
      <c r="O3683" s="2" t="s">
        <v>19</v>
      </c>
      <c r="P3683" s="2">
        <v>500000</v>
      </c>
      <c r="Q3683" s="2">
        <v>4.6</v>
      </c>
      <c r="R3683" s="2" t="s">
        <v>6312</v>
      </c>
      <c r="S3683" s="2"/>
      <c r="AC3683" s="2"/>
      <c r="AD3683" t="str">
        <f>IFERROR(__xludf.DUMMYFUNCTION("""COMPUTED_VALUE"""),"The Raid: Redemption ")</f>
        <v>The Raid: Redemption </v>
      </c>
      <c r="AE3683">
        <f t="shared" si="86"/>
        <v>56019</v>
      </c>
    </row>
    <row r="3684" customHeight="1" spans="1:31">
      <c r="A3684" s="2" t="s">
        <v>4105</v>
      </c>
      <c r="B3684" s="2">
        <v>82</v>
      </c>
      <c r="C3684" s="2">
        <v>21199</v>
      </c>
      <c r="D3684" s="2" t="s">
        <v>6313</v>
      </c>
      <c r="E3684" s="2" t="s">
        <v>12</v>
      </c>
      <c r="N3684" s="2" t="s">
        <v>18</v>
      </c>
      <c r="O3684" s="2" t="s">
        <v>19</v>
      </c>
      <c r="P3684" s="2">
        <v>500000</v>
      </c>
      <c r="Q3684" s="2">
        <v>6.8</v>
      </c>
      <c r="R3684" s="2" t="s">
        <v>6314</v>
      </c>
      <c r="S3684" s="2"/>
      <c r="AC3684" s="2"/>
      <c r="AD3684" t="str">
        <f>IFERROR(__xludf.DUMMYFUNCTION("""COMPUTED_VALUE"""),"Rocky ")</f>
        <v>Rocky </v>
      </c>
      <c r="AE3684">
        <f t="shared" si="86"/>
        <v>4105021</v>
      </c>
    </row>
    <row r="3685" customHeight="1" spans="1:31">
      <c r="A3685" s="2" t="s">
        <v>4108</v>
      </c>
      <c r="B3685" s="2">
        <v>91</v>
      </c>
      <c r="C3685" s="2">
        <v>2712293</v>
      </c>
      <c r="D3685" s="2" t="s">
        <v>718</v>
      </c>
      <c r="E3685" s="2" t="s">
        <v>56</v>
      </c>
      <c r="N3685" s="2" t="s">
        <v>18</v>
      </c>
      <c r="O3685" s="2" t="s">
        <v>19</v>
      </c>
      <c r="P3685" s="2">
        <v>450000</v>
      </c>
      <c r="Q3685" s="2">
        <v>5.9</v>
      </c>
      <c r="R3685" s="2" t="s">
        <v>6315</v>
      </c>
      <c r="S3685" s="2"/>
      <c r="AC3685" s="2"/>
      <c r="AD3685" t="str">
        <f>IFERROR(__xludf.DUMMYFUNCTION("""COMPUTED_VALUE"""),"Unfriended ")</f>
        <v>Unfriended </v>
      </c>
      <c r="AE3685">
        <f t="shared" si="86"/>
        <v>117235102</v>
      </c>
    </row>
    <row r="3686" customHeight="1" spans="1:31">
      <c r="A3686" s="2" t="s">
        <v>432</v>
      </c>
      <c r="B3686" s="2">
        <v>107</v>
      </c>
      <c r="C3686" s="2">
        <v>768045</v>
      </c>
      <c r="D3686" s="2" t="s">
        <v>731</v>
      </c>
      <c r="E3686" s="2" t="s">
        <v>30</v>
      </c>
      <c r="N3686" s="2" t="s">
        <v>18</v>
      </c>
      <c r="O3686" s="2" t="s">
        <v>31</v>
      </c>
      <c r="P3686" s="2">
        <v>2000000</v>
      </c>
      <c r="Q3686" s="2">
        <v>7.7</v>
      </c>
      <c r="R3686" s="2" t="s">
        <v>6316</v>
      </c>
      <c r="S3686" s="2"/>
      <c r="AC3686" s="2"/>
      <c r="AD3686" t="str">
        <f>IFERROR(__xludf.DUMMYFUNCTION("""COMPUTED_VALUE"""),"The Howling ")</f>
        <v>The Howling </v>
      </c>
      <c r="AE3686">
        <f t="shared" si="86"/>
        <v>31537237</v>
      </c>
    </row>
    <row r="3687" customHeight="1" spans="1:31">
      <c r="A3687" s="2" t="s">
        <v>4110</v>
      </c>
      <c r="B3687" s="2">
        <v>84</v>
      </c>
      <c r="C3687" s="2">
        <v>379122</v>
      </c>
      <c r="D3687" s="2" t="s">
        <v>521</v>
      </c>
      <c r="E3687" s="2" t="s">
        <v>40</v>
      </c>
      <c r="N3687" s="2" t="s">
        <v>18</v>
      </c>
      <c r="O3687" s="2" t="s">
        <v>31</v>
      </c>
      <c r="P3687" s="2">
        <v>450000</v>
      </c>
      <c r="Q3687" s="2">
        <v>7.1</v>
      </c>
      <c r="R3687" s="2" t="s">
        <v>6317</v>
      </c>
      <c r="S3687" s="2"/>
      <c r="AC3687" s="2"/>
      <c r="AD3687" t="str">
        <f>IFERROR(__xludf.DUMMYFUNCTION("""COMPUTED_VALUE"""),"Dr. No ")</f>
        <v>Dr. No </v>
      </c>
      <c r="AE3687">
        <f t="shared" si="86"/>
        <v>17985909</v>
      </c>
    </row>
    <row r="3688" customHeight="1" spans="1:31">
      <c r="A3688" s="2" t="s">
        <v>4112</v>
      </c>
      <c r="B3688" s="2">
        <v>103</v>
      </c>
      <c r="C3688" s="2">
        <v>23000</v>
      </c>
      <c r="D3688" s="2" t="s">
        <v>6176</v>
      </c>
      <c r="E3688" s="2" t="s">
        <v>40</v>
      </c>
      <c r="N3688" s="2" t="s">
        <v>18</v>
      </c>
      <c r="O3688" s="2" t="s">
        <v>19</v>
      </c>
      <c r="P3688" s="2">
        <v>500000</v>
      </c>
      <c r="Q3688" s="2">
        <v>6.2</v>
      </c>
      <c r="R3688" s="2" t="s">
        <v>6318</v>
      </c>
      <c r="S3688" s="2"/>
      <c r="AC3688" s="2"/>
      <c r="AD3688" t="str">
        <f>IFERROR(__xludf.DUMMYFUNCTION("""COMPUTED_VALUE"""),"Chernobyl Diaries ")</f>
        <v>Chernobyl Diaries </v>
      </c>
      <c r="AE3688">
        <f t="shared" si="86"/>
        <v>16066925</v>
      </c>
    </row>
    <row r="3689" customHeight="1" spans="1:31">
      <c r="A3689" s="2" t="s">
        <v>4115</v>
      </c>
      <c r="B3689" s="2">
        <v>89</v>
      </c>
      <c r="C3689" s="2">
        <v>2300000</v>
      </c>
      <c r="D3689" s="2" t="s">
        <v>4512</v>
      </c>
      <c r="E3689" s="2" t="s">
        <v>40</v>
      </c>
      <c r="N3689" s="2" t="s">
        <v>18</v>
      </c>
      <c r="O3689" s="2" t="s">
        <v>19</v>
      </c>
      <c r="P3689" s="2">
        <v>439000</v>
      </c>
      <c r="Q3689" s="2">
        <v>7.7</v>
      </c>
      <c r="R3689" s="2" t="s">
        <v>6319</v>
      </c>
      <c r="S3689" s="2"/>
      <c r="AC3689" s="2"/>
      <c r="AD3689" t="str">
        <f>IFERROR(__xludf.DUMMYFUNCTION("""COMPUTED_VALUE"""),"Hellraiser ")</f>
        <v>Hellraiser </v>
      </c>
      <c r="AE3689">
        <f t="shared" si="86"/>
        <v>18112843</v>
      </c>
    </row>
    <row r="3690" customHeight="1" spans="1:31">
      <c r="A3690" s="2" t="s">
        <v>4117</v>
      </c>
      <c r="B3690" s="2">
        <v>98</v>
      </c>
      <c r="C3690" s="2">
        <v>2938208</v>
      </c>
      <c r="D3690" s="2" t="s">
        <v>521</v>
      </c>
      <c r="E3690" s="2" t="s">
        <v>40</v>
      </c>
      <c r="N3690" s="2" t="s">
        <v>18</v>
      </c>
      <c r="O3690" s="2" t="s">
        <v>19</v>
      </c>
      <c r="P3690" s="2">
        <v>225000</v>
      </c>
      <c r="Q3690" s="2">
        <v>7.5</v>
      </c>
      <c r="R3690" s="2" t="s">
        <v>6320</v>
      </c>
      <c r="S3690" s="2"/>
      <c r="AC3690" s="2"/>
      <c r="AD3690" t="str">
        <f>IFERROR(__xludf.DUMMYFUNCTION("""COMPUTED_VALUE"""),"God's Not Dead 2 ")</f>
        <v>God's Not Dead 2 </v>
      </c>
      <c r="AE3690">
        <f t="shared" si="86"/>
        <v>14563941</v>
      </c>
    </row>
    <row r="3691" customHeight="1" spans="1:31">
      <c r="A3691" s="2" t="s">
        <v>4121</v>
      </c>
      <c r="B3691" s="2">
        <v>133</v>
      </c>
      <c r="C3691" s="2">
        <v>9910</v>
      </c>
      <c r="D3691" s="2" t="s">
        <v>2389</v>
      </c>
      <c r="E3691" s="2" t="s">
        <v>40</v>
      </c>
      <c r="N3691" s="2" t="s">
        <v>6321</v>
      </c>
      <c r="O3691" s="2" t="s">
        <v>6322</v>
      </c>
      <c r="P3691" s="2">
        <v>25000000</v>
      </c>
      <c r="Q3691" s="2">
        <v>7.6</v>
      </c>
      <c r="R3691" s="2" t="s">
        <v>6323</v>
      </c>
      <c r="S3691" s="2"/>
      <c r="AC3691" s="2"/>
      <c r="AD3691" t="str">
        <f>IFERROR(__xludf.DUMMYFUNCTION("""COMPUTED_VALUE"""),"Cry_Wolf ")</f>
        <v>Cry_Wolf </v>
      </c>
      <c r="AE3691">
        <f t="shared" si="86"/>
        <v>20772950</v>
      </c>
    </row>
    <row r="3692" customHeight="1" spans="1:31">
      <c r="A3692" s="2" t="s">
        <v>1746</v>
      </c>
      <c r="B3692" s="2">
        <v>92</v>
      </c>
      <c r="C3692" s="2">
        <v>44540956</v>
      </c>
      <c r="D3692" s="2" t="s">
        <v>40</v>
      </c>
      <c r="E3692" s="2" t="s">
        <v>40</v>
      </c>
      <c r="N3692" s="2" t="s">
        <v>18</v>
      </c>
      <c r="O3692" s="2" t="s">
        <v>19</v>
      </c>
      <c r="P3692" s="2">
        <v>400000</v>
      </c>
      <c r="Q3692" s="2">
        <v>6.9</v>
      </c>
      <c r="R3692" s="2" t="s">
        <v>6324</v>
      </c>
      <c r="S3692" s="2"/>
      <c r="AC3692" s="2"/>
      <c r="AD3692" t="str">
        <f>IFERROR(__xludf.DUMMYFUNCTION("""COMPUTED_VALUE"""),"Godzilla 2000 ")</f>
        <v>Godzilla 2000 </v>
      </c>
      <c r="AE3692">
        <f t="shared" si="86"/>
        <v>10042176</v>
      </c>
    </row>
    <row r="3693" customHeight="1" spans="1:31">
      <c r="A3693" s="2" t="s">
        <v>3492</v>
      </c>
      <c r="B3693" s="2">
        <v>90</v>
      </c>
      <c r="C3693" s="2">
        <v>258113</v>
      </c>
      <c r="D3693" s="2" t="s">
        <v>805</v>
      </c>
      <c r="E3693" s="2" t="s">
        <v>56</v>
      </c>
      <c r="N3693" s="2" t="s">
        <v>18</v>
      </c>
      <c r="O3693" s="2" t="s">
        <v>19</v>
      </c>
      <c r="P3693" s="2">
        <v>1066167</v>
      </c>
      <c r="Q3693" s="2">
        <v>7.1</v>
      </c>
      <c r="R3693" s="2" t="s">
        <v>6325</v>
      </c>
      <c r="S3693" s="2"/>
      <c r="AC3693" s="2"/>
      <c r="AD3693" t="str">
        <f>IFERROR(__xludf.DUMMYFUNCTION("""COMPUTED_VALUE"""),"Blue Valentine ")</f>
        <v>Blue Valentine </v>
      </c>
      <c r="AE3693">
        <f t="shared" si="86"/>
        <v>10037291</v>
      </c>
    </row>
    <row r="3694" customHeight="1" spans="1:31">
      <c r="A3694" s="2" t="s">
        <v>4123</v>
      </c>
      <c r="B3694" s="2">
        <v>84</v>
      </c>
      <c r="C3694" s="2">
        <v>107917283</v>
      </c>
      <c r="D3694" s="2" t="s">
        <v>72</v>
      </c>
      <c r="E3694" s="2" t="s">
        <v>72</v>
      </c>
      <c r="N3694" s="2" t="s">
        <v>18</v>
      </c>
      <c r="O3694" s="2" t="s">
        <v>19</v>
      </c>
      <c r="P3694" s="2">
        <v>15000</v>
      </c>
      <c r="Q3694" s="2">
        <v>6.3</v>
      </c>
      <c r="R3694" s="2" t="s">
        <v>6326</v>
      </c>
      <c r="S3694" s="2"/>
      <c r="AC3694" s="2"/>
      <c r="AD3694" t="str">
        <f>IFERROR(__xludf.DUMMYFUNCTION("""COMPUTED_VALUE"""),"Transamerica ")</f>
        <v>Transamerica </v>
      </c>
      <c r="AE3694">
        <f t="shared" si="86"/>
        <v>9701447</v>
      </c>
    </row>
    <row r="3695" customHeight="1" spans="1:31">
      <c r="A3695" s="2" t="s">
        <v>836</v>
      </c>
      <c r="B3695" s="2">
        <v>91</v>
      </c>
      <c r="C3695" s="2">
        <v>1229197</v>
      </c>
      <c r="D3695" s="2" t="s">
        <v>2232</v>
      </c>
      <c r="E3695" s="2" t="s">
        <v>13</v>
      </c>
      <c r="N3695" s="2" t="s">
        <v>18</v>
      </c>
      <c r="O3695" s="2" t="s">
        <v>31</v>
      </c>
      <c r="P3695" s="2">
        <v>229575</v>
      </c>
      <c r="Q3695" s="2">
        <v>8.3</v>
      </c>
      <c r="R3695" s="2" t="s">
        <v>6327</v>
      </c>
      <c r="S3695" s="2"/>
      <c r="AC3695" s="2"/>
      <c r="AD3695" t="str">
        <f>IFERROR(__xludf.DUMMYFUNCTION("""COMPUTED_VALUE"""),"The Devil Inside ")</f>
        <v>The Devil Inside </v>
      </c>
      <c r="AE3695">
        <f t="shared" si="86"/>
        <v>9013010</v>
      </c>
    </row>
    <row r="3696" customHeight="1" spans="1:31">
      <c r="A3696" s="2" t="s">
        <v>3444</v>
      </c>
      <c r="B3696" s="2">
        <v>90</v>
      </c>
      <c r="C3696" s="2">
        <v>1689999</v>
      </c>
      <c r="D3696" s="2" t="s">
        <v>30</v>
      </c>
      <c r="E3696" s="2" t="s">
        <v>30</v>
      </c>
      <c r="N3696" s="2" t="s">
        <v>1081</v>
      </c>
      <c r="O3696" s="2" t="s">
        <v>19</v>
      </c>
      <c r="P3696" s="2">
        <v>400000</v>
      </c>
      <c r="Q3696" s="2">
        <v>7.1</v>
      </c>
      <c r="R3696" s="2" t="s">
        <v>6328</v>
      </c>
      <c r="S3696" s="2"/>
      <c r="AC3696" s="2"/>
      <c r="AD3696" t="str">
        <f>IFERROR(__xludf.DUMMYFUNCTION("""COMPUTED_VALUE"""),"Beyond the Valley of the Dolls ")</f>
        <v>Beyond the Valley of the Dolls </v>
      </c>
      <c r="AE3696">
        <f t="shared" si="86"/>
        <v>53244972</v>
      </c>
    </row>
    <row r="3697" customHeight="1" spans="1:31">
      <c r="A3697" s="2" t="s">
        <v>4125</v>
      </c>
      <c r="B3697" s="2">
        <v>96</v>
      </c>
      <c r="C3697" s="2">
        <v>11798</v>
      </c>
      <c r="D3697" s="2" t="s">
        <v>6329</v>
      </c>
      <c r="E3697" s="2" t="s">
        <v>40</v>
      </c>
      <c r="N3697" s="2" t="s">
        <v>18</v>
      </c>
      <c r="O3697" s="2" t="s">
        <v>19</v>
      </c>
      <c r="P3697" s="2">
        <v>100000</v>
      </c>
      <c r="Q3697" s="2">
        <v>4.7</v>
      </c>
      <c r="R3697" s="2" t="s">
        <v>6330</v>
      </c>
      <c r="S3697" s="2"/>
      <c r="AC3697" s="2"/>
      <c r="AD3697" t="str">
        <f>IFERROR(__xludf.DUMMYFUNCTION("""COMPUTED_VALUE"""),"The Green Inferno ")</f>
        <v>The Green Inferno </v>
      </c>
      <c r="AE3697">
        <f t="shared" si="86"/>
        <v>8999891</v>
      </c>
    </row>
    <row r="3698" customHeight="1" spans="1:31">
      <c r="A3698" s="2" t="s">
        <v>4127</v>
      </c>
      <c r="B3698" s="2">
        <v>88</v>
      </c>
      <c r="C3698" s="2">
        <v>592014</v>
      </c>
      <c r="D3698" s="2" t="s">
        <v>6331</v>
      </c>
      <c r="E3698" s="2" t="s">
        <v>59</v>
      </c>
      <c r="N3698" s="2" t="s">
        <v>18</v>
      </c>
      <c r="O3698" s="2" t="s">
        <v>19</v>
      </c>
      <c r="P3698" s="2">
        <v>218</v>
      </c>
      <c r="Q3698" s="2">
        <v>7.2</v>
      </c>
      <c r="R3698" s="2" t="s">
        <v>6332</v>
      </c>
      <c r="S3698" s="2"/>
      <c r="AC3698" s="2"/>
      <c r="AD3698" t="str">
        <f>IFERROR(__xludf.DUMMYFUNCTION("""COMPUTED_VALUE"""),"The Sessions ")</f>
        <v>The Sessions </v>
      </c>
      <c r="AE3698">
        <f t="shared" si="86"/>
        <v>7186570</v>
      </c>
    </row>
    <row r="3699" customHeight="1" spans="1:31">
      <c r="A3699" s="2" t="s">
        <v>4129</v>
      </c>
      <c r="B3699" s="2">
        <v>92</v>
      </c>
      <c r="C3699" s="2">
        <v>425899</v>
      </c>
      <c r="D3699" s="2" t="s">
        <v>65</v>
      </c>
      <c r="E3699" s="2" t="s">
        <v>65</v>
      </c>
      <c r="N3699" s="2" t="s">
        <v>18</v>
      </c>
      <c r="O3699" s="2" t="s">
        <v>19</v>
      </c>
      <c r="P3699" s="2">
        <v>400000</v>
      </c>
      <c r="Q3699" s="2">
        <v>5.1</v>
      </c>
      <c r="R3699" s="2" t="s">
        <v>6333</v>
      </c>
      <c r="S3699" s="2"/>
      <c r="AC3699" s="2"/>
      <c r="AD3699" t="str">
        <f>IFERROR(__xludf.DUMMYFUNCTION("""COMPUTED_VALUE"""),"Next Stop Wonderland ")</f>
        <v>Next Stop Wonderland </v>
      </c>
      <c r="AE3699">
        <f t="shared" si="86"/>
        <v>5997039</v>
      </c>
    </row>
    <row r="3700" customHeight="1" spans="1:31">
      <c r="A3700" s="2" t="s">
        <v>4131</v>
      </c>
      <c r="B3700" s="2">
        <v>82</v>
      </c>
      <c r="C3700" s="2">
        <v>126387</v>
      </c>
      <c r="D3700" s="2" t="s">
        <v>72</v>
      </c>
      <c r="E3700" s="2" t="s">
        <v>72</v>
      </c>
      <c r="N3700" s="2" t="s">
        <v>4119</v>
      </c>
      <c r="O3700" s="2" t="s">
        <v>3655</v>
      </c>
      <c r="P3700" s="2">
        <v>400000</v>
      </c>
      <c r="Q3700" s="2">
        <v>6.9</v>
      </c>
      <c r="R3700" s="2" t="s">
        <v>6334</v>
      </c>
      <c r="S3700" s="2"/>
      <c r="AC3700" s="2"/>
      <c r="AD3700" t="str">
        <f>IFERROR(__xludf.DUMMYFUNCTION("""COMPUTED_VALUE"""),"Frozen River ")</f>
        <v>Frozen River </v>
      </c>
      <c r="AE3700">
        <f t="shared" si="86"/>
        <v>3386594</v>
      </c>
    </row>
    <row r="3701" customHeight="1" spans="1:31">
      <c r="A3701" s="2" t="s">
        <v>1787</v>
      </c>
      <c r="B3701" s="2">
        <v>101</v>
      </c>
      <c r="C3701" s="2">
        <v>80276912</v>
      </c>
      <c r="D3701" s="2" t="s">
        <v>607</v>
      </c>
      <c r="E3701" s="2" t="s">
        <v>40</v>
      </c>
      <c r="N3701" s="2" t="s">
        <v>18</v>
      </c>
      <c r="O3701" s="2" t="s">
        <v>19</v>
      </c>
      <c r="P3701" s="2">
        <v>35000000</v>
      </c>
      <c r="Q3701" s="2">
        <v>6.1</v>
      </c>
      <c r="R3701" s="2" t="s">
        <v>6335</v>
      </c>
      <c r="S3701" s="2"/>
      <c r="AC3701" s="2"/>
      <c r="AD3701" t="str">
        <f>IFERROR(__xludf.DUMMYFUNCTION("""COMPUTED_VALUE"""),"20 Feet from Stardom ")</f>
        <v>20 Feet from Stardom </v>
      </c>
      <c r="AE3701">
        <f t="shared" si="86"/>
        <v>2508744</v>
      </c>
    </row>
    <row r="3702" customHeight="1" spans="1:31">
      <c r="A3702" s="2" t="s">
        <v>4133</v>
      </c>
      <c r="B3702" s="2">
        <v>86</v>
      </c>
      <c r="C3702" s="2">
        <v>617172</v>
      </c>
      <c r="D3702" s="2" t="s">
        <v>65</v>
      </c>
      <c r="E3702" s="2" t="s">
        <v>65</v>
      </c>
      <c r="N3702" s="2" t="s">
        <v>18</v>
      </c>
      <c r="O3702" s="2" t="s">
        <v>19</v>
      </c>
      <c r="P3702" s="2">
        <v>375000</v>
      </c>
      <c r="Q3702" s="2">
        <v>7</v>
      </c>
      <c r="R3702" s="2" t="s">
        <v>6336</v>
      </c>
      <c r="S3702" s="2"/>
      <c r="AC3702" s="2"/>
      <c r="AD3702" t="str">
        <f>IFERROR(__xludf.DUMMYFUNCTION("""COMPUTED_VALUE"""),"Two Girls and a Guy ")</f>
        <v>Two Girls and a Guy </v>
      </c>
      <c r="AE3702">
        <f t="shared" si="86"/>
        <v>4946159</v>
      </c>
    </row>
    <row r="3703" customHeight="1" spans="1:31">
      <c r="A3703" s="2" t="s">
        <v>4135</v>
      </c>
      <c r="B3703" s="2">
        <v>100</v>
      </c>
      <c r="C3703" s="2">
        <v>2808000</v>
      </c>
      <c r="D3703" s="2" t="s">
        <v>5618</v>
      </c>
      <c r="E3703" s="2" t="s">
        <v>16</v>
      </c>
      <c r="N3703" s="2" t="s">
        <v>18</v>
      </c>
      <c r="O3703" s="2" t="s">
        <v>19</v>
      </c>
      <c r="P3703" s="2">
        <v>379000</v>
      </c>
      <c r="Q3703" s="2">
        <v>6.3</v>
      </c>
      <c r="R3703" s="2" t="s">
        <v>6337</v>
      </c>
      <c r="S3703" s="2"/>
      <c r="AC3703" s="2"/>
      <c r="AD3703" t="str">
        <f>IFERROR(__xludf.DUMMYFUNCTION("""COMPUTED_VALUE"""),"Walking and Talking ")</f>
        <v>Walking and Talking </v>
      </c>
      <c r="AE3703">
        <f t="shared" ref="AE3703:AE3766" si="87">C3587-B3587</f>
        <v>1950134</v>
      </c>
    </row>
    <row r="3704" customHeight="1" spans="1:31">
      <c r="A3704" s="2" t="s">
        <v>4138</v>
      </c>
      <c r="B3704" s="2">
        <v>89</v>
      </c>
      <c r="C3704" s="2">
        <v>12843</v>
      </c>
      <c r="D3704" s="2" t="s">
        <v>2781</v>
      </c>
      <c r="E3704" s="2" t="s">
        <v>72</v>
      </c>
      <c r="N3704" s="2" t="s">
        <v>18</v>
      </c>
      <c r="O3704" s="2" t="s">
        <v>707</v>
      </c>
      <c r="P3704" s="2">
        <v>6000000</v>
      </c>
      <c r="Q3704" s="2">
        <v>6.1</v>
      </c>
      <c r="R3704" s="2" t="s">
        <v>6338</v>
      </c>
      <c r="S3704" s="2"/>
      <c r="AC3704" s="2"/>
      <c r="AD3704" t="str">
        <f>IFERROR(__xludf.DUMMYFUNCTION("""COMPUTED_VALUE"""),"Who Killed the Electric Car? ")</f>
        <v>Who Killed the Electric Car? </v>
      </c>
      <c r="AE3704">
        <f t="shared" si="87"/>
        <v>1277171</v>
      </c>
    </row>
    <row r="3705" customHeight="1" spans="1:31">
      <c r="A3705" s="2" t="s">
        <v>4140</v>
      </c>
      <c r="B3705" s="2">
        <v>84</v>
      </c>
      <c r="C3705" s="2">
        <v>34151</v>
      </c>
      <c r="D3705" s="2" t="s">
        <v>6069</v>
      </c>
      <c r="E3705" s="2" t="s">
        <v>65</v>
      </c>
      <c r="N3705" s="2" t="s">
        <v>6062</v>
      </c>
      <c r="O3705" s="2" t="s">
        <v>6063</v>
      </c>
      <c r="P3705" s="2">
        <v>450000</v>
      </c>
      <c r="Q3705" s="2">
        <v>7.2</v>
      </c>
      <c r="R3705" s="2" t="s">
        <v>6339</v>
      </c>
      <c r="S3705" s="2"/>
      <c r="AC3705" s="2"/>
      <c r="AD3705" t="str">
        <f>IFERROR(__xludf.DUMMYFUNCTION("""COMPUTED_VALUE"""),"The Broken Hearts Club: A Romantic Comedy ")</f>
        <v>The Broken Hearts Club: A Romantic Comedy </v>
      </c>
      <c r="AE3705">
        <f t="shared" si="87"/>
        <v>1677746</v>
      </c>
    </row>
    <row r="3706" customHeight="1" spans="1:31">
      <c r="A3706" s="2" t="s">
        <v>4142</v>
      </c>
      <c r="B3706" s="2">
        <v>88</v>
      </c>
      <c r="C3706" s="2">
        <v>1523883</v>
      </c>
      <c r="D3706" s="2" t="s">
        <v>6218</v>
      </c>
      <c r="E3706" s="2" t="s">
        <v>65</v>
      </c>
      <c r="N3706" s="2" t="s">
        <v>18</v>
      </c>
      <c r="O3706" s="2" t="s">
        <v>19</v>
      </c>
      <c r="P3706" s="2">
        <v>1750211</v>
      </c>
      <c r="Q3706" s="2">
        <v>7.8</v>
      </c>
      <c r="R3706" s="2" t="s">
        <v>6340</v>
      </c>
      <c r="S3706" s="2"/>
      <c r="AC3706" s="2"/>
      <c r="AD3706" t="str">
        <f>IFERROR(__xludf.DUMMYFUNCTION("""COMPUTED_VALUE"""),"Slam ")</f>
        <v>Slam </v>
      </c>
      <c r="AE3706">
        <f t="shared" si="87"/>
        <v>1744764</v>
      </c>
    </row>
    <row r="3707" customHeight="1" spans="1:31">
      <c r="A3707" s="2" t="s">
        <v>4144</v>
      </c>
      <c r="B3707" s="2">
        <v>90</v>
      </c>
      <c r="C3707" s="2">
        <v>4000000</v>
      </c>
      <c r="D3707" s="2" t="s">
        <v>297</v>
      </c>
      <c r="E3707" s="2" t="s">
        <v>12</v>
      </c>
      <c r="N3707" s="2" t="s">
        <v>18</v>
      </c>
      <c r="O3707" s="2" t="s">
        <v>19</v>
      </c>
      <c r="P3707" s="2">
        <v>350000</v>
      </c>
      <c r="Q3707" s="2">
        <v>4.7</v>
      </c>
      <c r="R3707" s="2" t="s">
        <v>6341</v>
      </c>
      <c r="S3707" s="2"/>
      <c r="AC3707" s="2"/>
      <c r="AD3707" t="str">
        <f>IFERROR(__xludf.DUMMYFUNCTION("""COMPUTED_VALUE"""),"Brigham City ")</f>
        <v>Brigham City </v>
      </c>
      <c r="AE3707">
        <f t="shared" si="87"/>
        <v>982114</v>
      </c>
    </row>
    <row r="3708" customHeight="1" spans="1:31">
      <c r="A3708" s="2" t="s">
        <v>1887</v>
      </c>
      <c r="B3708" s="2">
        <v>102</v>
      </c>
      <c r="C3708" s="2">
        <v>1281176</v>
      </c>
      <c r="D3708" s="2" t="s">
        <v>975</v>
      </c>
      <c r="E3708" s="2" t="s">
        <v>40</v>
      </c>
      <c r="N3708" s="2" t="s">
        <v>18</v>
      </c>
      <c r="O3708" s="2" t="s">
        <v>19</v>
      </c>
      <c r="P3708" s="2">
        <v>312000</v>
      </c>
      <c r="Q3708" s="2">
        <v>6.7</v>
      </c>
      <c r="R3708" s="2" t="s">
        <v>6342</v>
      </c>
      <c r="S3708" s="2"/>
      <c r="AC3708" s="2"/>
      <c r="AD3708" t="str">
        <f>IFERROR(__xludf.DUMMYFUNCTION("""COMPUTED_VALUE"""),"Fiza ")</f>
        <v>Fiza </v>
      </c>
      <c r="AE3708">
        <f t="shared" si="87"/>
        <v>798222</v>
      </c>
    </row>
    <row r="3709" customHeight="1" spans="1:31">
      <c r="A3709" s="2" t="s">
        <v>4147</v>
      </c>
      <c r="B3709" s="2">
        <v>98</v>
      </c>
      <c r="C3709" s="2">
        <v>16115878</v>
      </c>
      <c r="D3709" s="2" t="s">
        <v>6343</v>
      </c>
      <c r="E3709" s="2" t="s">
        <v>12</v>
      </c>
      <c r="N3709" s="2" t="s">
        <v>18</v>
      </c>
      <c r="O3709" s="2" t="s">
        <v>19</v>
      </c>
      <c r="P3709" s="2">
        <v>8000000</v>
      </c>
      <c r="Q3709" s="2">
        <v>6.6</v>
      </c>
      <c r="R3709" s="2" t="s">
        <v>6344</v>
      </c>
      <c r="S3709" s="2"/>
      <c r="AC3709" s="2"/>
      <c r="AD3709" t="str">
        <f>IFERROR(__xludf.DUMMYFUNCTION("""COMPUTED_VALUE"""),"Orgazmo ")</f>
        <v>Orgazmo </v>
      </c>
      <c r="AE3709">
        <f t="shared" si="87"/>
        <v>610824</v>
      </c>
    </row>
    <row r="3710" customHeight="1" spans="1:31">
      <c r="A3710" s="2" t="s">
        <v>3380</v>
      </c>
      <c r="B3710" s="2">
        <v>91</v>
      </c>
      <c r="C3710" s="2">
        <v>1652472</v>
      </c>
      <c r="D3710" s="2" t="s">
        <v>607</v>
      </c>
      <c r="E3710" s="2" t="s">
        <v>40</v>
      </c>
      <c r="N3710" s="2" t="s">
        <v>1125</v>
      </c>
      <c r="O3710" s="2" t="s">
        <v>707</v>
      </c>
      <c r="P3710" s="2">
        <v>300000</v>
      </c>
      <c r="Q3710" s="2">
        <v>6.9</v>
      </c>
      <c r="R3710" s="2" t="s">
        <v>6345</v>
      </c>
      <c r="S3710" s="2"/>
      <c r="AC3710" s="2"/>
      <c r="AD3710" t="str">
        <f>IFERROR(__xludf.DUMMYFUNCTION("""COMPUTED_VALUE"""),"All the Real Girls ")</f>
        <v>All the Real Girls </v>
      </c>
      <c r="AE3710">
        <f t="shared" si="87"/>
        <v>581932</v>
      </c>
    </row>
    <row r="3711" customHeight="1" spans="1:31">
      <c r="A3711" s="2" t="s">
        <v>1520</v>
      </c>
      <c r="B3711" s="2">
        <v>80</v>
      </c>
      <c r="C3711" s="2">
        <v>2360184</v>
      </c>
      <c r="D3711" s="2" t="s">
        <v>975</v>
      </c>
      <c r="E3711" s="2" t="s">
        <v>40</v>
      </c>
      <c r="N3711" s="2" t="s">
        <v>18</v>
      </c>
      <c r="O3711" s="2" t="s">
        <v>19</v>
      </c>
      <c r="P3711" s="2">
        <v>300000</v>
      </c>
      <c r="Q3711" s="2">
        <v>7.1</v>
      </c>
      <c r="R3711" s="2" t="s">
        <v>6346</v>
      </c>
      <c r="S3711" s="2"/>
      <c r="AC3711" s="2"/>
      <c r="AD3711" t="str">
        <f>IFERROR(__xludf.DUMMYFUNCTION("""COMPUTED_VALUE"""),"Dream with the Fishes ")</f>
        <v>Dream with the Fishes </v>
      </c>
      <c r="AE3711">
        <f t="shared" si="87"/>
        <v>548604</v>
      </c>
    </row>
    <row r="3712" customHeight="1" spans="1:31">
      <c r="A3712" s="2" t="s">
        <v>4149</v>
      </c>
      <c r="B3712" s="2">
        <v>76</v>
      </c>
      <c r="C3712" s="2">
        <v>255352</v>
      </c>
      <c r="D3712" s="2" t="s">
        <v>30</v>
      </c>
      <c r="E3712" s="2" t="s">
        <v>30</v>
      </c>
      <c r="N3712" s="2" t="s">
        <v>18</v>
      </c>
      <c r="O3712" s="2" t="s">
        <v>19</v>
      </c>
      <c r="P3712" s="2">
        <v>300000</v>
      </c>
      <c r="Q3712" s="2">
        <v>6.7</v>
      </c>
      <c r="R3712" s="2" t="s">
        <v>6347</v>
      </c>
      <c r="S3712" s="2"/>
      <c r="AC3712" s="2"/>
      <c r="AD3712" t="str">
        <f>IFERROR(__xludf.DUMMYFUNCTION("""COMPUTED_VALUE"""),"Blue Car ")</f>
        <v>Blue Car </v>
      </c>
      <c r="AE3712">
        <f t="shared" si="87"/>
        <v>464558</v>
      </c>
    </row>
    <row r="3713" customHeight="1" spans="1:31">
      <c r="A3713" s="2" t="s">
        <v>4149</v>
      </c>
      <c r="B3713" s="2">
        <v>80</v>
      </c>
      <c r="C3713" s="2">
        <v>856942</v>
      </c>
      <c r="D3713" s="2" t="s">
        <v>30</v>
      </c>
      <c r="E3713" s="2" t="s">
        <v>30</v>
      </c>
      <c r="N3713" s="2" t="s">
        <v>18</v>
      </c>
      <c r="O3713" s="2" t="s">
        <v>19</v>
      </c>
      <c r="P3713" s="2">
        <v>200000</v>
      </c>
      <c r="Q3713" s="2">
        <v>7.1</v>
      </c>
      <c r="R3713" s="2" t="s">
        <v>6348</v>
      </c>
      <c r="S3713" s="2"/>
      <c r="AC3713" s="2"/>
      <c r="AD3713" t="str">
        <f>IFERROR(__xludf.DUMMYFUNCTION("""COMPUTED_VALUE"""),"Luminarias ")</f>
        <v>Luminarias </v>
      </c>
      <c r="AE3713">
        <f t="shared" si="87"/>
        <v>464038</v>
      </c>
    </row>
    <row r="3714" customHeight="1" spans="1:31">
      <c r="A3714" s="2" t="s">
        <v>4152</v>
      </c>
      <c r="B3714" s="2">
        <v>102</v>
      </c>
      <c r="C3714" s="2">
        <v>16892</v>
      </c>
      <c r="D3714" s="2" t="s">
        <v>65</v>
      </c>
      <c r="E3714" s="2" t="s">
        <v>65</v>
      </c>
      <c r="N3714" s="2" t="s">
        <v>18</v>
      </c>
      <c r="O3714" s="2" t="s">
        <v>2888</v>
      </c>
      <c r="P3714" s="2">
        <v>300000</v>
      </c>
      <c r="Q3714" s="2">
        <v>7.6</v>
      </c>
      <c r="R3714" s="2" t="s">
        <v>6349</v>
      </c>
      <c r="S3714" s="2"/>
      <c r="AC3714" s="2"/>
      <c r="AD3714" t="str">
        <f>IFERROR(__xludf.DUMMYFUNCTION("""COMPUTED_VALUE"""),"Wristcutters: A Love Story ")</f>
        <v>Wristcutters: A Love Story </v>
      </c>
      <c r="AE3714">
        <f t="shared" si="87"/>
        <v>428435</v>
      </c>
    </row>
    <row r="3715" customHeight="1" spans="1:31">
      <c r="A3715" s="2" t="s">
        <v>4154</v>
      </c>
      <c r="B3715" s="2">
        <v>95</v>
      </c>
      <c r="C3715" s="2">
        <v>12438</v>
      </c>
      <c r="D3715" s="2" t="s">
        <v>103</v>
      </c>
      <c r="E3715" s="2" t="s">
        <v>30</v>
      </c>
      <c r="N3715" s="2" t="s">
        <v>18</v>
      </c>
      <c r="O3715" s="2" t="s">
        <v>19</v>
      </c>
      <c r="P3715" s="2">
        <v>160000</v>
      </c>
      <c r="Q3715" s="2">
        <v>8.1</v>
      </c>
      <c r="R3715" s="2" t="s">
        <v>6350</v>
      </c>
      <c r="S3715" s="2"/>
      <c r="AC3715" s="2"/>
      <c r="AD3715" t="str">
        <f>IFERROR(__xludf.DUMMYFUNCTION("""COMPUTED_VALUE"""),"The Battle of Shaker Heights ")</f>
        <v>The Battle of Shaker Heights </v>
      </c>
      <c r="AE3715">
        <f t="shared" si="87"/>
        <v>103989</v>
      </c>
    </row>
    <row r="3716" customHeight="1" spans="1:31">
      <c r="A3716" s="2" t="s">
        <v>3440</v>
      </c>
      <c r="B3716" s="2">
        <v>94</v>
      </c>
      <c r="C3716" s="2">
        <v>40542</v>
      </c>
      <c r="D3716" s="2" t="s">
        <v>103</v>
      </c>
      <c r="E3716" s="2" t="s">
        <v>30</v>
      </c>
      <c r="N3716" s="2" t="s">
        <v>18</v>
      </c>
      <c r="O3716" s="2" t="s">
        <v>19</v>
      </c>
      <c r="P3716" s="2">
        <v>300000</v>
      </c>
      <c r="Q3716" s="2">
        <v>5.5</v>
      </c>
      <c r="R3716" s="2" t="s">
        <v>6351</v>
      </c>
      <c r="S3716" s="2"/>
      <c r="AC3716" s="2"/>
      <c r="AD3716" t="str">
        <f>IFERROR(__xludf.DUMMYFUNCTION("""COMPUTED_VALUE"""),"The Act of Killing ")</f>
        <v>The Act of Killing </v>
      </c>
      <c r="AE3716">
        <f t="shared" si="87"/>
        <v>279203</v>
      </c>
    </row>
    <row r="3717" customHeight="1" spans="1:31">
      <c r="A3717" s="2" t="s">
        <v>4156</v>
      </c>
      <c r="B3717" s="2">
        <v>109</v>
      </c>
      <c r="C3717" s="2">
        <v>5199</v>
      </c>
      <c r="D3717" s="2" t="s">
        <v>1527</v>
      </c>
      <c r="E3717" s="2" t="s">
        <v>30</v>
      </c>
      <c r="N3717" s="2" t="s">
        <v>18</v>
      </c>
      <c r="O3717" s="2" t="s">
        <v>19</v>
      </c>
      <c r="P3717" s="2">
        <v>200000</v>
      </c>
      <c r="Q3717" s="2">
        <v>6.6</v>
      </c>
      <c r="R3717" s="2" t="s">
        <v>6352</v>
      </c>
      <c r="S3717" s="2"/>
      <c r="AC3717" s="2"/>
      <c r="AD3717" t="str">
        <f>IFERROR(__xludf.DUMMYFUNCTION("""COMPUTED_VALUE"""),"Taxi to the Dark Side ")</f>
        <v>Taxi to the Dark Side </v>
      </c>
      <c r="AE3717">
        <f t="shared" si="87"/>
        <v>484125</v>
      </c>
    </row>
    <row r="3718" customHeight="1" spans="1:31">
      <c r="A3718" s="2" t="s">
        <v>4159</v>
      </c>
      <c r="B3718" s="2">
        <v>95</v>
      </c>
      <c r="C3718" s="2">
        <v>2468</v>
      </c>
      <c r="D3718" s="2" t="s">
        <v>24</v>
      </c>
      <c r="E3718" s="2" t="s">
        <v>24</v>
      </c>
      <c r="N3718" s="2" t="s">
        <v>18</v>
      </c>
      <c r="O3718" s="2" t="s">
        <v>19</v>
      </c>
      <c r="P3718" s="2">
        <v>300000</v>
      </c>
      <c r="Q3718" s="2">
        <v>4.8</v>
      </c>
      <c r="R3718" s="2" t="s">
        <v>6353</v>
      </c>
      <c r="S3718" s="2"/>
      <c r="AC3718" s="2"/>
      <c r="AD3718" t="str">
        <f>IFERROR(__xludf.DUMMYFUNCTION("""COMPUTED_VALUE"""),"Once in a Lifetime: The Extraordinary Story of the New York Cosmos ")</f>
        <v>Once in a Lifetime: The Extraordinary Story of the New York Cosmos </v>
      </c>
      <c r="AE3718">
        <f t="shared" si="87"/>
        <v>274608</v>
      </c>
    </row>
    <row r="3719" customHeight="1" spans="1:31">
      <c r="A3719" s="2" t="s">
        <v>4161</v>
      </c>
      <c r="B3719" s="2">
        <v>90</v>
      </c>
      <c r="C3719" s="2">
        <v>318622</v>
      </c>
      <c r="D3719" s="2" t="s">
        <v>2341</v>
      </c>
      <c r="E3719" s="2" t="s">
        <v>59</v>
      </c>
      <c r="N3719" s="2" t="s">
        <v>18</v>
      </c>
      <c r="O3719" s="2" t="s">
        <v>19</v>
      </c>
      <c r="P3719" s="2">
        <v>270000</v>
      </c>
      <c r="Q3719" s="2">
        <v>6.4</v>
      </c>
      <c r="R3719" s="2" t="s">
        <v>6354</v>
      </c>
      <c r="S3719" s="2"/>
      <c r="AC3719" s="2"/>
      <c r="AD3719" t="str">
        <f>IFERROR(__xludf.DUMMYFUNCTION("""COMPUTED_VALUE"""),"Antarctica: A Year on Ice ")</f>
        <v>Antarctica: A Year on Ice </v>
      </c>
      <c r="AE3719">
        <f t="shared" si="87"/>
        <v>144334</v>
      </c>
    </row>
    <row r="3720" customHeight="1" spans="1:31">
      <c r="A3720" s="2" t="s">
        <v>1632</v>
      </c>
      <c r="B3720" s="2">
        <v>113</v>
      </c>
      <c r="C3720" s="2">
        <v>12006514</v>
      </c>
      <c r="D3720" s="2" t="s">
        <v>521</v>
      </c>
      <c r="E3720" s="2" t="s">
        <v>40</v>
      </c>
      <c r="N3720" s="2" t="s">
        <v>18</v>
      </c>
      <c r="O3720" s="2" t="s">
        <v>19</v>
      </c>
      <c r="P3720" s="2">
        <v>250000</v>
      </c>
      <c r="Q3720" s="2">
        <v>7.3</v>
      </c>
      <c r="R3720" s="2" t="s">
        <v>6355</v>
      </c>
      <c r="S3720" s="2"/>
      <c r="AC3720" s="2"/>
      <c r="AD3720" t="str">
        <f>IFERROR(__xludf.DUMMYFUNCTION("""COMPUTED_VALUE"""),"A Lego Brickumentary ")</f>
        <v>A Lego Brickumentary </v>
      </c>
      <c r="AE3720">
        <f t="shared" si="87"/>
        <v>287670</v>
      </c>
    </row>
    <row r="3721" customHeight="1" spans="1:31">
      <c r="A3721" s="2" t="s">
        <v>3175</v>
      </c>
      <c r="B3721" s="2">
        <v>91</v>
      </c>
      <c r="C3721" s="2">
        <v>4186931</v>
      </c>
      <c r="D3721" s="2" t="s">
        <v>521</v>
      </c>
      <c r="E3721" s="2" t="s">
        <v>40</v>
      </c>
      <c r="N3721" s="2" t="s">
        <v>18</v>
      </c>
      <c r="O3721" s="2" t="s">
        <v>19</v>
      </c>
      <c r="P3721" s="2">
        <v>250000</v>
      </c>
      <c r="Q3721" s="2">
        <v>6.9</v>
      </c>
      <c r="R3721" s="2" t="s">
        <v>6356</v>
      </c>
      <c r="S3721" s="2"/>
      <c r="AC3721" s="2"/>
      <c r="AD3721" t="str">
        <f>IFERROR(__xludf.DUMMYFUNCTION("""COMPUTED_VALUE"""),"Hardflip ")</f>
        <v>Hardflip </v>
      </c>
      <c r="AE3721">
        <f t="shared" si="87"/>
        <v>100147</v>
      </c>
    </row>
    <row r="3722" customHeight="1" spans="1:31">
      <c r="A3722" s="2" t="s">
        <v>170</v>
      </c>
      <c r="B3722" s="2">
        <v>98</v>
      </c>
      <c r="C3722" s="2">
        <v>3799339</v>
      </c>
      <c r="D3722" s="2" t="s">
        <v>5167</v>
      </c>
      <c r="E3722" s="2" t="s">
        <v>56</v>
      </c>
      <c r="N3722" s="2" t="s">
        <v>18</v>
      </c>
      <c r="O3722" s="2" t="s">
        <v>19</v>
      </c>
      <c r="P3722" s="2">
        <v>250000</v>
      </c>
      <c r="Q3722" s="2">
        <v>7.2</v>
      </c>
      <c r="R3722" s="2" t="s">
        <v>6357</v>
      </c>
      <c r="S3722" s="2"/>
      <c r="AC3722" s="2"/>
      <c r="AD3722" t="str">
        <f>IFERROR(__xludf.DUMMYFUNCTION("""COMPUTED_VALUE"""),"Chocolate: Deep Dark Secrets ")</f>
        <v>Chocolate: Deep Dark Secrets </v>
      </c>
      <c r="AE3722">
        <f t="shared" si="87"/>
        <v>96622</v>
      </c>
    </row>
    <row r="3723" customHeight="1" spans="1:31">
      <c r="A3723" s="2" t="s">
        <v>4163</v>
      </c>
      <c r="B3723" s="2">
        <v>94</v>
      </c>
      <c r="C3723" s="2">
        <v>1977544</v>
      </c>
      <c r="D3723" s="2" t="s">
        <v>521</v>
      </c>
      <c r="E3723" s="2" t="s">
        <v>40</v>
      </c>
      <c r="N3723" s="2" t="s">
        <v>18</v>
      </c>
      <c r="O3723" s="2" t="s">
        <v>19</v>
      </c>
      <c r="P3723" s="2">
        <v>250000</v>
      </c>
      <c r="Q3723" s="2">
        <v>6.5</v>
      </c>
      <c r="R3723" s="2" t="s">
        <v>6358</v>
      </c>
      <c r="S3723" s="2"/>
      <c r="AC3723" s="2"/>
      <c r="AD3723" t="str">
        <f>IFERROR(__xludf.DUMMYFUNCTION("""COMPUTED_VALUE"""),"The House of the Devil ")</f>
        <v>The House of the Devil </v>
      </c>
      <c r="AE3723">
        <f t="shared" si="87"/>
        <v>48840</v>
      </c>
    </row>
    <row r="3724" customHeight="1" spans="1:31">
      <c r="A3724" s="2" t="s">
        <v>1936</v>
      </c>
      <c r="B3724" s="2">
        <v>96</v>
      </c>
      <c r="C3724" s="2">
        <v>1050600</v>
      </c>
      <c r="D3724" s="2" t="s">
        <v>975</v>
      </c>
      <c r="E3724" s="2" t="s">
        <v>40</v>
      </c>
      <c r="N3724" s="2" t="s">
        <v>18</v>
      </c>
      <c r="O3724" s="2" t="s">
        <v>19</v>
      </c>
      <c r="P3724" s="2">
        <v>250000</v>
      </c>
      <c r="Q3724" s="2">
        <v>6.6</v>
      </c>
      <c r="R3724" s="2" t="s">
        <v>6359</v>
      </c>
      <c r="S3724" s="2"/>
      <c r="AC3724" s="2"/>
      <c r="AD3724" t="str">
        <f>IFERROR(__xludf.DUMMYFUNCTION("""COMPUTED_VALUE"""),"The Perfect Host ")</f>
        <v>The Perfect Host </v>
      </c>
      <c r="AE3724">
        <f t="shared" si="87"/>
        <v>100564</v>
      </c>
    </row>
    <row r="3725" customHeight="1" spans="1:31">
      <c r="A3725" s="2" t="s">
        <v>4166</v>
      </c>
      <c r="B3725" s="2">
        <v>100</v>
      </c>
      <c r="C3725" s="2">
        <v>902835</v>
      </c>
      <c r="D3725" s="2" t="s">
        <v>521</v>
      </c>
      <c r="E3725" s="2" t="s">
        <v>40</v>
      </c>
      <c r="N3725" s="2" t="s">
        <v>18</v>
      </c>
      <c r="O3725" s="2" t="s">
        <v>19</v>
      </c>
      <c r="P3725" s="2">
        <v>250000</v>
      </c>
      <c r="Q3725" s="2">
        <v>6.7</v>
      </c>
      <c r="R3725" s="2" t="s">
        <v>6360</v>
      </c>
      <c r="S3725" s="2"/>
      <c r="AC3725" s="2"/>
      <c r="AD3725" t="str">
        <f>IFERROR(__xludf.DUMMYFUNCTION("""COMPUTED_VALUE"""),"Safe Men ")</f>
        <v>Safe Men </v>
      </c>
      <c r="AE3725">
        <f t="shared" si="87"/>
        <v>48337</v>
      </c>
    </row>
    <row r="3726" customHeight="1" spans="1:31">
      <c r="A3726" s="2" t="s">
        <v>1883</v>
      </c>
      <c r="B3726" s="2">
        <v>90</v>
      </c>
      <c r="C3726" s="2">
        <v>489220</v>
      </c>
      <c r="D3726" s="2" t="s">
        <v>2069</v>
      </c>
      <c r="E3726" s="2" t="s">
        <v>28</v>
      </c>
      <c r="N3726" s="2" t="s">
        <v>18</v>
      </c>
      <c r="O3726" s="2" t="s">
        <v>121</v>
      </c>
      <c r="P3726" s="2">
        <v>365000</v>
      </c>
      <c r="Q3726" s="2">
        <v>7.3</v>
      </c>
      <c r="R3726" s="2" t="s">
        <v>6361</v>
      </c>
      <c r="S3726" s="2"/>
      <c r="AC3726" s="2"/>
      <c r="AD3726" t="str">
        <f>IFERROR(__xludf.DUMMYFUNCTION("""COMPUTED_VALUE"""),"The Specials ")</f>
        <v>The Specials </v>
      </c>
      <c r="AE3726">
        <f t="shared" si="87"/>
        <v>21122</v>
      </c>
    </row>
    <row r="3727" customHeight="1" spans="1:31">
      <c r="A3727" s="2" t="s">
        <v>4168</v>
      </c>
      <c r="B3727" s="2">
        <v>76</v>
      </c>
      <c r="C3727" s="2">
        <v>212285</v>
      </c>
      <c r="D3727" s="2" t="s">
        <v>607</v>
      </c>
      <c r="E3727" s="2" t="s">
        <v>40</v>
      </c>
      <c r="N3727" s="2" t="s">
        <v>18</v>
      </c>
      <c r="O3727" s="2" t="s">
        <v>159</v>
      </c>
      <c r="P3727" s="2">
        <v>250000</v>
      </c>
      <c r="Q3727" s="2">
        <v>6.4</v>
      </c>
      <c r="R3727" s="2" t="s">
        <v>6362</v>
      </c>
      <c r="S3727" s="2"/>
      <c r="AC3727" s="2"/>
      <c r="AD3727" t="str">
        <f>IFERROR(__xludf.DUMMYFUNCTION("""COMPUTED_VALUE"""),"Alone with Her ")</f>
        <v>Alone with Her </v>
      </c>
      <c r="AE3727">
        <f t="shared" si="87"/>
        <v>12914</v>
      </c>
    </row>
    <row r="3728" customHeight="1" spans="1:31">
      <c r="A3728" s="2" t="s">
        <v>4170</v>
      </c>
      <c r="B3728" s="2">
        <v>75</v>
      </c>
      <c r="C3728" s="2">
        <v>203134</v>
      </c>
      <c r="D3728" s="2" t="s">
        <v>6363</v>
      </c>
      <c r="E3728" s="2" t="s">
        <v>35</v>
      </c>
      <c r="N3728" s="2" t="s">
        <v>18</v>
      </c>
      <c r="O3728" s="2" t="s">
        <v>19</v>
      </c>
      <c r="P3728" s="2">
        <v>250000</v>
      </c>
      <c r="Q3728" s="2">
        <v>7</v>
      </c>
      <c r="R3728" s="2" t="s">
        <v>6364</v>
      </c>
      <c r="S3728" s="2"/>
      <c r="AC3728" s="2"/>
      <c r="AD3728" t="str">
        <f>IFERROR(__xludf.DUMMYFUNCTION("""COMPUTED_VALUE"""),"Creative Control ")</f>
        <v>Creative Control </v>
      </c>
      <c r="AE3728">
        <f t="shared" si="87"/>
        <v>9940</v>
      </c>
    </row>
    <row r="3729" customHeight="1" spans="1:31">
      <c r="A3729" s="2" t="s">
        <v>4081</v>
      </c>
      <c r="B3729" s="2">
        <v>78</v>
      </c>
      <c r="C3729" s="2">
        <v>191309</v>
      </c>
      <c r="D3729" s="2" t="s">
        <v>712</v>
      </c>
      <c r="E3729" s="2" t="s">
        <v>30</v>
      </c>
      <c r="N3729" s="2" t="s">
        <v>18</v>
      </c>
      <c r="O3729" s="2" t="s">
        <v>19</v>
      </c>
      <c r="P3729" s="2">
        <v>150000</v>
      </c>
      <c r="Q3729" s="2">
        <v>5.5</v>
      </c>
      <c r="R3729" s="2" t="s">
        <v>6365</v>
      </c>
      <c r="S3729" s="2"/>
      <c r="AC3729" s="2"/>
      <c r="AD3729" t="str">
        <f>IFERROR(__xludf.DUMMYFUNCTION("""COMPUTED_VALUE"""),"Special ")</f>
        <v>Special </v>
      </c>
      <c r="AE3729">
        <f t="shared" si="87"/>
        <v>62383</v>
      </c>
    </row>
    <row r="3730" customHeight="1" spans="1:31">
      <c r="A3730" s="2" t="s">
        <v>4172</v>
      </c>
      <c r="B3730" s="2">
        <v>90</v>
      </c>
      <c r="C3730" s="2">
        <v>3388210</v>
      </c>
      <c r="D3730" s="2" t="s">
        <v>103</v>
      </c>
      <c r="E3730" s="2" t="s">
        <v>30</v>
      </c>
      <c r="N3730" s="2" t="s">
        <v>18</v>
      </c>
      <c r="O3730" s="2" t="s">
        <v>19</v>
      </c>
      <c r="P3730" s="2">
        <v>250000</v>
      </c>
      <c r="Q3730" s="2">
        <v>6.7</v>
      </c>
      <c r="R3730" s="2" t="s">
        <v>6366</v>
      </c>
      <c r="S3730" s="2"/>
      <c r="AC3730" s="2"/>
      <c r="AD3730" t="str">
        <f>IFERROR(__xludf.DUMMYFUNCTION("""COMPUTED_VALUE"""),"In Her Line of Fire ")</f>
        <v>In Her Line of Fire </v>
      </c>
      <c r="AE3730">
        <f t="shared" si="87"/>
        <v>6306</v>
      </c>
    </row>
    <row r="3731" customHeight="1" spans="1:31">
      <c r="A3731" s="2" t="s">
        <v>3554</v>
      </c>
      <c r="B3731" s="2">
        <v>92</v>
      </c>
      <c r="C3731" s="2">
        <v>177840</v>
      </c>
      <c r="D3731" s="2" t="s">
        <v>3198</v>
      </c>
      <c r="E3731" s="2" t="s">
        <v>40</v>
      </c>
      <c r="N3731" s="2" t="s">
        <v>18</v>
      </c>
      <c r="O3731" s="2" t="s">
        <v>31</v>
      </c>
      <c r="P3731" s="2">
        <v>250000</v>
      </c>
      <c r="Q3731" s="2">
        <v>6.1</v>
      </c>
      <c r="R3731" s="2" t="s">
        <v>6367</v>
      </c>
      <c r="S3731" s="2"/>
      <c r="AC3731" s="2"/>
      <c r="AD3731" t="str">
        <f>IFERROR(__xludf.DUMMYFUNCTION("""COMPUTED_VALUE"""),"The Jimmy Show ")</f>
        <v>The Jimmy Show </v>
      </c>
      <c r="AE3731">
        <f t="shared" si="87"/>
        <v>633</v>
      </c>
    </row>
    <row r="3732" customHeight="1" spans="1:31">
      <c r="A3732" s="2" t="s">
        <v>3266</v>
      </c>
      <c r="B3732" s="2">
        <v>99</v>
      </c>
      <c r="C3732" s="2">
        <v>49494</v>
      </c>
      <c r="D3732" s="2" t="s">
        <v>1655</v>
      </c>
      <c r="E3732" s="2" t="s">
        <v>30</v>
      </c>
      <c r="N3732" s="2" t="s">
        <v>18</v>
      </c>
      <c r="O3732" s="2" t="s">
        <v>19</v>
      </c>
      <c r="P3732" s="2">
        <v>250000</v>
      </c>
      <c r="Q3732" s="2">
        <v>3.9</v>
      </c>
      <c r="R3732" s="2" t="s">
        <v>6368</v>
      </c>
      <c r="S3732" s="2"/>
      <c r="AC3732" s="2"/>
      <c r="AD3732" t="str">
        <f>IFERROR(__xludf.DUMMYFUNCTION("""COMPUTED_VALUE"""),"On the Waterfront ")</f>
        <v>On the Waterfront </v>
      </c>
      <c r="AE3732">
        <f t="shared" si="87"/>
        <v>607</v>
      </c>
    </row>
    <row r="3733" customHeight="1" spans="1:31">
      <c r="A3733" s="2" t="s">
        <v>4174</v>
      </c>
      <c r="B3733" s="2">
        <v>81</v>
      </c>
      <c r="C3733" s="2">
        <v>18195</v>
      </c>
      <c r="D3733" s="2" t="s">
        <v>15</v>
      </c>
      <c r="E3733" s="2" t="s">
        <v>15</v>
      </c>
      <c r="N3733" s="2" t="s">
        <v>18</v>
      </c>
      <c r="O3733" s="2" t="s">
        <v>19</v>
      </c>
      <c r="P3733" s="2">
        <v>250000</v>
      </c>
      <c r="Q3733" s="2">
        <v>6.3</v>
      </c>
      <c r="R3733" s="2" t="s">
        <v>6369</v>
      </c>
      <c r="S3733" s="2"/>
      <c r="AC3733" s="2"/>
      <c r="AD3733" t="str">
        <f>IFERROR(__xludf.DUMMYFUNCTION("""COMPUTED_VALUE"""),"L!fe Happens ")</f>
        <v>L!fe Happens </v>
      </c>
      <c r="AE3733">
        <f t="shared" si="87"/>
        <v>9599892</v>
      </c>
    </row>
    <row r="3734" customHeight="1" spans="1:31">
      <c r="A3734" s="2" t="s">
        <v>4176</v>
      </c>
      <c r="B3734" s="2">
        <v>86</v>
      </c>
      <c r="C3734" s="2">
        <v>111300</v>
      </c>
      <c r="D3734" s="2" t="s">
        <v>65</v>
      </c>
      <c r="E3734" s="2" t="s">
        <v>65</v>
      </c>
      <c r="N3734" s="2" t="s">
        <v>18</v>
      </c>
      <c r="O3734" s="2" t="s">
        <v>19</v>
      </c>
      <c r="P3734" s="2">
        <v>225000</v>
      </c>
      <c r="Q3734" s="2">
        <v>7.5</v>
      </c>
      <c r="R3734" s="2" t="s">
        <v>6370</v>
      </c>
      <c r="S3734" s="2"/>
      <c r="AC3734" s="2"/>
      <c r="AD3734" t="str">
        <f>IFERROR(__xludf.DUMMYFUNCTION("""COMPUTED_VALUE"""),"4 Months, 3 Weeks and 2 Days ")</f>
        <v>4 Months, 3 Weeks and 2 Days </v>
      </c>
      <c r="AE3734">
        <f t="shared" si="87"/>
        <v>20086</v>
      </c>
    </row>
    <row r="3735" customHeight="1" spans="1:31">
      <c r="A3735" s="2" t="s">
        <v>4178</v>
      </c>
      <c r="B3735" s="2">
        <v>106</v>
      </c>
      <c r="C3735" s="2">
        <v>1027119</v>
      </c>
      <c r="D3735" s="2" t="s">
        <v>30</v>
      </c>
      <c r="E3735" s="2" t="s">
        <v>30</v>
      </c>
      <c r="N3735" s="2" t="s">
        <v>18</v>
      </c>
      <c r="O3735" s="2" t="s">
        <v>19</v>
      </c>
      <c r="P3735" s="2">
        <v>225000</v>
      </c>
      <c r="Q3735" s="2">
        <v>7</v>
      </c>
      <c r="R3735" s="2" t="s">
        <v>6371</v>
      </c>
      <c r="S3735" s="2"/>
      <c r="AC3735" s="2"/>
      <c r="AD3735" t="str">
        <f>IFERROR(__xludf.DUMMYFUNCTION("""COMPUTED_VALUE"""),"Hard Candy ")</f>
        <v>Hard Candy </v>
      </c>
      <c r="AE3735">
        <f t="shared" si="87"/>
        <v>1185670</v>
      </c>
    </row>
    <row r="3736" customHeight="1" spans="1:31">
      <c r="A3736" s="2" t="s">
        <v>4180</v>
      </c>
      <c r="B3736" s="2">
        <v>80</v>
      </c>
      <c r="C3736" s="2">
        <v>5000000</v>
      </c>
      <c r="D3736" s="2" t="s">
        <v>6372</v>
      </c>
      <c r="E3736" s="2" t="s">
        <v>13</v>
      </c>
      <c r="N3736" s="2" t="s">
        <v>18</v>
      </c>
      <c r="O3736" s="2" t="s">
        <v>19</v>
      </c>
      <c r="P3736" s="2">
        <v>210000</v>
      </c>
      <c r="Q3736" s="2">
        <v>6.7</v>
      </c>
      <c r="R3736" s="2" t="s">
        <v>6373</v>
      </c>
      <c r="S3736" s="2"/>
      <c r="AC3736" s="2"/>
      <c r="AD3736" t="str">
        <f>IFERROR(__xludf.DUMMYFUNCTION("""COMPUTED_VALUE"""),"The Quiet ")</f>
        <v>The Quiet </v>
      </c>
      <c r="AE3736">
        <f t="shared" si="87"/>
        <v>1007858</v>
      </c>
    </row>
    <row r="3737" customHeight="1" spans="1:31">
      <c r="A3737" s="2" t="s">
        <v>216</v>
      </c>
      <c r="B3737" s="2">
        <v>96</v>
      </c>
      <c r="C3737" s="2">
        <v>4505922</v>
      </c>
      <c r="D3737" s="2" t="s">
        <v>975</v>
      </c>
      <c r="E3737" s="2" t="s">
        <v>40</v>
      </c>
      <c r="N3737" s="2" t="s">
        <v>18</v>
      </c>
      <c r="O3737" s="2" t="s">
        <v>19</v>
      </c>
      <c r="P3737" s="2">
        <v>200000</v>
      </c>
      <c r="Q3737" s="2">
        <v>7.4</v>
      </c>
      <c r="R3737" s="2" t="s">
        <v>6374</v>
      </c>
      <c r="S3737" s="2"/>
      <c r="AC3737" s="2"/>
      <c r="AD3737" t="str">
        <f>IFERROR(__xludf.DUMMYFUNCTION("""COMPUTED_VALUE"""),"Fruitvale Station ")</f>
        <v>Fruitvale Station </v>
      </c>
      <c r="AE3737">
        <f t="shared" si="87"/>
        <v>381095</v>
      </c>
    </row>
    <row r="3738" customHeight="1" spans="1:31">
      <c r="A3738" s="2" t="s">
        <v>1903</v>
      </c>
      <c r="B3738" s="2">
        <v>99</v>
      </c>
      <c r="C3738" s="2">
        <v>3500000</v>
      </c>
      <c r="D3738" s="2" t="s">
        <v>4225</v>
      </c>
      <c r="E3738" s="2" t="s">
        <v>12</v>
      </c>
      <c r="N3738" s="2" t="s">
        <v>4119</v>
      </c>
      <c r="O3738" s="2" t="s">
        <v>3655</v>
      </c>
      <c r="P3738" s="2">
        <v>200000</v>
      </c>
      <c r="Q3738" s="2">
        <v>8</v>
      </c>
      <c r="R3738" s="2" t="s">
        <v>6375</v>
      </c>
      <c r="S3738" s="2"/>
      <c r="AC3738" s="2"/>
      <c r="AD3738" t="str">
        <f>IFERROR(__xludf.DUMMYFUNCTION("""COMPUTED_VALUE"""),"The Brass Teapot ")</f>
        <v>The Brass Teapot </v>
      </c>
      <c r="AE3738">
        <f t="shared" si="87"/>
        <v>16097757</v>
      </c>
    </row>
    <row r="3739" customHeight="1" spans="1:31">
      <c r="A3739" s="2" t="s">
        <v>4182</v>
      </c>
      <c r="B3739" s="2">
        <v>85</v>
      </c>
      <c r="C3739" s="2">
        <v>381225</v>
      </c>
      <c r="D3739" s="2" t="s">
        <v>65</v>
      </c>
      <c r="E3739" s="2" t="s">
        <v>65</v>
      </c>
      <c r="N3739" s="2" t="s">
        <v>18</v>
      </c>
      <c r="O3739" s="2" t="s">
        <v>19</v>
      </c>
      <c r="P3739" s="2">
        <v>200000</v>
      </c>
      <c r="Q3739" s="2">
        <v>7.2</v>
      </c>
      <c r="R3739" s="2" t="s">
        <v>6376</v>
      </c>
      <c r="S3739" s="2"/>
      <c r="AC3739" s="2"/>
      <c r="AD3739" t="str">
        <f>IFERROR(__xludf.DUMMYFUNCTION("""COMPUTED_VALUE"""),"The Hammer ")</f>
        <v>The Hammer </v>
      </c>
      <c r="AE3739">
        <f t="shared" si="87"/>
        <v>6542</v>
      </c>
    </row>
    <row r="3740" customHeight="1" spans="1:31">
      <c r="A3740" s="2" t="s">
        <v>4184</v>
      </c>
      <c r="B3740" s="2">
        <v>101</v>
      </c>
      <c r="C3740" s="2">
        <v>2428241</v>
      </c>
      <c r="D3740" s="2" t="s">
        <v>30</v>
      </c>
      <c r="E3740" s="2" t="s">
        <v>30</v>
      </c>
      <c r="N3740" s="2" t="s">
        <v>18</v>
      </c>
      <c r="O3740" s="2" t="s">
        <v>19</v>
      </c>
      <c r="P3740" s="2">
        <v>200000</v>
      </c>
      <c r="Q3740" s="2">
        <v>6.4</v>
      </c>
      <c r="R3740" s="2" t="s">
        <v>6377</v>
      </c>
      <c r="S3740" s="2"/>
      <c r="AC3740" s="2"/>
      <c r="AD3740" t="str">
        <f>IFERROR(__xludf.DUMMYFUNCTION("""COMPUTED_VALUE"""),"Latter Days ")</f>
        <v>Latter Days </v>
      </c>
      <c r="AE3740">
        <f t="shared" si="87"/>
        <v>442550</v>
      </c>
    </row>
    <row r="3741" customHeight="1" spans="1:31">
      <c r="A3741" s="2" t="s">
        <v>2221</v>
      </c>
      <c r="B3741" s="2">
        <v>97</v>
      </c>
      <c r="C3741" s="2">
        <v>78030</v>
      </c>
      <c r="D3741" s="2" t="s">
        <v>30</v>
      </c>
      <c r="E3741" s="2" t="s">
        <v>30</v>
      </c>
      <c r="N3741" s="2" t="s">
        <v>18</v>
      </c>
      <c r="O3741" s="2" t="s">
        <v>19</v>
      </c>
      <c r="P3741" s="2">
        <v>200000</v>
      </c>
      <c r="Q3741" s="2">
        <v>6.5</v>
      </c>
      <c r="R3741" s="2" t="s">
        <v>6378</v>
      </c>
      <c r="S3741" s="2"/>
      <c r="AC3741" s="2"/>
      <c r="AD3741" t="str">
        <f>IFERROR(__xludf.DUMMYFUNCTION("""COMPUTED_VALUE"""),"For a Good Time, Call... ")</f>
        <v>For a Good Time, Call... </v>
      </c>
      <c r="AE3741">
        <f t="shared" si="87"/>
        <v>819832</v>
      </c>
    </row>
    <row r="3742" customHeight="1" spans="1:31">
      <c r="A3742" s="2" t="s">
        <v>4186</v>
      </c>
      <c r="B3742" s="2">
        <v>103</v>
      </c>
      <c r="C3742" s="2">
        <v>174682</v>
      </c>
      <c r="D3742" s="2" t="s">
        <v>2565</v>
      </c>
      <c r="E3742" s="2" t="s">
        <v>30</v>
      </c>
      <c r="N3742" s="2" t="s">
        <v>18</v>
      </c>
      <c r="O3742" s="2" t="s">
        <v>19</v>
      </c>
      <c r="P3742" s="2">
        <v>200000</v>
      </c>
      <c r="Q3742" s="2">
        <v>6.9</v>
      </c>
      <c r="R3742" s="2" t="s">
        <v>6379</v>
      </c>
      <c r="S3742" s="2"/>
      <c r="AC3742" s="2"/>
      <c r="AD3742" t="str">
        <f>IFERROR(__xludf.DUMMYFUNCTION("""COMPUTED_VALUE"""),"Time Changer ")</f>
        <v>Time Changer </v>
      </c>
      <c r="AE3742">
        <f t="shared" si="87"/>
        <v>1243873</v>
      </c>
    </row>
    <row r="3743" customHeight="1" spans="1:31">
      <c r="A3743" s="2" t="s">
        <v>4188</v>
      </c>
      <c r="B3743" s="2">
        <v>86</v>
      </c>
      <c r="C3743" s="2">
        <v>215185</v>
      </c>
      <c r="D3743" s="2" t="s">
        <v>6274</v>
      </c>
      <c r="E3743" s="2" t="s">
        <v>65</v>
      </c>
      <c r="N3743" s="2" t="s">
        <v>18</v>
      </c>
      <c r="O3743" s="2" t="s">
        <v>19</v>
      </c>
      <c r="P3743" s="2">
        <v>200000</v>
      </c>
      <c r="Q3743" s="2">
        <v>7.5</v>
      </c>
      <c r="R3743" s="2" t="s">
        <v>6380</v>
      </c>
      <c r="S3743" s="2"/>
      <c r="AC3743" s="2"/>
      <c r="AD3743" t="str">
        <f>IFERROR(__xludf.DUMMYFUNCTION("""COMPUTED_VALUE"""),"A Separation ")</f>
        <v>A Separation </v>
      </c>
      <c r="AE3743">
        <f t="shared" si="87"/>
        <v>15183</v>
      </c>
    </row>
    <row r="3744" customHeight="1" spans="1:31">
      <c r="A3744" s="2" t="s">
        <v>4190</v>
      </c>
      <c r="B3744" s="2">
        <v>106</v>
      </c>
      <c r="C3744" s="2">
        <v>1111</v>
      </c>
      <c r="D3744" s="2" t="s">
        <v>6381</v>
      </c>
      <c r="E3744" s="2" t="s">
        <v>56</v>
      </c>
      <c r="N3744" s="2" t="s">
        <v>18</v>
      </c>
      <c r="O3744" s="2" t="s">
        <v>19</v>
      </c>
      <c r="P3744" s="2">
        <v>200000</v>
      </c>
      <c r="Q3744" s="2">
        <v>7.7</v>
      </c>
      <c r="R3744" s="2" t="s">
        <v>6382</v>
      </c>
      <c r="S3744" s="2"/>
      <c r="AC3744" s="2"/>
      <c r="AD3744" t="str">
        <f>IFERROR(__xludf.DUMMYFUNCTION("""COMPUTED_VALUE"""),"Welcome to the Dollhouse ")</f>
        <v>Welcome to the Dollhouse </v>
      </c>
      <c r="AE3744">
        <f t="shared" si="87"/>
        <v>7098369</v>
      </c>
    </row>
    <row r="3745" customHeight="1" spans="1:31">
      <c r="A3745" s="2" t="s">
        <v>4192</v>
      </c>
      <c r="B3745" s="2">
        <v>89</v>
      </c>
      <c r="C3745" s="2">
        <v>925402</v>
      </c>
      <c r="D3745" s="2" t="s">
        <v>2984</v>
      </c>
      <c r="E3745" s="2" t="s">
        <v>30</v>
      </c>
      <c r="N3745" s="2" t="s">
        <v>6248</v>
      </c>
      <c r="O3745" s="2" t="s">
        <v>4987</v>
      </c>
      <c r="P3745" s="2">
        <v>180000</v>
      </c>
      <c r="Q3745" s="2">
        <v>8.5</v>
      </c>
      <c r="R3745" s="2" t="s">
        <v>6383</v>
      </c>
      <c r="S3745" s="2"/>
      <c r="AC3745" s="2"/>
      <c r="AD3745" t="str">
        <f>IFERROR(__xludf.DUMMYFUNCTION("""COMPUTED_VALUE"""),"Ruby in Paradise ")</f>
        <v>Ruby in Paradise </v>
      </c>
      <c r="AE3745">
        <f t="shared" si="87"/>
        <v>4770912</v>
      </c>
    </row>
    <row r="3746" customHeight="1" spans="1:31">
      <c r="A3746" s="2" t="s">
        <v>4195</v>
      </c>
      <c r="B3746" s="2">
        <v>97</v>
      </c>
      <c r="C3746" s="2">
        <v>469947</v>
      </c>
      <c r="D3746" s="2" t="s">
        <v>103</v>
      </c>
      <c r="E3746" s="2" t="s">
        <v>30</v>
      </c>
      <c r="N3746" s="2" t="s">
        <v>18</v>
      </c>
      <c r="O3746" s="2" t="s">
        <v>31</v>
      </c>
      <c r="P3746" s="2">
        <v>120000</v>
      </c>
      <c r="Q3746" s="2">
        <v>7.7</v>
      </c>
      <c r="R3746" s="2" t="s">
        <v>6384</v>
      </c>
      <c r="S3746" s="2"/>
      <c r="AC3746" s="2"/>
      <c r="AD3746" t="str">
        <f>IFERROR(__xludf.DUMMYFUNCTION("""COMPUTED_VALUE"""),"Raising Victor Vargas ")</f>
        <v>Raising Victor Vargas </v>
      </c>
      <c r="AE3746">
        <f t="shared" si="87"/>
        <v>1001323</v>
      </c>
    </row>
    <row r="3747" customHeight="1" spans="1:31">
      <c r="A3747" s="2" t="s">
        <v>1259</v>
      </c>
      <c r="B3747" s="2">
        <v>88</v>
      </c>
      <c r="C3747" s="2">
        <v>7137502</v>
      </c>
      <c r="D3747" s="2" t="s">
        <v>607</v>
      </c>
      <c r="E3747" s="2" t="s">
        <v>40</v>
      </c>
      <c r="N3747" s="2" t="s">
        <v>18</v>
      </c>
      <c r="O3747" s="2" t="s">
        <v>19</v>
      </c>
      <c r="P3747" s="2">
        <v>175000</v>
      </c>
      <c r="Q3747" s="2">
        <v>6.5</v>
      </c>
      <c r="R3747" s="2" t="s">
        <v>6385</v>
      </c>
      <c r="S3747" s="2"/>
      <c r="AC3747" s="2"/>
      <c r="AD3747" t="str">
        <f>IFERROR(__xludf.DUMMYFUNCTION("""COMPUTED_VALUE"""),"Deterrence ")</f>
        <v>Deterrence </v>
      </c>
      <c r="AE3747">
        <f t="shared" si="87"/>
        <v>2073896</v>
      </c>
    </row>
    <row r="3748" customHeight="1" spans="1:31">
      <c r="A3748" s="2" t="s">
        <v>4197</v>
      </c>
      <c r="B3748" s="2">
        <v>92</v>
      </c>
      <c r="C3748" s="2">
        <v>1316074</v>
      </c>
      <c r="D3748" s="2" t="s">
        <v>4041</v>
      </c>
      <c r="E3748" s="2" t="s">
        <v>30</v>
      </c>
      <c r="N3748" s="2" t="s">
        <v>18</v>
      </c>
      <c r="O3748" s="2" t="s">
        <v>19</v>
      </c>
      <c r="P3748" s="2">
        <v>100000</v>
      </c>
      <c r="Q3748" s="2">
        <v>7</v>
      </c>
      <c r="R3748" s="2" t="s">
        <v>6386</v>
      </c>
      <c r="S3748" s="2"/>
      <c r="AC3748" s="2"/>
      <c r="AD3748" t="str">
        <f>IFERROR(__xludf.DUMMYFUNCTION("""COMPUTED_VALUE"""),"Not Cool ")</f>
        <v>Not Cool </v>
      </c>
      <c r="AE3748">
        <f t="shared" si="87"/>
        <v>144479</v>
      </c>
    </row>
    <row r="3749" customHeight="1" spans="1:31">
      <c r="A3749" s="2" t="s">
        <v>4199</v>
      </c>
      <c r="B3749" s="2">
        <v>97</v>
      </c>
      <c r="C3749" s="2">
        <v>15180000</v>
      </c>
      <c r="D3749" s="2" t="s">
        <v>805</v>
      </c>
      <c r="E3749" s="2" t="s">
        <v>56</v>
      </c>
      <c r="N3749" s="2" t="s">
        <v>18</v>
      </c>
      <c r="O3749" s="2" t="s">
        <v>19</v>
      </c>
      <c r="P3749" s="2">
        <v>500000</v>
      </c>
      <c r="Q3749" s="2">
        <v>5.5</v>
      </c>
      <c r="R3749" s="2" t="s">
        <v>6387</v>
      </c>
      <c r="S3749" s="2"/>
      <c r="AC3749" s="2"/>
      <c r="AD3749" t="str">
        <f>IFERROR(__xludf.DUMMYFUNCTION("""COMPUTED_VALUE"""),"Dead Snow ")</f>
        <v>Dead Snow </v>
      </c>
      <c r="AE3749">
        <f t="shared" si="87"/>
        <v>35595</v>
      </c>
    </row>
    <row r="3750" customHeight="1" spans="1:31">
      <c r="A3750" s="2" t="s">
        <v>1811</v>
      </c>
      <c r="B3750" s="2">
        <v>78</v>
      </c>
      <c r="C3750" s="2">
        <v>2882062</v>
      </c>
      <c r="D3750" s="2" t="s">
        <v>521</v>
      </c>
      <c r="E3750" s="2" t="s">
        <v>40</v>
      </c>
      <c r="N3750" s="2" t="s">
        <v>18</v>
      </c>
      <c r="O3750" s="2" t="s">
        <v>19</v>
      </c>
      <c r="P3750" s="2">
        <v>150000</v>
      </c>
      <c r="Q3750" s="2">
        <v>6.3</v>
      </c>
      <c r="R3750" s="2" t="s">
        <v>6388</v>
      </c>
      <c r="S3750" s="2"/>
      <c r="AC3750" s="2"/>
      <c r="AD3750" t="str">
        <f>IFERROR(__xludf.DUMMYFUNCTION("""COMPUTED_VALUE"""),"Saints and Soldiers ")</f>
        <v>Saints and Soldiers </v>
      </c>
      <c r="AE3750">
        <f t="shared" si="87"/>
        <v>41618</v>
      </c>
    </row>
    <row r="3751" customHeight="1" spans="1:31">
      <c r="A3751" s="2" t="s">
        <v>3190</v>
      </c>
      <c r="B3751" s="2">
        <v>85</v>
      </c>
      <c r="C3751" s="2">
        <v>9437933</v>
      </c>
      <c r="D3751" s="2" t="s">
        <v>3280</v>
      </c>
      <c r="E3751" s="2" t="s">
        <v>30</v>
      </c>
      <c r="N3751" s="2" t="s">
        <v>18</v>
      </c>
      <c r="O3751" s="2" t="s">
        <v>3349</v>
      </c>
      <c r="P3751" s="2">
        <v>180000</v>
      </c>
      <c r="Q3751" s="2">
        <v>7.9</v>
      </c>
      <c r="R3751" s="2" t="s">
        <v>6389</v>
      </c>
      <c r="S3751" s="2"/>
      <c r="AC3751" s="2"/>
      <c r="AD3751" t="str">
        <f>IFERROR(__xludf.DUMMYFUNCTION("""COMPUTED_VALUE"""),"American Graffiti ")</f>
        <v>American Graffiti </v>
      </c>
      <c r="AE3751">
        <f t="shared" si="87"/>
        <v>1310180</v>
      </c>
    </row>
    <row r="3752" customHeight="1" spans="1:31">
      <c r="A3752" s="2" t="s">
        <v>4201</v>
      </c>
      <c r="B3752" s="2">
        <v>88</v>
      </c>
      <c r="C3752" s="2">
        <v>110720</v>
      </c>
      <c r="D3752" s="2" t="s">
        <v>40</v>
      </c>
      <c r="E3752" s="2" t="s">
        <v>40</v>
      </c>
      <c r="N3752" s="2" t="s">
        <v>18</v>
      </c>
      <c r="O3752" s="2" t="s">
        <v>19</v>
      </c>
      <c r="P3752" s="2">
        <v>1200000</v>
      </c>
      <c r="Q3752" s="2">
        <v>7.3</v>
      </c>
      <c r="R3752" s="2" t="s">
        <v>6390</v>
      </c>
      <c r="S3752" s="2"/>
      <c r="AC3752" s="2"/>
      <c r="AD3752" t="str">
        <f>IFERROR(__xludf.DUMMYFUNCTION("""COMPUTED_VALUE"""),"Aqua Teen Hunger Force Colon Movie Film for Theaters ")</f>
        <v>Aqua Teen Hunger Force Colon Movie Film for Theaters </v>
      </c>
      <c r="AE3752">
        <f t="shared" si="87"/>
        <v>114999888</v>
      </c>
    </row>
    <row r="3753" customHeight="1" spans="1:31">
      <c r="A3753" s="2" t="s">
        <v>4204</v>
      </c>
      <c r="B3753" s="2">
        <v>93</v>
      </c>
      <c r="C3753" s="2">
        <v>155984</v>
      </c>
      <c r="D3753" s="2" t="s">
        <v>65</v>
      </c>
      <c r="E3753" s="2" t="s">
        <v>65</v>
      </c>
      <c r="N3753" s="2" t="s">
        <v>18</v>
      </c>
      <c r="O3753" s="2" t="s">
        <v>19</v>
      </c>
      <c r="P3753" s="2">
        <v>160000</v>
      </c>
      <c r="Q3753" s="2">
        <v>7.4</v>
      </c>
      <c r="R3753" s="2" t="s">
        <v>6391</v>
      </c>
      <c r="S3753" s="2"/>
      <c r="AC3753" s="2"/>
      <c r="AD3753" t="str">
        <f>IFERROR(__xludf.DUMMYFUNCTION("""COMPUTED_VALUE"""),"Safety Not Guaranteed ")</f>
        <v>Safety Not Guaranteed </v>
      </c>
      <c r="AE3753">
        <f t="shared" si="87"/>
        <v>5518832</v>
      </c>
    </row>
    <row r="3754" customHeight="1" spans="1:31">
      <c r="A3754" s="2" t="s">
        <v>4206</v>
      </c>
      <c r="B3754" s="2">
        <v>72</v>
      </c>
      <c r="C3754" s="2">
        <v>4914</v>
      </c>
      <c r="D3754" s="2" t="s">
        <v>6392</v>
      </c>
      <c r="E3754" s="2" t="s">
        <v>13</v>
      </c>
      <c r="N3754" s="2" t="s">
        <v>18</v>
      </c>
      <c r="O3754" s="2" t="s">
        <v>19</v>
      </c>
      <c r="P3754" s="2">
        <v>150000</v>
      </c>
      <c r="Q3754" s="2">
        <v>7</v>
      </c>
      <c r="R3754" s="2" t="s">
        <v>6393</v>
      </c>
      <c r="S3754" s="2"/>
      <c r="AC3754" s="2"/>
      <c r="AD3754" t="str">
        <f>IFERROR(__xludf.DUMMYFUNCTION("""COMPUTED_VALUE"""),"Kill List ")</f>
        <v>Kill List </v>
      </c>
      <c r="AE3754">
        <f t="shared" si="87"/>
        <v>4007706</v>
      </c>
    </row>
    <row r="3755" customHeight="1" spans="1:31">
      <c r="A3755" s="2" t="s">
        <v>4208</v>
      </c>
      <c r="B3755" s="2">
        <v>80</v>
      </c>
      <c r="C3755" s="2">
        <v>5858</v>
      </c>
      <c r="D3755" s="2" t="s">
        <v>65</v>
      </c>
      <c r="E3755" s="2" t="s">
        <v>65</v>
      </c>
      <c r="N3755" s="2" t="s">
        <v>18</v>
      </c>
      <c r="O3755" s="2" t="s">
        <v>19</v>
      </c>
      <c r="P3755" s="2">
        <v>150000</v>
      </c>
      <c r="Q3755" s="2">
        <v>7.1</v>
      </c>
      <c r="R3755" s="2" t="s">
        <v>6394</v>
      </c>
      <c r="S3755" s="2"/>
      <c r="AC3755" s="2"/>
      <c r="AD3755" t="str">
        <f>IFERROR(__xludf.DUMMYFUNCTION("""COMPUTED_VALUE"""),"The Innkeepers ")</f>
        <v>The Innkeepers </v>
      </c>
      <c r="AE3755">
        <f t="shared" si="87"/>
        <v>26202</v>
      </c>
    </row>
    <row r="3756" customHeight="1" spans="1:31">
      <c r="A3756" s="2" t="s">
        <v>3116</v>
      </c>
      <c r="B3756" s="2">
        <v>91</v>
      </c>
      <c r="C3756" s="2">
        <v>6706368</v>
      </c>
      <c r="D3756" s="2" t="s">
        <v>65</v>
      </c>
      <c r="E3756" s="2" t="s">
        <v>65</v>
      </c>
      <c r="N3756" s="2" t="s">
        <v>18</v>
      </c>
      <c r="O3756" s="2" t="s">
        <v>19</v>
      </c>
      <c r="P3756" s="2">
        <v>160000</v>
      </c>
      <c r="Q3756" s="2">
        <v>7.5</v>
      </c>
      <c r="R3756" s="2" t="s">
        <v>6395</v>
      </c>
      <c r="S3756" s="2"/>
      <c r="AC3756" s="2"/>
      <c r="AD3756" t="str">
        <f>IFERROR(__xludf.DUMMYFUNCTION("""COMPUTED_VALUE"""),"Interview with the Assassin ")</f>
        <v>Interview with the Assassin </v>
      </c>
      <c r="AE3756">
        <f t="shared" si="87"/>
        <v>77400</v>
      </c>
    </row>
    <row r="3757" customHeight="1" spans="1:31">
      <c r="A3757" s="2" t="s">
        <v>4210</v>
      </c>
      <c r="B3757" s="2">
        <v>90</v>
      </c>
      <c r="C3757" s="2">
        <v>1573712</v>
      </c>
      <c r="D3757" s="2" t="s">
        <v>975</v>
      </c>
      <c r="E3757" s="2" t="s">
        <v>40</v>
      </c>
      <c r="N3757" s="2" t="s">
        <v>18</v>
      </c>
      <c r="O3757" s="2" t="s">
        <v>19</v>
      </c>
      <c r="P3757" s="2">
        <v>125000</v>
      </c>
      <c r="Q3757" s="2">
        <v>6.7</v>
      </c>
      <c r="R3757" s="2" t="s">
        <v>6396</v>
      </c>
      <c r="S3757" s="2"/>
      <c r="AC3757" s="2"/>
      <c r="AD3757" t="str">
        <f>IFERROR(__xludf.DUMMYFUNCTION("""COMPUTED_VALUE"""),"Donkey Punch ")</f>
        <v>Donkey Punch </v>
      </c>
      <c r="AE3757">
        <f t="shared" si="87"/>
        <v>47241</v>
      </c>
    </row>
    <row r="3758" customHeight="1" spans="1:31">
      <c r="A3758" s="2" t="s">
        <v>3773</v>
      </c>
      <c r="B3758" s="2">
        <v>111</v>
      </c>
      <c r="C3758" s="2">
        <v>10174663</v>
      </c>
      <c r="D3758" s="2" t="s">
        <v>1527</v>
      </c>
      <c r="E3758" s="2" t="s">
        <v>30</v>
      </c>
      <c r="N3758" s="2" t="s">
        <v>18</v>
      </c>
      <c r="O3758" s="2" t="s">
        <v>19</v>
      </c>
      <c r="P3758" s="2">
        <v>100000</v>
      </c>
      <c r="Q3758" s="2">
        <v>6.7</v>
      </c>
      <c r="R3758" s="2" t="s">
        <v>6397</v>
      </c>
      <c r="S3758" s="2"/>
      <c r="AC3758" s="2"/>
      <c r="AD3758" t="str">
        <f>IFERROR(__xludf.DUMMYFUNCTION("""COMPUTED_VALUE"""),"Hoop Dreams ")</f>
        <v>Hoop Dreams </v>
      </c>
      <c r="AE3758">
        <f t="shared" si="87"/>
        <v>18279</v>
      </c>
    </row>
    <row r="3759" customHeight="1" spans="1:31">
      <c r="A3759" s="2" t="s">
        <v>4212</v>
      </c>
      <c r="B3759" s="2">
        <v>81</v>
      </c>
      <c r="C3759" s="2">
        <v>22757819</v>
      </c>
      <c r="D3759" s="2" t="s">
        <v>2781</v>
      </c>
      <c r="E3759" s="2" t="s">
        <v>72</v>
      </c>
      <c r="N3759" s="2" t="s">
        <v>18</v>
      </c>
      <c r="O3759" s="2" t="s">
        <v>19</v>
      </c>
      <c r="P3759" s="2">
        <v>100000</v>
      </c>
      <c r="Q3759" s="2">
        <v>4.2</v>
      </c>
      <c r="R3759" s="2" t="s">
        <v>6398</v>
      </c>
      <c r="S3759" s="2"/>
      <c r="AC3759" s="2"/>
      <c r="AD3759" t="str">
        <f>IFERROR(__xludf.DUMMYFUNCTION("""COMPUTED_VALUE"""),"L.I.E. ")</f>
        <v>L.I.E. </v>
      </c>
      <c r="AE3759">
        <f t="shared" si="87"/>
        <v>7830441</v>
      </c>
    </row>
    <row r="3760" customHeight="1" spans="1:31">
      <c r="A3760" s="2" t="s">
        <v>4214</v>
      </c>
      <c r="B3760" s="2">
        <v>81</v>
      </c>
      <c r="C3760" s="2">
        <v>5228617</v>
      </c>
      <c r="D3760" s="2" t="s">
        <v>40</v>
      </c>
      <c r="E3760" s="2" t="s">
        <v>40</v>
      </c>
      <c r="N3760" s="2" t="s">
        <v>18</v>
      </c>
      <c r="O3760" s="2" t="s">
        <v>19</v>
      </c>
      <c r="P3760" s="2">
        <v>100000</v>
      </c>
      <c r="Q3760" s="2">
        <v>7</v>
      </c>
      <c r="R3760" s="2" t="s">
        <v>6399</v>
      </c>
      <c r="S3760" s="2"/>
      <c r="AC3760" s="2"/>
      <c r="AD3760" t="str">
        <f>IFERROR(__xludf.DUMMYFUNCTION("""COMPUTED_VALUE"""),"Half Nelson ")</f>
        <v>Half Nelson </v>
      </c>
      <c r="AE3760">
        <f t="shared" si="87"/>
        <v>1141732</v>
      </c>
    </row>
    <row r="3761" customHeight="1" spans="1:31">
      <c r="A3761" s="2" t="s">
        <v>4216</v>
      </c>
      <c r="B3761" s="2">
        <v>90</v>
      </c>
      <c r="C3761" s="2">
        <v>110536</v>
      </c>
      <c r="D3761" s="2" t="s">
        <v>4797</v>
      </c>
      <c r="E3761" s="2" t="s">
        <v>40</v>
      </c>
      <c r="N3761" s="2" t="s">
        <v>18</v>
      </c>
      <c r="O3761" s="2" t="s">
        <v>19</v>
      </c>
      <c r="P3761" s="2">
        <v>40000</v>
      </c>
      <c r="Q3761" s="2">
        <v>7</v>
      </c>
      <c r="R3761" s="2" t="s">
        <v>6400</v>
      </c>
      <c r="S3761" s="2"/>
      <c r="AC3761" s="2"/>
      <c r="AD3761" t="str">
        <f>IFERROR(__xludf.DUMMYFUNCTION("""COMPUTED_VALUE"""),"Naturally Native ")</f>
        <v>Naturally Native </v>
      </c>
      <c r="AE3761">
        <f t="shared" si="87"/>
        <v>2694867</v>
      </c>
    </row>
    <row r="3762" customHeight="1" spans="1:31">
      <c r="A3762" s="2" t="s">
        <v>4218</v>
      </c>
      <c r="B3762" s="2">
        <v>88</v>
      </c>
      <c r="C3762" s="2">
        <v>59379</v>
      </c>
      <c r="D3762" s="2" t="s">
        <v>6401</v>
      </c>
      <c r="E3762" s="2" t="s">
        <v>40</v>
      </c>
      <c r="N3762" s="2" t="s">
        <v>18</v>
      </c>
      <c r="O3762" s="2" t="s">
        <v>19</v>
      </c>
      <c r="P3762" s="2">
        <v>200000</v>
      </c>
      <c r="Q3762" s="2">
        <v>6.8</v>
      </c>
      <c r="R3762" s="2" t="s">
        <v>6402</v>
      </c>
      <c r="S3762" s="2"/>
      <c r="AC3762" s="2"/>
      <c r="AD3762" t="str">
        <f>IFERROR(__xludf.DUMMYFUNCTION("""COMPUTED_VALUE"""),"Hav Plenty ")</f>
        <v>Hav Plenty </v>
      </c>
      <c r="AE3762">
        <f t="shared" si="87"/>
        <v>10401</v>
      </c>
    </row>
    <row r="3763" customHeight="1" spans="1:31">
      <c r="A3763" s="2" t="s">
        <v>450</v>
      </c>
      <c r="B3763" s="2">
        <v>84</v>
      </c>
      <c r="C3763" s="2">
        <v>3216970</v>
      </c>
      <c r="D3763" s="2" t="s">
        <v>712</v>
      </c>
      <c r="E3763" s="2" t="s">
        <v>30</v>
      </c>
      <c r="N3763" s="2" t="s">
        <v>18</v>
      </c>
      <c r="O3763" s="2" t="s">
        <v>19</v>
      </c>
      <c r="P3763" s="2">
        <v>60000</v>
      </c>
      <c r="Q3763" s="2">
        <v>7.5</v>
      </c>
      <c r="R3763" s="2" t="s">
        <v>6403</v>
      </c>
      <c r="S3763" s="2"/>
      <c r="AC3763" s="2"/>
      <c r="AD3763" t="str">
        <f>IFERROR(__xludf.DUMMYFUNCTION("""COMPUTED_VALUE"""),"Top Hat ")</f>
        <v>Top Hat </v>
      </c>
      <c r="AE3763">
        <f t="shared" si="87"/>
        <v>2301693</v>
      </c>
    </row>
    <row r="3764" customHeight="1" spans="1:31">
      <c r="A3764" s="2" t="s">
        <v>4220</v>
      </c>
      <c r="B3764" s="2">
        <v>87</v>
      </c>
      <c r="C3764" s="2">
        <v>536767</v>
      </c>
      <c r="D3764" s="2" t="s">
        <v>3018</v>
      </c>
      <c r="E3764" s="2" t="s">
        <v>59</v>
      </c>
      <c r="N3764" s="2" t="s">
        <v>18</v>
      </c>
      <c r="O3764" s="2" t="s">
        <v>19</v>
      </c>
      <c r="P3764" s="2">
        <v>60000</v>
      </c>
      <c r="Q3764" s="2">
        <v>5.3</v>
      </c>
      <c r="R3764" s="2" t="s">
        <v>6404</v>
      </c>
      <c r="S3764" s="2"/>
      <c r="AC3764" s="2"/>
      <c r="AD3764" t="str">
        <f>IFERROR(__xludf.DUMMYFUNCTION("""COMPUTED_VALUE"""),"The Blair Witch Project ")</f>
        <v>The Blair Witch Project </v>
      </c>
      <c r="AE3764">
        <f t="shared" si="87"/>
        <v>2999919</v>
      </c>
    </row>
    <row r="3765" customHeight="1" spans="1:31">
      <c r="A3765" s="2" t="s">
        <v>2996</v>
      </c>
      <c r="B3765" s="2">
        <v>100</v>
      </c>
      <c r="C3765" s="2">
        <v>11529368</v>
      </c>
      <c r="D3765" s="2" t="s">
        <v>6405</v>
      </c>
      <c r="E3765" s="2" t="s">
        <v>40</v>
      </c>
      <c r="N3765" s="2" t="s">
        <v>18</v>
      </c>
      <c r="O3765" s="2" t="s">
        <v>19</v>
      </c>
      <c r="P3765" s="2">
        <v>65000</v>
      </c>
      <c r="Q3765" s="2">
        <v>7.3</v>
      </c>
      <c r="R3765" s="2" t="s">
        <v>6406</v>
      </c>
      <c r="S3765" s="2"/>
      <c r="AC3765" s="2"/>
      <c r="AD3765" t="str">
        <f>IFERROR(__xludf.DUMMYFUNCTION("""COMPUTED_VALUE"""),"Woodstock ")</f>
        <v>Woodstock </v>
      </c>
      <c r="AE3765">
        <f t="shared" si="87"/>
        <v>140530033</v>
      </c>
    </row>
    <row r="3766" customHeight="1" spans="1:31">
      <c r="A3766" s="2" t="s">
        <v>4222</v>
      </c>
      <c r="B3766" s="2">
        <v>82</v>
      </c>
      <c r="C3766" s="2">
        <v>40557</v>
      </c>
      <c r="D3766" s="2" t="s">
        <v>40</v>
      </c>
      <c r="E3766" s="2" t="s">
        <v>40</v>
      </c>
      <c r="N3766" s="2" t="s">
        <v>18</v>
      </c>
      <c r="O3766" s="2" t="s">
        <v>19</v>
      </c>
      <c r="P3766" s="2">
        <v>60000</v>
      </c>
      <c r="Q3766" s="2">
        <v>5.6</v>
      </c>
      <c r="R3766" s="2" t="s">
        <v>6407</v>
      </c>
      <c r="S3766" s="2"/>
      <c r="AC3766" s="2"/>
      <c r="AD3766" t="str">
        <f>IFERROR(__xludf.DUMMYFUNCTION("""COMPUTED_VALUE"""),"Mercy Streets ")</f>
        <v>Mercy Streets </v>
      </c>
      <c r="AE3766">
        <f t="shared" si="87"/>
        <v>13299785</v>
      </c>
    </row>
    <row r="3767" customHeight="1" spans="1:31">
      <c r="A3767" s="2" t="s">
        <v>4224</v>
      </c>
      <c r="B3767" s="2">
        <v>82</v>
      </c>
      <c r="C3767" s="2">
        <v>30084</v>
      </c>
      <c r="D3767" s="2" t="s">
        <v>975</v>
      </c>
      <c r="E3767" s="2" t="s">
        <v>40</v>
      </c>
      <c r="N3767" s="2" t="s">
        <v>18</v>
      </c>
      <c r="O3767" s="2" t="s">
        <v>19</v>
      </c>
      <c r="P3767" s="2">
        <v>70000</v>
      </c>
      <c r="Q3767" s="2">
        <v>5.6</v>
      </c>
      <c r="R3767" s="2" t="s">
        <v>6408</v>
      </c>
      <c r="S3767" s="2"/>
      <c r="AC3767" s="2"/>
      <c r="AD3767" t="str">
        <f>IFERROR(__xludf.DUMMYFUNCTION("""COMPUTED_VALUE"""),"Arnolds Park ")</f>
        <v>Arnolds Park </v>
      </c>
      <c r="AE3767">
        <f t="shared" ref="AE3767:AE3830" si="88">C3651-B3651</f>
        <v>171882</v>
      </c>
    </row>
    <row r="3768" customHeight="1" spans="1:31">
      <c r="A3768" s="2" t="s">
        <v>3612</v>
      </c>
      <c r="B3768" s="2">
        <v>98</v>
      </c>
      <c r="C3768" s="2">
        <v>10246600</v>
      </c>
      <c r="D3768" s="2" t="s">
        <v>521</v>
      </c>
      <c r="E3768" s="2" t="s">
        <v>40</v>
      </c>
      <c r="N3768" s="2" t="s">
        <v>18</v>
      </c>
      <c r="O3768" s="2" t="s">
        <v>19</v>
      </c>
      <c r="P3768" s="2">
        <v>25000</v>
      </c>
      <c r="Q3768" s="2">
        <v>6.6</v>
      </c>
      <c r="R3768" s="2" t="s">
        <v>6409</v>
      </c>
      <c r="S3768" s="2"/>
      <c r="AC3768" s="2"/>
      <c r="AD3768" t="str">
        <f>IFERROR(__xludf.DUMMYFUNCTION("""COMPUTED_VALUE"""),"Broken Vessels ")</f>
        <v>Broken Vessels </v>
      </c>
      <c r="AE3768">
        <f t="shared" si="88"/>
        <v>23513</v>
      </c>
    </row>
    <row r="3769" customHeight="1" spans="1:31">
      <c r="A3769" s="2" t="s">
        <v>4227</v>
      </c>
      <c r="B3769" s="2">
        <v>98</v>
      </c>
      <c r="C3769" s="2">
        <v>389804</v>
      </c>
      <c r="D3769" s="2" t="s">
        <v>521</v>
      </c>
      <c r="E3769" s="2" t="s">
        <v>40</v>
      </c>
      <c r="N3769" s="2" t="s">
        <v>18</v>
      </c>
      <c r="O3769" s="2" t="s">
        <v>19</v>
      </c>
      <c r="P3769" s="2">
        <v>65000</v>
      </c>
      <c r="Q3769" s="2">
        <v>6.3</v>
      </c>
      <c r="R3769" s="2" t="s">
        <v>6410</v>
      </c>
      <c r="S3769" s="2"/>
      <c r="AC3769" s="2"/>
      <c r="AD3769" t="str">
        <f>IFERROR(__xludf.DUMMYFUNCTION("""COMPUTED_VALUE"""),"A Hard Day's Night ")</f>
        <v>A Hard Day's Night </v>
      </c>
      <c r="AE3769">
        <f t="shared" si="88"/>
        <v>13403</v>
      </c>
    </row>
    <row r="3770" customHeight="1" spans="1:31">
      <c r="A3770" s="2" t="s">
        <v>1344</v>
      </c>
      <c r="B3770" s="2">
        <v>90</v>
      </c>
      <c r="C3770" s="2">
        <v>241816</v>
      </c>
      <c r="D3770" s="2" t="s">
        <v>30</v>
      </c>
      <c r="E3770" s="2" t="s">
        <v>30</v>
      </c>
      <c r="N3770" s="2" t="s">
        <v>18</v>
      </c>
      <c r="O3770" s="2" t="s">
        <v>19</v>
      </c>
      <c r="P3770" s="2">
        <v>42000</v>
      </c>
      <c r="Q3770" s="2">
        <v>7.5</v>
      </c>
      <c r="R3770" s="2" t="s">
        <v>6411</v>
      </c>
      <c r="S3770" s="2"/>
      <c r="AC3770" s="2"/>
      <c r="AD3770" t="str">
        <f>IFERROR(__xludf.DUMMYFUNCTION("""COMPUTED_VALUE"""),"The Harvest/La Cosecha ")</f>
        <v>The Harvest/La Cosecha </v>
      </c>
      <c r="AE3770">
        <f t="shared" si="88"/>
        <v>514918</v>
      </c>
    </row>
    <row r="3771" customHeight="1" spans="1:31">
      <c r="A3771" s="2" t="s">
        <v>4229</v>
      </c>
      <c r="B3771" s="2">
        <v>90</v>
      </c>
      <c r="C3771" s="2">
        <v>277233</v>
      </c>
      <c r="D3771" s="2" t="s">
        <v>607</v>
      </c>
      <c r="E3771" s="2" t="s">
        <v>40</v>
      </c>
      <c r="N3771" s="2" t="s">
        <v>18</v>
      </c>
      <c r="O3771" s="2" t="s">
        <v>19</v>
      </c>
      <c r="P3771" s="2">
        <v>40000</v>
      </c>
      <c r="Q3771" s="2">
        <v>7.6</v>
      </c>
      <c r="R3771" s="2" t="s">
        <v>6412</v>
      </c>
      <c r="S3771" s="2"/>
      <c r="AC3771" s="2"/>
      <c r="AD3771" t="str">
        <f>IFERROR(__xludf.DUMMYFUNCTION("""COMPUTED_VALUE"""),"Fireproof ")</f>
        <v>Fireproof </v>
      </c>
      <c r="AE3771">
        <f t="shared" si="88"/>
        <v>2165</v>
      </c>
    </row>
    <row r="3772" customHeight="1" spans="1:31">
      <c r="A3772" s="2" t="s">
        <v>4231</v>
      </c>
      <c r="B3772" s="2">
        <v>78</v>
      </c>
      <c r="C3772" s="2">
        <v>243768</v>
      </c>
      <c r="D3772" s="2" t="s">
        <v>71</v>
      </c>
      <c r="E3772" s="2" t="s">
        <v>71</v>
      </c>
      <c r="N3772" s="2" t="s">
        <v>18</v>
      </c>
      <c r="O3772" s="2" t="s">
        <v>19</v>
      </c>
      <c r="P3772" s="2">
        <v>30000</v>
      </c>
      <c r="Q3772" s="2">
        <v>4.1</v>
      </c>
      <c r="R3772" s="2" t="s">
        <v>6413</v>
      </c>
      <c r="S3772" s="2"/>
      <c r="AC3772" s="2"/>
      <c r="AD3772" t="str">
        <f>IFERROR(__xludf.DUMMYFUNCTION("""COMPUTED_VALUE"""),"Benji ")</f>
        <v>Benji </v>
      </c>
      <c r="AE3772">
        <f t="shared" si="88"/>
        <v>33451357</v>
      </c>
    </row>
    <row r="3773" customHeight="1" spans="1:31">
      <c r="A3773" s="2" t="s">
        <v>1632</v>
      </c>
      <c r="B3773" s="2">
        <v>102</v>
      </c>
      <c r="C3773" s="2">
        <v>3151130</v>
      </c>
      <c r="D3773" s="2" t="s">
        <v>40</v>
      </c>
      <c r="E3773" s="2" t="s">
        <v>40</v>
      </c>
      <c r="N3773" s="2" t="s">
        <v>18</v>
      </c>
      <c r="O3773" s="2" t="s">
        <v>19</v>
      </c>
      <c r="P3773" s="2">
        <v>230000</v>
      </c>
      <c r="Q3773" s="2">
        <v>7.8</v>
      </c>
      <c r="R3773" s="2" t="s">
        <v>6414</v>
      </c>
      <c r="S3773" s="2"/>
      <c r="AC3773" s="2"/>
      <c r="AD3773" t="str">
        <f>IFERROR(__xludf.DUMMYFUNCTION("""COMPUTED_VALUE"""),"Open Water ")</f>
        <v>Open Water </v>
      </c>
      <c r="AE3773">
        <f t="shared" si="88"/>
        <v>39552514</v>
      </c>
    </row>
    <row r="3774" customHeight="1" spans="1:31">
      <c r="A3774" s="2" t="s">
        <v>4233</v>
      </c>
      <c r="B3774" s="2">
        <v>65</v>
      </c>
      <c r="C3774" s="2">
        <v>8231</v>
      </c>
      <c r="D3774" s="2" t="s">
        <v>2191</v>
      </c>
      <c r="E3774" s="2" t="s">
        <v>30</v>
      </c>
      <c r="N3774" s="2" t="s">
        <v>18</v>
      </c>
      <c r="O3774" s="2" t="s">
        <v>19</v>
      </c>
      <c r="P3774" s="2">
        <v>27000</v>
      </c>
      <c r="Q3774" s="2">
        <v>6.7</v>
      </c>
      <c r="R3774" s="2" t="s">
        <v>6415</v>
      </c>
      <c r="S3774" s="2"/>
      <c r="AC3774" s="2"/>
      <c r="AD3774" t="str">
        <f>IFERROR(__xludf.DUMMYFUNCTION("""COMPUTED_VALUE"""),"Kingdom of the Spiders ")</f>
        <v>Kingdom of the Spiders </v>
      </c>
      <c r="AE3774">
        <f t="shared" si="88"/>
        <v>30500803</v>
      </c>
    </row>
    <row r="3775" customHeight="1" spans="1:31">
      <c r="A3775" s="2" t="s">
        <v>2116</v>
      </c>
      <c r="B3775" s="2">
        <v>97</v>
      </c>
      <c r="C3775" s="2">
        <v>2856622</v>
      </c>
      <c r="D3775" s="2" t="s">
        <v>975</v>
      </c>
      <c r="E3775" s="2" t="s">
        <v>40</v>
      </c>
      <c r="N3775" s="2" t="s">
        <v>18</v>
      </c>
      <c r="O3775" s="2" t="s">
        <v>121</v>
      </c>
      <c r="P3775" s="2">
        <v>25000</v>
      </c>
      <c r="Q3775" s="2">
        <v>7.3</v>
      </c>
      <c r="R3775" s="2" t="s">
        <v>6416</v>
      </c>
      <c r="S3775" s="2"/>
      <c r="AC3775" s="2"/>
      <c r="AD3775" t="str">
        <f>IFERROR(__xludf.DUMMYFUNCTION("""COMPUTED_VALUE"""),"The Station Agent ")</f>
        <v>The Station Agent </v>
      </c>
      <c r="AE3775">
        <f t="shared" si="88"/>
        <v>16999903</v>
      </c>
    </row>
    <row r="3776" customHeight="1" spans="1:31">
      <c r="A3776" s="2" t="s">
        <v>1971</v>
      </c>
      <c r="B3776" s="2">
        <v>100</v>
      </c>
      <c r="C3776" s="2">
        <v>1227508</v>
      </c>
      <c r="D3776" s="2" t="s">
        <v>975</v>
      </c>
      <c r="E3776" s="2" t="s">
        <v>40</v>
      </c>
      <c r="N3776" s="2" t="s">
        <v>18</v>
      </c>
      <c r="O3776" s="2" t="s">
        <v>19</v>
      </c>
      <c r="P3776" s="2">
        <v>23000</v>
      </c>
      <c r="Q3776" s="2">
        <v>7.1</v>
      </c>
      <c r="R3776" s="2" t="s">
        <v>6417</v>
      </c>
      <c r="S3776" s="2"/>
      <c r="AC3776" s="2"/>
      <c r="AD3776" t="str">
        <f>IFERROR(__xludf.DUMMYFUNCTION("""COMPUTED_VALUE"""),"To Save a Life ")</f>
        <v>To Save a Life </v>
      </c>
      <c r="AE3776">
        <f t="shared" si="88"/>
        <v>5739287</v>
      </c>
    </row>
    <row r="3777" customHeight="1" spans="1:31">
      <c r="A3777" s="2" t="s">
        <v>3034</v>
      </c>
      <c r="B3777" s="2">
        <v>85</v>
      </c>
      <c r="C3777" s="2">
        <v>192467</v>
      </c>
      <c r="D3777" s="2" t="s">
        <v>521</v>
      </c>
      <c r="E3777" s="2" t="s">
        <v>40</v>
      </c>
      <c r="N3777" s="2" t="s">
        <v>18</v>
      </c>
      <c r="O3777" s="2" t="s">
        <v>19</v>
      </c>
      <c r="P3777" s="2">
        <v>15000</v>
      </c>
      <c r="Q3777" s="2">
        <v>6.6</v>
      </c>
      <c r="R3777" s="2" t="s">
        <v>6418</v>
      </c>
      <c r="S3777" s="2"/>
      <c r="AC3777" s="2"/>
      <c r="AD3777" t="str">
        <f>IFERROR(__xludf.DUMMYFUNCTION("""COMPUTED_VALUE"""),"Beyond the Mat ")</f>
        <v>Beyond the Mat </v>
      </c>
      <c r="AE3777">
        <f t="shared" si="88"/>
        <v>3773743</v>
      </c>
    </row>
    <row r="3778" customHeight="1" spans="1:31">
      <c r="A3778" s="2" t="s">
        <v>4235</v>
      </c>
      <c r="B3778" s="2">
        <v>88</v>
      </c>
      <c r="C3778" s="2">
        <v>76382</v>
      </c>
      <c r="D3778" s="2" t="s">
        <v>17</v>
      </c>
      <c r="E3778" s="2" t="s">
        <v>17</v>
      </c>
      <c r="N3778" s="2" t="s">
        <v>18</v>
      </c>
      <c r="O3778" s="2" t="s">
        <v>19</v>
      </c>
      <c r="P3778" s="2">
        <v>15000</v>
      </c>
      <c r="Q3778" s="2">
        <v>6.2</v>
      </c>
      <c r="R3778" s="2" t="s">
        <v>6419</v>
      </c>
      <c r="S3778" s="2"/>
      <c r="AC3778" s="2"/>
      <c r="AD3778" t="str">
        <f>IFERROR(__xludf.DUMMYFUNCTION("""COMPUTED_VALUE"""),"The Singles Ward ")</f>
        <v>The Singles Ward </v>
      </c>
      <c r="AE3778">
        <f t="shared" si="88"/>
        <v>2047462</v>
      </c>
    </row>
    <row r="3779" customHeight="1" spans="1:31">
      <c r="A3779" s="2" t="s">
        <v>2770</v>
      </c>
      <c r="B3779" s="2">
        <v>108</v>
      </c>
      <c r="C3779" s="2">
        <v>180483</v>
      </c>
      <c r="D3779" s="2" t="s">
        <v>6420</v>
      </c>
      <c r="E3779" s="2" t="s">
        <v>40</v>
      </c>
      <c r="N3779" s="2" t="s">
        <v>18</v>
      </c>
      <c r="O3779" s="2" t="s">
        <v>19</v>
      </c>
      <c r="P3779" s="2">
        <v>10000</v>
      </c>
      <c r="Q3779" s="2">
        <v>6.1</v>
      </c>
      <c r="R3779" s="2" t="s">
        <v>6421</v>
      </c>
      <c r="S3779" s="2"/>
      <c r="AC3779" s="2"/>
      <c r="AD3779" t="str">
        <f>IFERROR(__xludf.DUMMYFUNCTION("""COMPUTED_VALUE"""),"Osama ")</f>
        <v>Osama </v>
      </c>
      <c r="AE3779">
        <f t="shared" si="88"/>
        <v>1250696</v>
      </c>
    </row>
    <row r="3780" customHeight="1" spans="1:31">
      <c r="A3780" s="2" t="s">
        <v>2780</v>
      </c>
      <c r="B3780" s="2">
        <v>110</v>
      </c>
      <c r="C3780" s="2">
        <v>136007</v>
      </c>
      <c r="D3780" s="2" t="s">
        <v>3280</v>
      </c>
      <c r="E3780" s="2" t="s">
        <v>30</v>
      </c>
      <c r="N3780" s="2" t="s">
        <v>1125</v>
      </c>
      <c r="O3780" s="2" t="s">
        <v>707</v>
      </c>
      <c r="P3780" s="2">
        <v>4500</v>
      </c>
      <c r="Q3780" s="2">
        <v>6.9</v>
      </c>
      <c r="R3780" s="2" t="s">
        <v>6422</v>
      </c>
      <c r="S3780" s="2"/>
      <c r="AC3780" s="2"/>
      <c r="AD3780" t="str">
        <f>IFERROR(__xludf.DUMMYFUNCTION("""COMPUTED_VALUE"""),"Sholem Aleichem: Laughing in the Darkness ")</f>
        <v>Sholem Aleichem: Laughing in the Darkness </v>
      </c>
      <c r="AE3780">
        <f t="shared" si="88"/>
        <v>1127248</v>
      </c>
    </row>
    <row r="3781" customHeight="1" spans="1:31">
      <c r="A3781" s="2" t="s">
        <v>4237</v>
      </c>
      <c r="B3781" s="2">
        <v>90</v>
      </c>
      <c r="C3781" s="2">
        <v>673780</v>
      </c>
      <c r="D3781" s="2" t="s">
        <v>30</v>
      </c>
      <c r="E3781" s="2" t="s">
        <v>30</v>
      </c>
      <c r="N3781" s="2" t="s">
        <v>6248</v>
      </c>
      <c r="O3781" s="2" t="s">
        <v>4987</v>
      </c>
      <c r="P3781" s="2">
        <v>10000</v>
      </c>
      <c r="Q3781" s="2">
        <v>7.5</v>
      </c>
      <c r="R3781" s="2" t="s">
        <v>6423</v>
      </c>
      <c r="S3781" s="2"/>
      <c r="AC3781" s="2"/>
      <c r="AD3781" t="str">
        <f>IFERROR(__xludf.DUMMYFUNCTION("""COMPUTED_VALUE"""),"Groove ")</f>
        <v>Groove </v>
      </c>
      <c r="AE3781">
        <f t="shared" si="88"/>
        <v>906573</v>
      </c>
    </row>
    <row r="3782" customHeight="1" spans="1:31">
      <c r="A3782" s="2" t="s">
        <v>4239</v>
      </c>
      <c r="B3782" s="2">
        <v>111</v>
      </c>
      <c r="C3782" s="2">
        <v>94596</v>
      </c>
      <c r="D3782" s="2" t="s">
        <v>3286</v>
      </c>
      <c r="E3782" s="2" t="s">
        <v>56</v>
      </c>
      <c r="N3782" s="2" t="s">
        <v>3256</v>
      </c>
      <c r="O3782" s="2" t="s">
        <v>1160</v>
      </c>
      <c r="P3782" s="2">
        <v>1000000</v>
      </c>
      <c r="Q3782" s="2">
        <v>7.4</v>
      </c>
      <c r="R3782" s="2" t="s">
        <v>6424</v>
      </c>
      <c r="S3782" s="2"/>
      <c r="AC3782" s="2"/>
      <c r="AD3782" t="str">
        <f>IFERROR(__xludf.DUMMYFUNCTION("""COMPUTED_VALUE"""),"The R.M. ")</f>
        <v>The R.M. </v>
      </c>
      <c r="AE3782">
        <f t="shared" si="88"/>
        <v>1114857</v>
      </c>
    </row>
    <row r="3783" customHeight="1" spans="1:31">
      <c r="A3783" s="2" t="s">
        <v>4241</v>
      </c>
      <c r="B3783" s="2">
        <v>77</v>
      </c>
      <c r="C3783" s="2">
        <v>424760</v>
      </c>
      <c r="D3783" s="2" t="s">
        <v>1045</v>
      </c>
      <c r="E3783" s="2" t="s">
        <v>30</v>
      </c>
      <c r="N3783" s="2" t="s">
        <v>18</v>
      </c>
      <c r="O3783" s="2" t="s">
        <v>19</v>
      </c>
      <c r="P3783" s="2">
        <v>7000</v>
      </c>
      <c r="Q3783" s="2">
        <v>7</v>
      </c>
      <c r="R3783" s="2" t="s">
        <v>6425</v>
      </c>
      <c r="S3783" s="2"/>
      <c r="AC3783" s="2"/>
      <c r="AD3783" t="str">
        <f>IFERROR(__xludf.DUMMYFUNCTION("""COMPUTED_VALUE"""),"Twin Falls Idaho ")</f>
        <v>Twin Falls Idaho </v>
      </c>
      <c r="AE3783">
        <f t="shared" si="88"/>
        <v>1111514</v>
      </c>
    </row>
    <row r="3784" customHeight="1" spans="1:31">
      <c r="A3784" s="2" t="s">
        <v>4243</v>
      </c>
      <c r="B3784" s="2">
        <v>80</v>
      </c>
      <c r="C3784" s="2">
        <v>70071</v>
      </c>
      <c r="D3784" s="2" t="s">
        <v>24</v>
      </c>
      <c r="E3784" s="2" t="s">
        <v>24</v>
      </c>
      <c r="N3784" s="2" t="s">
        <v>18</v>
      </c>
      <c r="O3784" s="2" t="s">
        <v>6426</v>
      </c>
      <c r="P3784" s="2">
        <v>7000</v>
      </c>
      <c r="Q3784" s="2">
        <v>6.3</v>
      </c>
      <c r="R3784" s="2" t="s">
        <v>6427</v>
      </c>
      <c r="S3784" s="2"/>
      <c r="AC3784" s="2"/>
      <c r="AD3784" t="str">
        <f>IFERROR(__xludf.DUMMYFUNCTION("""COMPUTED_VALUE"""),"Mean Creek ")</f>
        <v>Mean Creek </v>
      </c>
      <c r="AE3784">
        <f t="shared" si="88"/>
        <v>985230</v>
      </c>
    </row>
    <row r="3785" customHeight="1" spans="1:31">
      <c r="A3785" s="2" t="s">
        <v>1225</v>
      </c>
      <c r="B3785" s="2">
        <v>81</v>
      </c>
      <c r="C3785" s="2">
        <v>2040920</v>
      </c>
      <c r="D3785" s="2" t="s">
        <v>2398</v>
      </c>
      <c r="E3785" s="2" t="s">
        <v>12</v>
      </c>
      <c r="N3785" s="2" t="s">
        <v>1081</v>
      </c>
      <c r="O3785" s="2" t="s">
        <v>19</v>
      </c>
      <c r="P3785" s="2">
        <v>7000</v>
      </c>
      <c r="Q3785" s="2">
        <v>6.9</v>
      </c>
      <c r="R3785" s="2" t="s">
        <v>6428</v>
      </c>
      <c r="S3785" s="2"/>
      <c r="AC3785" s="2"/>
      <c r="AD3785" t="str">
        <f>IFERROR(__xludf.DUMMYFUNCTION("""COMPUTED_VALUE"""),"Hurricane Streets ")</f>
        <v>Hurricane Streets </v>
      </c>
      <c r="AE3785">
        <f t="shared" si="88"/>
        <v>603853</v>
      </c>
    </row>
    <row r="3786" customHeight="1" spans="1:31">
      <c r="A3786" s="2" t="s">
        <v>3612</v>
      </c>
      <c r="B3786" s="2">
        <v>95</v>
      </c>
      <c r="C3786" s="2">
        <v>4584</v>
      </c>
      <c r="D3786" s="2" t="s">
        <v>975</v>
      </c>
      <c r="E3786" s="2" t="s">
        <v>40</v>
      </c>
      <c r="N3786" s="2" t="s">
        <v>18</v>
      </c>
      <c r="O3786" s="2" t="s">
        <v>19</v>
      </c>
      <c r="P3786" s="2">
        <v>9000</v>
      </c>
      <c r="Q3786" s="2">
        <v>6.4</v>
      </c>
      <c r="R3786" s="2" t="s">
        <v>6429</v>
      </c>
      <c r="S3786" s="2"/>
      <c r="AC3786" s="2"/>
      <c r="AD3786" t="str">
        <f>IFERROR(__xludf.DUMMYFUNCTION("""COMPUTED_VALUE"""),"Never Again ")</f>
        <v>Never Again </v>
      </c>
      <c r="AE3786">
        <f t="shared" si="88"/>
        <v>333955</v>
      </c>
    </row>
    <row r="3787" customHeight="1" spans="1:31">
      <c r="A3787" s="2" t="s">
        <v>3755</v>
      </c>
      <c r="B3787" s="2">
        <v>90</v>
      </c>
      <c r="C3787" s="2">
        <v>85222</v>
      </c>
      <c r="D3787" s="2" t="s">
        <v>65</v>
      </c>
      <c r="E3787" s="2" t="s">
        <v>65</v>
      </c>
      <c r="N3787" s="2" t="s">
        <v>18</v>
      </c>
      <c r="O3787" s="2" t="s">
        <v>19</v>
      </c>
      <c r="P3787" s="2">
        <v>1100</v>
      </c>
      <c r="Q3787" s="2">
        <v>6.6</v>
      </c>
      <c r="R3787" s="2" t="s">
        <v>6430</v>
      </c>
      <c r="S3787" s="2"/>
      <c r="AC3787" s="2"/>
      <c r="AD3787" t="str">
        <f>IFERROR(__xludf.DUMMYFUNCTION("""COMPUTED_VALUE"""),"Civil Brand ")</f>
        <v>Civil Brand </v>
      </c>
      <c r="AE3787">
        <f t="shared" si="88"/>
        <v>295370</v>
      </c>
    </row>
    <row r="3788" customHeight="1" spans="29:31">
      <c r="AC3788" s="2"/>
      <c r="AD3788" t="str">
        <f>IFERROR(__xludf.DUMMYFUNCTION("""COMPUTED_VALUE"""),"Lonesome Jim ")</f>
        <v>Lonesome Jim </v>
      </c>
      <c r="AE3788">
        <f t="shared" si="88"/>
        <v>243256</v>
      </c>
    </row>
    <row r="3789" customHeight="1" spans="29:31">
      <c r="AC3789" s="2"/>
      <c r="AD3789" t="str">
        <f>IFERROR(__xludf.DUMMYFUNCTION("""COMPUTED_VALUE"""),"Deceptive Practice: The Mysteries and Mentors of Ricky Jay ")</f>
        <v>Deceptive Practice: The Mysteries and Mentors of Ricky Jay </v>
      </c>
      <c r="AE3789">
        <f t="shared" si="88"/>
        <v>153986</v>
      </c>
    </row>
    <row r="3790" customHeight="1" spans="29:31">
      <c r="AC3790" s="2"/>
      <c r="AD3790" t="str">
        <f>IFERROR(__xludf.DUMMYFUNCTION("""COMPUTED_VALUE"""),"Seven Samurai ")</f>
        <v>Seven Samurai </v>
      </c>
      <c r="AE3790">
        <f t="shared" si="88"/>
        <v>151301</v>
      </c>
    </row>
    <row r="3791" customHeight="1" spans="29:31">
      <c r="AC3791" s="2"/>
      <c r="AD3791" t="str">
        <f>IFERROR(__xludf.DUMMYFUNCTION("""COMPUTED_VALUE"""),"The Other Dream Team ")</f>
        <v>The Other Dream Team </v>
      </c>
      <c r="AE3791">
        <f t="shared" si="88"/>
        <v>268859</v>
      </c>
    </row>
    <row r="3792" customHeight="1" spans="29:31">
      <c r="AC3792" s="2"/>
      <c r="AD3792" t="str">
        <f>IFERROR(__xludf.DUMMYFUNCTION("""COMPUTED_VALUE"""),"Finishing the Game: The Search for a New Bruce Lee ")</f>
        <v>Finishing the Game: The Search for a New Bruce Lee </v>
      </c>
      <c r="AE3792">
        <f t="shared" si="88"/>
        <v>133689</v>
      </c>
    </row>
    <row r="3793" customHeight="1" spans="29:31">
      <c r="AC3793" s="2"/>
      <c r="AD3793" t="str">
        <f>IFERROR(__xludf.DUMMYFUNCTION("""COMPUTED_VALUE"""),"Rubber ")</f>
        <v>Rubber </v>
      </c>
      <c r="AE3793">
        <f t="shared" si="88"/>
        <v>52766</v>
      </c>
    </row>
    <row r="3794" customHeight="1" spans="29:31">
      <c r="AC3794" s="2"/>
      <c r="AD3794" t="str">
        <f>IFERROR(__xludf.DUMMYFUNCTION("""COMPUTED_VALUE"""),"Kiss the Bride ")</f>
        <v>Kiss the Bride </v>
      </c>
      <c r="AE3794">
        <f t="shared" si="88"/>
        <v>97935</v>
      </c>
    </row>
    <row r="3795" customHeight="1" spans="29:31">
      <c r="AC3795" s="2"/>
      <c r="AD3795" t="str">
        <f>IFERROR(__xludf.DUMMYFUNCTION("""COMPUTED_VALUE"""),"The Slaughter Rule ")</f>
        <v>The Slaughter Rule </v>
      </c>
      <c r="AE3795">
        <f t="shared" si="88"/>
        <v>31837</v>
      </c>
    </row>
    <row r="3796" customHeight="1" spans="29:31">
      <c r="AC3796" s="2"/>
      <c r="AD3796" t="str">
        <f>IFERROR(__xludf.DUMMYFUNCTION("""COMPUTED_VALUE"""),"Monsters ")</f>
        <v>Monsters </v>
      </c>
      <c r="AE3796">
        <f t="shared" si="88"/>
        <v>13022</v>
      </c>
    </row>
    <row r="3797" customHeight="1" spans="29:31">
      <c r="AC3797" s="2"/>
      <c r="AD3797" t="str">
        <f>IFERROR(__xludf.DUMMYFUNCTION("""COMPUTED_VALUE"""),"The Living Wake ")</f>
        <v>The Living Wake </v>
      </c>
      <c r="AE3797">
        <f t="shared" si="88"/>
        <v>237207</v>
      </c>
    </row>
    <row r="3798" customHeight="1" spans="29:31">
      <c r="AC3798" s="2"/>
      <c r="AD3798" t="str">
        <f>IFERROR(__xludf.DUMMYFUNCTION("""COMPUTED_VALUE"""),"Detention of the Dead ")</f>
        <v>Detention of the Dead </v>
      </c>
      <c r="AE3798">
        <f t="shared" si="88"/>
        <v>11964</v>
      </c>
    </row>
    <row r="3799" customHeight="1" spans="29:31">
      <c r="AC3799" s="2"/>
      <c r="AD3799" t="str">
        <f>IFERROR(__xludf.DUMMYFUNCTION("""COMPUTED_VALUE"""),"Born to Fly: Elizabeth Streb vs. Gravity ")</f>
        <v>Born to Fly: Elizabeth Streb vs. Gravity </v>
      </c>
      <c r="AE3799">
        <f t="shared" si="88"/>
        <v>1245</v>
      </c>
    </row>
    <row r="3800" customHeight="1" spans="29:31">
      <c r="AC3800" s="2"/>
      <c r="AD3800" t="str">
        <f>IFERROR(__xludf.DUMMYFUNCTION("""COMPUTED_VALUE"""),"Straight Out of Brooklyn ")</f>
        <v>Straight Out of Brooklyn </v>
      </c>
      <c r="AE3800">
        <f t="shared" si="88"/>
        <v>21117</v>
      </c>
    </row>
    <row r="3801" customHeight="1" spans="29:31">
      <c r="AC3801" s="2"/>
      <c r="AD3801" t="str">
        <f>IFERROR(__xludf.DUMMYFUNCTION("""COMPUTED_VALUE"""),"Bloody Sunday ")</f>
        <v>Bloody Sunday </v>
      </c>
      <c r="AE3801">
        <f t="shared" si="88"/>
        <v>2712202</v>
      </c>
    </row>
    <row r="3802" customHeight="1" spans="29:31">
      <c r="AC3802" s="2"/>
      <c r="AD3802" t="str">
        <f>IFERROR(__xludf.DUMMYFUNCTION("""COMPUTED_VALUE"""),"Conversations with Other Women ")</f>
        <v>Conversations with Other Women </v>
      </c>
      <c r="AE3802">
        <f t="shared" si="88"/>
        <v>767938</v>
      </c>
    </row>
    <row r="3803" customHeight="1" spans="29:31">
      <c r="AC3803" s="2"/>
      <c r="AD3803" t="str">
        <f>IFERROR(__xludf.DUMMYFUNCTION("""COMPUTED_VALUE"""),"Poultrygeist: Night of the Chicken Dead ")</f>
        <v>Poultrygeist: Night of the Chicken Dead </v>
      </c>
      <c r="AE3803">
        <f t="shared" si="88"/>
        <v>379038</v>
      </c>
    </row>
    <row r="3804" customHeight="1" spans="29:31">
      <c r="AC3804" s="2"/>
      <c r="AD3804" t="str">
        <f>IFERROR(__xludf.DUMMYFUNCTION("""COMPUTED_VALUE"""),"42nd Street ")</f>
        <v>42nd Street </v>
      </c>
      <c r="AE3804">
        <f t="shared" si="88"/>
        <v>22897</v>
      </c>
    </row>
    <row r="3805" customHeight="1" spans="29:31">
      <c r="AC3805" s="2"/>
      <c r="AD3805" t="str">
        <f>IFERROR(__xludf.DUMMYFUNCTION("""COMPUTED_VALUE"""),"Metropolitan ")</f>
        <v>Metropolitan </v>
      </c>
      <c r="AE3805">
        <f t="shared" si="88"/>
        <v>2299911</v>
      </c>
    </row>
    <row r="3806" customHeight="1" spans="29:31">
      <c r="AC3806" s="2"/>
      <c r="AD3806" t="str">
        <f>IFERROR(__xludf.DUMMYFUNCTION("""COMPUTED_VALUE"""),"As It Is in Heaven ")</f>
        <v>As It Is in Heaven </v>
      </c>
      <c r="AE3806">
        <f t="shared" si="88"/>
        <v>2938110</v>
      </c>
    </row>
    <row r="3807" customHeight="1" spans="29:31">
      <c r="AC3807" s="2"/>
      <c r="AD3807" t="str">
        <f>IFERROR(__xludf.DUMMYFUNCTION("""COMPUTED_VALUE"""),"Napoleon Dynamite ")</f>
        <v>Napoleon Dynamite </v>
      </c>
      <c r="AE3807">
        <f t="shared" si="88"/>
        <v>9777</v>
      </c>
    </row>
    <row r="3808" customHeight="1" spans="29:31">
      <c r="AC3808" s="2"/>
      <c r="AD3808" t="str">
        <f>IFERROR(__xludf.DUMMYFUNCTION("""COMPUTED_VALUE"""),"Blue Ruin ")</f>
        <v>Blue Ruin </v>
      </c>
      <c r="AE3808">
        <f t="shared" si="88"/>
        <v>44540864</v>
      </c>
    </row>
    <row r="3809" customHeight="1" spans="29:31">
      <c r="AC3809" s="2"/>
      <c r="AD3809" t="str">
        <f>IFERROR(__xludf.DUMMYFUNCTION("""COMPUTED_VALUE"""),"Paranormal Activity ")</f>
        <v>Paranormal Activity </v>
      </c>
      <c r="AE3809">
        <f t="shared" si="88"/>
        <v>258023</v>
      </c>
    </row>
    <row r="3810" customHeight="1" spans="29:31">
      <c r="AC3810" s="2"/>
      <c r="AD3810" t="str">
        <f>IFERROR(__xludf.DUMMYFUNCTION("""COMPUTED_VALUE"""),"Monty Python and the Holy Grail ")</f>
        <v>Monty Python and the Holy Grail </v>
      </c>
      <c r="AE3810">
        <f t="shared" si="88"/>
        <v>107917199</v>
      </c>
    </row>
    <row r="3811" customHeight="1" spans="29:31">
      <c r="AC3811" s="2"/>
      <c r="AD3811" t="str">
        <f>IFERROR(__xludf.DUMMYFUNCTION("""COMPUTED_VALUE"""),"Quinceañera ")</f>
        <v>Quinceañera </v>
      </c>
      <c r="AE3811">
        <f t="shared" si="88"/>
        <v>1229106</v>
      </c>
    </row>
    <row r="3812" customHeight="1" spans="29:31">
      <c r="AC3812" s="2"/>
      <c r="AD3812" t="str">
        <f>IFERROR(__xludf.DUMMYFUNCTION("""COMPUTED_VALUE"""),"Gory Gory Hallelujah ")</f>
        <v>Gory Gory Hallelujah </v>
      </c>
      <c r="AE3812">
        <f t="shared" si="88"/>
        <v>1689909</v>
      </c>
    </row>
    <row r="3813" customHeight="1" spans="29:31">
      <c r="AC3813" s="2"/>
      <c r="AD3813" t="str">
        <f>IFERROR(__xludf.DUMMYFUNCTION("""COMPUTED_VALUE"""),"Tarnation ")</f>
        <v>Tarnation </v>
      </c>
      <c r="AE3813">
        <f t="shared" si="88"/>
        <v>11702</v>
      </c>
    </row>
    <row r="3814" customHeight="1" spans="29:31">
      <c r="AC3814" s="2"/>
      <c r="AD3814" t="str">
        <f>IFERROR(__xludf.DUMMYFUNCTION("""COMPUTED_VALUE"""),"I Want Your Money ")</f>
        <v>I Want Your Money </v>
      </c>
      <c r="AE3814">
        <f t="shared" si="88"/>
        <v>591926</v>
      </c>
    </row>
    <row r="3815" customHeight="1" spans="29:31">
      <c r="AC3815" s="2"/>
      <c r="AD3815" t="str">
        <f>IFERROR(__xludf.DUMMYFUNCTION("""COMPUTED_VALUE"""),"The Beyond ")</f>
        <v>The Beyond </v>
      </c>
      <c r="AE3815">
        <f t="shared" si="88"/>
        <v>425807</v>
      </c>
    </row>
    <row r="3816" customHeight="1" spans="29:31">
      <c r="AC3816" s="2"/>
      <c r="AD3816" t="str">
        <f>IFERROR(__xludf.DUMMYFUNCTION("""COMPUTED_VALUE"""),"What Happens in Vegas ")</f>
        <v>What Happens in Vegas </v>
      </c>
      <c r="AE3816">
        <f t="shared" si="88"/>
        <v>126305</v>
      </c>
    </row>
    <row r="3817" customHeight="1" spans="29:31">
      <c r="AC3817" s="2"/>
      <c r="AD3817" t="str">
        <f>IFERROR(__xludf.DUMMYFUNCTION("""COMPUTED_VALUE"""),"Trekkies ")</f>
        <v>Trekkies </v>
      </c>
      <c r="AE3817">
        <f t="shared" si="88"/>
        <v>80276811</v>
      </c>
    </row>
    <row r="3818" customHeight="1" spans="29:31">
      <c r="AC3818" s="2"/>
      <c r="AD3818" t="str">
        <f>IFERROR(__xludf.DUMMYFUNCTION("""COMPUTED_VALUE"""),"The Broadway Melody ")</f>
        <v>The Broadway Melody </v>
      </c>
      <c r="AE3818">
        <f t="shared" si="88"/>
        <v>617086</v>
      </c>
    </row>
    <row r="3819" customHeight="1" spans="29:31">
      <c r="AC3819" s="2"/>
      <c r="AD3819" t="str">
        <f>IFERROR(__xludf.DUMMYFUNCTION("""COMPUTED_VALUE"""),"Maniac ")</f>
        <v>Maniac </v>
      </c>
      <c r="AE3819">
        <f t="shared" si="88"/>
        <v>2807900</v>
      </c>
    </row>
    <row r="3820" customHeight="1" spans="29:31">
      <c r="AC3820" s="2"/>
      <c r="AD3820" t="str">
        <f>IFERROR(__xludf.DUMMYFUNCTION("""COMPUTED_VALUE"""),"Censored Voices ")</f>
        <v>Censored Voices </v>
      </c>
      <c r="AE3820">
        <f t="shared" si="88"/>
        <v>12754</v>
      </c>
    </row>
    <row r="3821" customHeight="1" spans="29:31">
      <c r="AC3821" s="2"/>
      <c r="AD3821" t="str">
        <f>IFERROR(__xludf.DUMMYFUNCTION("""COMPUTED_VALUE"""),"Murderball ")</f>
        <v>Murderball </v>
      </c>
      <c r="AE3821">
        <f t="shared" si="88"/>
        <v>34067</v>
      </c>
    </row>
    <row r="3822" customHeight="1" spans="29:31">
      <c r="AC3822" s="2"/>
      <c r="AD3822" t="str">
        <f>IFERROR(__xludf.DUMMYFUNCTION("""COMPUTED_VALUE"""),"American Ninja 2: The Confrontation ")</f>
        <v>American Ninja 2: The Confrontation </v>
      </c>
      <c r="AE3822">
        <f t="shared" si="88"/>
        <v>1523795</v>
      </c>
    </row>
    <row r="3823" customHeight="1" spans="29:31">
      <c r="AC3823" s="2"/>
      <c r="AD3823" t="str">
        <f>IFERROR(__xludf.DUMMYFUNCTION("""COMPUTED_VALUE"""),"Tumbleweeds ")</f>
        <v>Tumbleweeds </v>
      </c>
      <c r="AE3823">
        <f t="shared" si="88"/>
        <v>3999910</v>
      </c>
    </row>
    <row r="3824" customHeight="1" spans="29:31">
      <c r="AC3824" s="2"/>
      <c r="AD3824" t="str">
        <f>IFERROR(__xludf.DUMMYFUNCTION("""COMPUTED_VALUE"""),"The Prophecy ")</f>
        <v>The Prophecy </v>
      </c>
      <c r="AE3824">
        <f t="shared" si="88"/>
        <v>1281074</v>
      </c>
    </row>
    <row r="3825" customHeight="1" spans="29:31">
      <c r="AC3825" s="2"/>
      <c r="AD3825" t="str">
        <f>IFERROR(__xludf.DUMMYFUNCTION("""COMPUTED_VALUE"""),"When the Cat's Away ")</f>
        <v>When the Cat's Away </v>
      </c>
      <c r="AE3825">
        <f t="shared" si="88"/>
        <v>16115780</v>
      </c>
    </row>
    <row r="3826" customHeight="1" spans="29:31">
      <c r="AC3826" s="2"/>
      <c r="AD3826" t="str">
        <f>IFERROR(__xludf.DUMMYFUNCTION("""COMPUTED_VALUE"""),"Pieces of April ")</f>
        <v>Pieces of April </v>
      </c>
      <c r="AE3826">
        <f t="shared" si="88"/>
        <v>1652381</v>
      </c>
    </row>
    <row r="3827" customHeight="1" spans="29:31">
      <c r="AC3827" s="2"/>
      <c r="AD3827" t="str">
        <f>IFERROR(__xludf.DUMMYFUNCTION("""COMPUTED_VALUE"""),"Old Joy ")</f>
        <v>Old Joy </v>
      </c>
      <c r="AE3827">
        <f t="shared" si="88"/>
        <v>2360104</v>
      </c>
    </row>
    <row r="3828" customHeight="1" spans="29:31">
      <c r="AC3828" s="2"/>
      <c r="AD3828" t="str">
        <f>IFERROR(__xludf.DUMMYFUNCTION("""COMPUTED_VALUE"""),"Wendy and Lucy ")</f>
        <v>Wendy and Lucy </v>
      </c>
      <c r="AE3828">
        <f t="shared" si="88"/>
        <v>255276</v>
      </c>
    </row>
    <row r="3829" customHeight="1" spans="29:31">
      <c r="AC3829" s="2"/>
      <c r="AD3829" t="str">
        <f>IFERROR(__xludf.DUMMYFUNCTION("""COMPUTED_VALUE"""),"Ayurveda: Art of Being ")</f>
        <v>Ayurveda: Art of Being </v>
      </c>
      <c r="AE3829">
        <f t="shared" si="88"/>
        <v>856862</v>
      </c>
    </row>
    <row r="3830" customHeight="1" spans="29:31">
      <c r="AC3830" s="2"/>
      <c r="AD3830" t="str">
        <f>IFERROR(__xludf.DUMMYFUNCTION("""COMPUTED_VALUE"""),"Nothing But a Man ")</f>
        <v>Nothing But a Man </v>
      </c>
      <c r="AE3830">
        <f t="shared" si="88"/>
        <v>16790</v>
      </c>
    </row>
    <row r="3831" customHeight="1" spans="29:31">
      <c r="AC3831" s="2"/>
      <c r="AD3831" t="str">
        <f>IFERROR(__xludf.DUMMYFUNCTION("""COMPUTED_VALUE"""),"First Love, Last Rites ")</f>
        <v>First Love, Last Rites </v>
      </c>
      <c r="AE3831">
        <f t="shared" ref="AE3831:AE3894" si="89">C3715-B3715</f>
        <v>12343</v>
      </c>
    </row>
    <row r="3832" customHeight="1" spans="29:31">
      <c r="AC3832" s="2"/>
      <c r="AD3832" t="str">
        <f>IFERROR(__xludf.DUMMYFUNCTION("""COMPUTED_VALUE"""),"Fighting Tommy Riley ")</f>
        <v>Fighting Tommy Riley </v>
      </c>
      <c r="AE3832">
        <f t="shared" si="89"/>
        <v>40448</v>
      </c>
    </row>
    <row r="3833" customHeight="1" spans="29:31">
      <c r="AC3833" s="2"/>
      <c r="AD3833" t="str">
        <f>IFERROR(__xludf.DUMMYFUNCTION("""COMPUTED_VALUE"""),"Locker 13 ")</f>
        <v>Locker 13 </v>
      </c>
      <c r="AE3833">
        <f t="shared" si="89"/>
        <v>5090</v>
      </c>
    </row>
    <row r="3834" customHeight="1" spans="29:31">
      <c r="AC3834" s="2"/>
      <c r="AD3834" t="str">
        <f>IFERROR(__xludf.DUMMYFUNCTION("""COMPUTED_VALUE"""),"Compliance ")</f>
        <v>Compliance </v>
      </c>
      <c r="AE3834">
        <f t="shared" si="89"/>
        <v>2373</v>
      </c>
    </row>
    <row r="3835" customHeight="1" spans="29:31">
      <c r="AC3835" s="2"/>
      <c r="AD3835" t="str">
        <f>IFERROR(__xludf.DUMMYFUNCTION("""COMPUTED_VALUE"""),"Chasing Amy ")</f>
        <v>Chasing Amy </v>
      </c>
      <c r="AE3835">
        <f t="shared" si="89"/>
        <v>318532</v>
      </c>
    </row>
    <row r="3836" customHeight="1" spans="29:31">
      <c r="AC3836" s="2"/>
      <c r="AD3836" t="str">
        <f>IFERROR(__xludf.DUMMYFUNCTION("""COMPUTED_VALUE"""),"Lovely &amp; Amazing ")</f>
        <v>Lovely &amp; Amazing </v>
      </c>
      <c r="AE3836">
        <f t="shared" si="89"/>
        <v>12006401</v>
      </c>
    </row>
    <row r="3837" customHeight="1" spans="29:31">
      <c r="AC3837" s="2"/>
      <c r="AD3837" t="str">
        <f>IFERROR(__xludf.DUMMYFUNCTION("""COMPUTED_VALUE"""),"Better Luck Tomorrow ")</f>
        <v>Better Luck Tomorrow </v>
      </c>
      <c r="AE3837">
        <f t="shared" si="89"/>
        <v>4186840</v>
      </c>
    </row>
    <row r="3838" customHeight="1" spans="29:31">
      <c r="AC3838" s="2"/>
      <c r="AD3838" t="str">
        <f>IFERROR(__xludf.DUMMYFUNCTION("""COMPUTED_VALUE"""),"The Incredibly True Adventure of Two Girls in Love ")</f>
        <v>The Incredibly True Adventure of Two Girls in Love </v>
      </c>
      <c r="AE3838">
        <f t="shared" si="89"/>
        <v>3799241</v>
      </c>
    </row>
    <row r="3839" customHeight="1" spans="29:31">
      <c r="AC3839" s="2"/>
      <c r="AD3839" t="str">
        <f>IFERROR(__xludf.DUMMYFUNCTION("""COMPUTED_VALUE"""),"Chuck &amp; Buck ")</f>
        <v>Chuck &amp; Buck </v>
      </c>
      <c r="AE3839">
        <f t="shared" si="89"/>
        <v>1977450</v>
      </c>
    </row>
    <row r="3840" customHeight="1" spans="29:31">
      <c r="AC3840" s="2"/>
      <c r="AD3840" t="str">
        <f>IFERROR(__xludf.DUMMYFUNCTION("""COMPUTED_VALUE"""),"American Desi ")</f>
        <v>American Desi </v>
      </c>
      <c r="AE3840">
        <f t="shared" si="89"/>
        <v>1050504</v>
      </c>
    </row>
    <row r="3841" customHeight="1" spans="29:31">
      <c r="AC3841" s="2"/>
      <c r="AD3841" t="str">
        <f>IFERROR(__xludf.DUMMYFUNCTION("""COMPUTED_VALUE"""),"Cube ")</f>
        <v>Cube </v>
      </c>
      <c r="AE3841">
        <f t="shared" si="89"/>
        <v>902735</v>
      </c>
    </row>
    <row r="3842" customHeight="1" spans="29:31">
      <c r="AC3842" s="2"/>
      <c r="AD3842" t="str">
        <f>IFERROR(__xludf.DUMMYFUNCTION("""COMPUTED_VALUE"""),"Love and Other Catastrophes ")</f>
        <v>Love and Other Catastrophes </v>
      </c>
      <c r="AE3842">
        <f t="shared" si="89"/>
        <v>489130</v>
      </c>
    </row>
    <row r="3843" customHeight="1" spans="29:31">
      <c r="AC3843" s="2"/>
      <c r="AD3843" t="str">
        <f>IFERROR(__xludf.DUMMYFUNCTION("""COMPUTED_VALUE"""),"I Married a Strange Person! ")</f>
        <v>I Married a Strange Person! </v>
      </c>
      <c r="AE3843">
        <f t="shared" si="89"/>
        <v>212209</v>
      </c>
    </row>
    <row r="3844" customHeight="1" spans="29:31">
      <c r="AC3844" s="2"/>
      <c r="AD3844" t="str">
        <f>IFERROR(__xludf.DUMMYFUNCTION("""COMPUTED_VALUE"""),"November ")</f>
        <v>November </v>
      </c>
      <c r="AE3844">
        <f t="shared" si="89"/>
        <v>203059</v>
      </c>
    </row>
    <row r="3845" customHeight="1" spans="29:31">
      <c r="AC3845" s="2"/>
      <c r="AD3845" t="str">
        <f>IFERROR(__xludf.DUMMYFUNCTION("""COMPUTED_VALUE"""),"Like Crazy ")</f>
        <v>Like Crazy </v>
      </c>
      <c r="AE3845">
        <f t="shared" si="89"/>
        <v>191231</v>
      </c>
    </row>
    <row r="3846" customHeight="1" spans="29:31">
      <c r="AC3846" s="2"/>
      <c r="AD3846" t="str">
        <f>IFERROR(__xludf.DUMMYFUNCTION("""COMPUTED_VALUE"""),"Sugar Town ")</f>
        <v>Sugar Town </v>
      </c>
      <c r="AE3846">
        <f t="shared" si="89"/>
        <v>3388120</v>
      </c>
    </row>
    <row r="3847" customHeight="1" spans="29:31">
      <c r="AC3847" s="2"/>
      <c r="AD3847" t="str">
        <f>IFERROR(__xludf.DUMMYFUNCTION("""COMPUTED_VALUE"""),"The Canyons ")</f>
        <v>The Canyons </v>
      </c>
      <c r="AE3847">
        <f t="shared" si="89"/>
        <v>177748</v>
      </c>
    </row>
    <row r="3848" customHeight="1" spans="29:31">
      <c r="AC3848" s="2"/>
      <c r="AD3848" t="str">
        <f>IFERROR(__xludf.DUMMYFUNCTION("""COMPUTED_VALUE"""),"The Sticky Fingers of Time ")</f>
        <v>The Sticky Fingers of Time </v>
      </c>
      <c r="AE3848">
        <f t="shared" si="89"/>
        <v>49395</v>
      </c>
    </row>
    <row r="3849" customHeight="1" spans="29:31">
      <c r="AC3849" s="2"/>
      <c r="AD3849" t="str">
        <f>IFERROR(__xludf.DUMMYFUNCTION("""COMPUTED_VALUE"""),"Burn ")</f>
        <v>Burn </v>
      </c>
      <c r="AE3849">
        <f t="shared" si="89"/>
        <v>18114</v>
      </c>
    </row>
    <row r="3850" customHeight="1" spans="29:31">
      <c r="AC3850" s="2"/>
      <c r="AD3850" t="str">
        <f>IFERROR(__xludf.DUMMYFUNCTION("""COMPUTED_VALUE"""),"Urbania ")</f>
        <v>Urbania </v>
      </c>
      <c r="AE3850">
        <f t="shared" si="89"/>
        <v>111214</v>
      </c>
    </row>
    <row r="3851" customHeight="1" spans="29:31">
      <c r="AC3851" s="2"/>
      <c r="AD3851" t="str">
        <f>IFERROR(__xludf.DUMMYFUNCTION("""COMPUTED_VALUE"""),"The Beast from 20,000 Fathoms ")</f>
        <v>The Beast from 20,000 Fathoms </v>
      </c>
      <c r="AE3851">
        <f t="shared" si="89"/>
        <v>1027013</v>
      </c>
    </row>
    <row r="3852" customHeight="1" spans="29:31">
      <c r="AC3852" s="2"/>
      <c r="AD3852" t="str">
        <f>IFERROR(__xludf.DUMMYFUNCTION("""COMPUTED_VALUE"""),"Swingers ")</f>
        <v>Swingers </v>
      </c>
      <c r="AE3852">
        <f t="shared" si="89"/>
        <v>4999920</v>
      </c>
    </row>
    <row r="3853" customHeight="1" spans="29:31">
      <c r="AC3853" s="2"/>
      <c r="AD3853" t="str">
        <f>IFERROR(__xludf.DUMMYFUNCTION("""COMPUTED_VALUE"""),"A Fistful of Dollars ")</f>
        <v>A Fistful of Dollars </v>
      </c>
      <c r="AE3853">
        <f t="shared" si="89"/>
        <v>4505826</v>
      </c>
    </row>
    <row r="3854" customHeight="1" spans="29:31">
      <c r="AC3854" s="2"/>
      <c r="AD3854" t="str">
        <f>IFERROR(__xludf.DUMMYFUNCTION("""COMPUTED_VALUE"""),"Short Cut to Nirvana: Kumbh Mela ")</f>
        <v>Short Cut to Nirvana: Kumbh Mela </v>
      </c>
      <c r="AE3854">
        <f t="shared" si="89"/>
        <v>3499901</v>
      </c>
    </row>
    <row r="3855" customHeight="1" spans="29:31">
      <c r="AC3855" s="2"/>
      <c r="AD3855" t="str">
        <f>IFERROR(__xludf.DUMMYFUNCTION("""COMPUTED_VALUE"""),"The Grace Card ")</f>
        <v>The Grace Card </v>
      </c>
      <c r="AE3855">
        <f t="shared" si="89"/>
        <v>381140</v>
      </c>
    </row>
    <row r="3856" customHeight="1" spans="29:31">
      <c r="AC3856" s="2"/>
      <c r="AD3856" t="str">
        <f>IFERROR(__xludf.DUMMYFUNCTION("""COMPUTED_VALUE"""),"Middle of Nowhere ")</f>
        <v>Middle of Nowhere </v>
      </c>
      <c r="AE3856">
        <f t="shared" si="89"/>
        <v>2428140</v>
      </c>
    </row>
    <row r="3857" customHeight="1" spans="29:31">
      <c r="AC3857" s="2"/>
      <c r="AD3857" t="str">
        <f>IFERROR(__xludf.DUMMYFUNCTION("""COMPUTED_VALUE"""),"The Business of Fancydancing ")</f>
        <v>The Business of Fancydancing </v>
      </c>
      <c r="AE3857">
        <f t="shared" si="89"/>
        <v>77933</v>
      </c>
    </row>
    <row r="3858" customHeight="1" spans="29:31">
      <c r="AC3858" s="2"/>
      <c r="AD3858" t="str">
        <f>IFERROR(__xludf.DUMMYFUNCTION("""COMPUTED_VALUE"""),"Call + Response ")</f>
        <v>Call + Response </v>
      </c>
      <c r="AE3858">
        <f t="shared" si="89"/>
        <v>174579</v>
      </c>
    </row>
    <row r="3859" customHeight="1" spans="29:31">
      <c r="AC3859" s="2"/>
      <c r="AD3859" t="str">
        <f>IFERROR(__xludf.DUMMYFUNCTION("""COMPUTED_VALUE"""),"The Trials of Darryl Hunt ")</f>
        <v>The Trials of Darryl Hunt </v>
      </c>
      <c r="AE3859">
        <f t="shared" si="89"/>
        <v>215099</v>
      </c>
    </row>
    <row r="3860" customHeight="1" spans="29:31">
      <c r="AC3860" s="2"/>
      <c r="AD3860" t="str">
        <f>IFERROR(__xludf.DUMMYFUNCTION("""COMPUTED_VALUE"""),"Children of Heaven ")</f>
        <v>Children of Heaven </v>
      </c>
      <c r="AE3860">
        <f t="shared" si="89"/>
        <v>1005</v>
      </c>
    </row>
    <row r="3861" customHeight="1" spans="29:31">
      <c r="AC3861" s="2"/>
      <c r="AD3861" t="str">
        <f>IFERROR(__xludf.DUMMYFUNCTION("""COMPUTED_VALUE"""),"Weekend ")</f>
        <v>Weekend </v>
      </c>
      <c r="AE3861">
        <f t="shared" si="89"/>
        <v>925313</v>
      </c>
    </row>
    <row r="3862" customHeight="1" spans="29:31">
      <c r="AC3862" s="2"/>
      <c r="AD3862" t="str">
        <f>IFERROR(__xludf.DUMMYFUNCTION("""COMPUTED_VALUE"""),"She's Gotta Have It ")</f>
        <v>She's Gotta Have It </v>
      </c>
      <c r="AE3862">
        <f t="shared" si="89"/>
        <v>469850</v>
      </c>
    </row>
    <row r="3863" customHeight="1" spans="29:31">
      <c r="AC3863" s="2"/>
      <c r="AD3863" t="str">
        <f>IFERROR(__xludf.DUMMYFUNCTION("""COMPUTED_VALUE"""),"Another Earth ")</f>
        <v>Another Earth </v>
      </c>
      <c r="AE3863">
        <f t="shared" si="89"/>
        <v>7137414</v>
      </c>
    </row>
    <row r="3864" customHeight="1" spans="29:31">
      <c r="AC3864" s="2"/>
      <c r="AD3864" t="str">
        <f>IFERROR(__xludf.DUMMYFUNCTION("""COMPUTED_VALUE"""),"Sweet Sweetback's Baadasssss Song ")</f>
        <v>Sweet Sweetback's Baadasssss Song </v>
      </c>
      <c r="AE3864">
        <f t="shared" si="89"/>
        <v>1315982</v>
      </c>
    </row>
    <row r="3865" customHeight="1" spans="29:31">
      <c r="AC3865" s="2"/>
      <c r="AD3865" t="str">
        <f>IFERROR(__xludf.DUMMYFUNCTION("""COMPUTED_VALUE"""),"Tadpole ")</f>
        <v>Tadpole </v>
      </c>
      <c r="AE3865">
        <f t="shared" si="89"/>
        <v>15179903</v>
      </c>
    </row>
    <row r="3866" customHeight="1" spans="29:31">
      <c r="AC3866" s="2"/>
      <c r="AD3866" t="str">
        <f>IFERROR(__xludf.DUMMYFUNCTION("""COMPUTED_VALUE"""),"Once ")</f>
        <v>Once </v>
      </c>
      <c r="AE3866">
        <f t="shared" si="89"/>
        <v>2881984</v>
      </c>
    </row>
    <row r="3867" customHeight="1" spans="29:31">
      <c r="AC3867" s="2"/>
      <c r="AD3867" t="str">
        <f>IFERROR(__xludf.DUMMYFUNCTION("""COMPUTED_VALUE"""),"The Woman Chaser ")</f>
        <v>The Woman Chaser </v>
      </c>
      <c r="AE3867">
        <f t="shared" si="89"/>
        <v>9437848</v>
      </c>
    </row>
    <row r="3868" customHeight="1" spans="29:31">
      <c r="AC3868" s="2"/>
      <c r="AD3868" t="str">
        <f>IFERROR(__xludf.DUMMYFUNCTION("""COMPUTED_VALUE"""),"The Horse Boy ")</f>
        <v>The Horse Boy </v>
      </c>
      <c r="AE3868">
        <f t="shared" si="89"/>
        <v>110632</v>
      </c>
    </row>
    <row r="3869" customHeight="1" spans="29:31">
      <c r="AC3869" s="2"/>
      <c r="AD3869" t="str">
        <f>IFERROR(__xludf.DUMMYFUNCTION("""COMPUTED_VALUE"""),"Antarctic Edge: 70° South ")</f>
        <v>Antarctic Edge: 70° South </v>
      </c>
      <c r="AE3869">
        <f t="shared" si="89"/>
        <v>155891</v>
      </c>
    </row>
    <row r="3870" customHeight="1" spans="29:31">
      <c r="AC3870" s="2"/>
      <c r="AD3870" t="str">
        <f>IFERROR(__xludf.DUMMYFUNCTION("""COMPUTED_VALUE"""),"Top Spin ")</f>
        <v>Top Spin </v>
      </c>
      <c r="AE3870">
        <f t="shared" si="89"/>
        <v>4842</v>
      </c>
    </row>
    <row r="3871" customHeight="1" spans="29:31">
      <c r="AC3871" s="2"/>
      <c r="AD3871" t="str">
        <f>IFERROR(__xludf.DUMMYFUNCTION("""COMPUTED_VALUE"""),"Roger &amp; Me ")</f>
        <v>Roger &amp; Me </v>
      </c>
      <c r="AE3871">
        <f t="shared" si="89"/>
        <v>5778</v>
      </c>
    </row>
    <row r="3872" customHeight="1" spans="29:31">
      <c r="AC3872" s="2"/>
      <c r="AD3872" t="str">
        <f>IFERROR(__xludf.DUMMYFUNCTION("""COMPUTED_VALUE"""),"Your Sister's Sister ")</f>
        <v>Your Sister's Sister </v>
      </c>
      <c r="AE3872">
        <f t="shared" si="89"/>
        <v>6706277</v>
      </c>
    </row>
    <row r="3873" customHeight="1" spans="29:31">
      <c r="AC3873" s="2"/>
      <c r="AD3873" t="str">
        <f>IFERROR(__xludf.DUMMYFUNCTION("""COMPUTED_VALUE"""),"Facing the Giants ")</f>
        <v>Facing the Giants </v>
      </c>
      <c r="AE3873">
        <f t="shared" si="89"/>
        <v>1573622</v>
      </c>
    </row>
    <row r="3874" customHeight="1" spans="29:31">
      <c r="AC3874" s="2"/>
      <c r="AD3874" t="str">
        <f>IFERROR(__xludf.DUMMYFUNCTION("""COMPUTED_VALUE"""),"The Gallows ")</f>
        <v>The Gallows </v>
      </c>
      <c r="AE3874">
        <f t="shared" si="89"/>
        <v>10174552</v>
      </c>
    </row>
    <row r="3875" customHeight="1" spans="29:31">
      <c r="AC3875" s="2"/>
      <c r="AD3875" t="str">
        <f>IFERROR(__xludf.DUMMYFUNCTION("""COMPUTED_VALUE"""),"Hollywood Shuffle ")</f>
        <v>Hollywood Shuffle </v>
      </c>
      <c r="AE3875">
        <f t="shared" si="89"/>
        <v>22757738</v>
      </c>
    </row>
    <row r="3876" customHeight="1" spans="29:31">
      <c r="AC3876" s="2"/>
      <c r="AD3876" t="str">
        <f>IFERROR(__xludf.DUMMYFUNCTION("""COMPUTED_VALUE"""),"The Lost Skeleton of Cadavra ")</f>
        <v>The Lost Skeleton of Cadavra </v>
      </c>
      <c r="AE3876">
        <f t="shared" si="89"/>
        <v>5228536</v>
      </c>
    </row>
    <row r="3877" customHeight="1" spans="29:31">
      <c r="AC3877" s="2"/>
      <c r="AD3877" t="str">
        <f>IFERROR(__xludf.DUMMYFUNCTION("""COMPUTED_VALUE"""),"Cheap Thrills ")</f>
        <v>Cheap Thrills </v>
      </c>
      <c r="AE3877">
        <f t="shared" si="89"/>
        <v>110446</v>
      </c>
    </row>
    <row r="3878" customHeight="1" spans="29:31">
      <c r="AC3878" s="2"/>
      <c r="AD3878" t="str">
        <f>IFERROR(__xludf.DUMMYFUNCTION("""COMPUTED_VALUE"""),"Pi ")</f>
        <v>Pi </v>
      </c>
      <c r="AE3878">
        <f t="shared" si="89"/>
        <v>59291</v>
      </c>
    </row>
    <row r="3879" customHeight="1" spans="29:31">
      <c r="AC3879" s="2"/>
      <c r="AD3879" t="str">
        <f>IFERROR(__xludf.DUMMYFUNCTION("""COMPUTED_VALUE"""),"20 Dates ")</f>
        <v>20 Dates </v>
      </c>
      <c r="AE3879">
        <f t="shared" si="89"/>
        <v>3216886</v>
      </c>
    </row>
    <row r="3880" customHeight="1" spans="29:31">
      <c r="AC3880" s="2"/>
      <c r="AD3880" t="str">
        <f>IFERROR(__xludf.DUMMYFUNCTION("""COMPUTED_VALUE"""),"Super Size Me ")</f>
        <v>Super Size Me </v>
      </c>
      <c r="AE3880">
        <f t="shared" si="89"/>
        <v>536680</v>
      </c>
    </row>
    <row r="3881" customHeight="1" spans="29:31">
      <c r="AC3881" s="2"/>
      <c r="AD3881" t="str">
        <f>IFERROR(__xludf.DUMMYFUNCTION("""COMPUTED_VALUE"""),"The FP ")</f>
        <v>The FP </v>
      </c>
      <c r="AE3881">
        <f t="shared" si="89"/>
        <v>11529268</v>
      </c>
    </row>
    <row r="3882" customHeight="1" spans="29:31">
      <c r="AC3882" s="2"/>
      <c r="AD3882" t="str">
        <f>IFERROR(__xludf.DUMMYFUNCTION("""COMPUTED_VALUE"""),"Happy Christmas ")</f>
        <v>Happy Christmas </v>
      </c>
      <c r="AE3882">
        <f t="shared" si="89"/>
        <v>40475</v>
      </c>
    </row>
    <row r="3883" customHeight="1" spans="29:31">
      <c r="AC3883" s="2"/>
      <c r="AD3883" t="str">
        <f>IFERROR(__xludf.DUMMYFUNCTION("""COMPUTED_VALUE"""),"The Brothers McMullen ")</f>
        <v>The Brothers McMullen </v>
      </c>
      <c r="AE3883">
        <f t="shared" si="89"/>
        <v>30002</v>
      </c>
    </row>
    <row r="3884" customHeight="1" spans="29:31">
      <c r="AC3884" s="2"/>
      <c r="AD3884" t="str">
        <f>IFERROR(__xludf.DUMMYFUNCTION("""COMPUTED_VALUE"""),"Tiny Furniture ")</f>
        <v>Tiny Furniture </v>
      </c>
      <c r="AE3884">
        <f t="shared" si="89"/>
        <v>10246502</v>
      </c>
    </row>
    <row r="3885" customHeight="1" spans="29:31">
      <c r="AC3885" s="2"/>
      <c r="AD3885" t="str">
        <f>IFERROR(__xludf.DUMMYFUNCTION("""COMPUTED_VALUE"""),"George Washington ")</f>
        <v>George Washington </v>
      </c>
      <c r="AE3885">
        <f t="shared" si="89"/>
        <v>389706</v>
      </c>
    </row>
    <row r="3886" customHeight="1" spans="29:31">
      <c r="AC3886" s="2"/>
      <c r="AD3886" t="str">
        <f>IFERROR(__xludf.DUMMYFUNCTION("""COMPUTED_VALUE"""),"Smiling Fish &amp; Goat on Fire ")</f>
        <v>Smiling Fish &amp; Goat on Fire </v>
      </c>
      <c r="AE3886">
        <f t="shared" si="89"/>
        <v>241726</v>
      </c>
    </row>
    <row r="3887" customHeight="1" spans="29:31">
      <c r="AC3887" s="2"/>
      <c r="AD3887" t="str">
        <f>IFERROR(__xludf.DUMMYFUNCTION("""COMPUTED_VALUE"""),"The Legend of God's Gun ")</f>
        <v>The Legend of God's Gun </v>
      </c>
      <c r="AE3887">
        <f t="shared" si="89"/>
        <v>277143</v>
      </c>
    </row>
    <row r="3888" customHeight="1" spans="29:31">
      <c r="AC3888" s="2"/>
      <c r="AD3888" t="str">
        <f>IFERROR(__xludf.DUMMYFUNCTION("""COMPUTED_VALUE"""),"Clerks ")</f>
        <v>Clerks </v>
      </c>
      <c r="AE3888">
        <f t="shared" si="89"/>
        <v>243690</v>
      </c>
    </row>
    <row r="3889" customHeight="1" spans="29:31">
      <c r="AC3889" s="2"/>
      <c r="AD3889" t="str">
        <f>IFERROR(__xludf.DUMMYFUNCTION("""COMPUTED_VALUE"""),"Pink Narcissus ")</f>
        <v>Pink Narcissus </v>
      </c>
      <c r="AE3889">
        <f t="shared" si="89"/>
        <v>3151028</v>
      </c>
    </row>
    <row r="3890" customHeight="1" spans="29:31">
      <c r="AC3890" s="2"/>
      <c r="AD3890" t="str">
        <f>IFERROR(__xludf.DUMMYFUNCTION("""COMPUTED_VALUE"""),"In the Company of Men ")</f>
        <v>In the Company of Men </v>
      </c>
      <c r="AE3890">
        <f t="shared" si="89"/>
        <v>8166</v>
      </c>
    </row>
    <row r="3891" customHeight="1" spans="29:31">
      <c r="AC3891" s="2"/>
      <c r="AD3891" t="str">
        <f>IFERROR(__xludf.DUMMYFUNCTION("""COMPUTED_VALUE"""),"Slacker ")</f>
        <v>Slacker </v>
      </c>
      <c r="AE3891">
        <f t="shared" si="89"/>
        <v>2856525</v>
      </c>
    </row>
    <row r="3892" customHeight="1" spans="29:31">
      <c r="AC3892" s="2"/>
      <c r="AD3892" t="str">
        <f>IFERROR(__xludf.DUMMYFUNCTION("""COMPUTED_VALUE"""),"The Puffy Chair ")</f>
        <v>The Puffy Chair </v>
      </c>
      <c r="AE3892">
        <f t="shared" si="89"/>
        <v>1227408</v>
      </c>
    </row>
    <row r="3893" customHeight="1" spans="29:31">
      <c r="AC3893" s="2"/>
      <c r="AD3893" t="str">
        <f>IFERROR(__xludf.DUMMYFUNCTION("""COMPUTED_VALUE"""),"Breaking Upwards ")</f>
        <v>Breaking Upwards </v>
      </c>
      <c r="AE3893">
        <f t="shared" si="89"/>
        <v>192382</v>
      </c>
    </row>
    <row r="3894" customHeight="1" spans="29:31">
      <c r="AC3894" s="2"/>
      <c r="AD3894" t="str">
        <f>IFERROR(__xludf.DUMMYFUNCTION("""COMPUTED_VALUE"""),"Pink Flamingos ")</f>
        <v>Pink Flamingos </v>
      </c>
      <c r="AE3894">
        <f t="shared" si="89"/>
        <v>76294</v>
      </c>
    </row>
    <row r="3895" customHeight="1" spans="29:31">
      <c r="AC3895" s="2"/>
      <c r="AD3895" t="str">
        <f>IFERROR(__xludf.DUMMYFUNCTION("""COMPUTED_VALUE"""),"Clean ")</f>
        <v>Clean </v>
      </c>
      <c r="AE3895">
        <f t="shared" ref="AE3895:AE3902" si="90">C3779-B3779</f>
        <v>180375</v>
      </c>
    </row>
    <row r="3896" customHeight="1" spans="29:31">
      <c r="AC3896" s="2"/>
      <c r="AD3896" t="str">
        <f>IFERROR(__xludf.DUMMYFUNCTION("""COMPUTED_VALUE"""),"The Circle ")</f>
        <v>The Circle </v>
      </c>
      <c r="AE3896">
        <f t="shared" si="90"/>
        <v>135897</v>
      </c>
    </row>
    <row r="3897" customHeight="1" spans="29:31">
      <c r="AC3897" s="2"/>
      <c r="AD3897" t="str">
        <f>IFERROR(__xludf.DUMMYFUNCTION("""COMPUTED_VALUE"""),"The Cure ")</f>
        <v>The Cure </v>
      </c>
      <c r="AE3897">
        <f t="shared" si="90"/>
        <v>673690</v>
      </c>
    </row>
    <row r="3898" customHeight="1" spans="29:31">
      <c r="AC3898" s="2"/>
      <c r="AD3898" t="str">
        <f>IFERROR(__xludf.DUMMYFUNCTION("""COMPUTED_VALUE"""),"Primer ")</f>
        <v>Primer </v>
      </c>
      <c r="AE3898">
        <f t="shared" si="90"/>
        <v>94485</v>
      </c>
    </row>
    <row r="3899" customHeight="1" spans="29:31">
      <c r="AC3899" s="2"/>
      <c r="AD3899" t="str">
        <f>IFERROR(__xludf.DUMMYFUNCTION("""COMPUTED_VALUE"""),"Cavite ")</f>
        <v>Cavite </v>
      </c>
      <c r="AE3899">
        <f t="shared" si="90"/>
        <v>424683</v>
      </c>
    </row>
    <row r="3900" customHeight="1" spans="29:31">
      <c r="AC3900" s="2"/>
      <c r="AD3900" t="str">
        <f>IFERROR(__xludf.DUMMYFUNCTION("""COMPUTED_VALUE"""),"El Mariachi ")</f>
        <v>El Mariachi </v>
      </c>
      <c r="AE3900">
        <f t="shared" si="90"/>
        <v>69991</v>
      </c>
    </row>
    <row r="3901" customHeight="1" spans="29:31">
      <c r="AC3901" s="2"/>
      <c r="AD3901" t="str">
        <f>IFERROR(__xludf.DUMMYFUNCTION("""COMPUTED_VALUE"""),"Newlyweds ")</f>
        <v>Newlyweds </v>
      </c>
      <c r="AE3901">
        <f t="shared" si="90"/>
        <v>2040839</v>
      </c>
    </row>
    <row r="3902" customHeight="1" spans="29:31">
      <c r="AC3902" s="2"/>
      <c r="AD3902" t="str">
        <f>IFERROR(__xludf.DUMMYFUNCTION("""COMPUTED_VALUE"""),"My Date with Drew ")</f>
        <v>My Date with Drew </v>
      </c>
      <c r="AE3902">
        <f t="shared" si="90"/>
        <v>4489</v>
      </c>
    </row>
    <row r="3903" customHeight="1" spans="29:29">
      <c r="AC3903" s="2"/>
    </row>
  </sheetData>
  <pageMargins left="0.75" right="0.75" top="1" bottom="1" header="0.5" footer="0.5"/>
  <headerFooter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IMDB_Movies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2024-07-26T04:34:00Z</dcterms:created>
  <dcterms:modified xsi:type="dcterms:W3CDTF">2024-08-02T18:12:49Z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5422D86D8D5D4CE5838674A746BB1D7F_13</vt:lpwstr>
  </property>
  <property fmtid="{D5CDD505-2E9C-101B-9397-08002B2CF9AE}" pid="3" name="KSOProductBuildVer">
    <vt:lpwstr>1033-12.2.0.17153</vt:lpwstr>
  </property>
</Properties>
</file>