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a197469dad6ac58/Desktop/"/>
    </mc:Choice>
  </mc:AlternateContent>
  <xr:revisionPtr revIDLastSave="0" documentId="8_{DB9C3D65-A613-4483-B014-157F4188207E}" xr6:coauthVersionLast="47" xr6:coauthVersionMax="47" xr10:uidLastSave="{00000000-0000-0000-0000-000000000000}"/>
  <bookViews>
    <workbookView xWindow="-110" yWindow="-110" windowWidth="19420" windowHeight="11500" firstSheet="3" activeTab="3" xr2:uid="{00000000-000D-0000-FFFF-FFFF00000000}"/>
  </bookViews>
  <sheets>
    <sheet name="Free Cash Flow" sheetId="2" r:id="rId1"/>
    <sheet name="Fixed Assets" sheetId="3" r:id="rId2"/>
    <sheet name="Net Working Capital" sheetId="4" r:id="rId3"/>
    <sheet name="DCF" sheetId="5" r:id="rId4"/>
    <sheet name="WACC" sheetId="6" r:id="rId5"/>
    <sheet name="Income Statement" sheetId="8" r:id="rId6"/>
    <sheet name="Balance Sheet" sheetId="9" r:id="rId7"/>
    <sheet name="Cash Flow Statement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F13" i="5" l="1"/>
  <c r="F14" i="5"/>
  <c r="F17" i="5"/>
  <c r="F16" i="5"/>
  <c r="G12" i="5"/>
  <c r="H12" i="5"/>
  <c r="J12" i="5"/>
  <c r="K12" i="5" s="1"/>
  <c r="C18" i="5"/>
  <c r="C16" i="5"/>
  <c r="C16" i="6"/>
  <c r="C13" i="6" l="1"/>
  <c r="C4" i="6"/>
  <c r="F13" i="4"/>
  <c r="E13" i="4"/>
  <c r="D13" i="4"/>
  <c r="C13" i="4"/>
  <c r="C29" i="4" s="1"/>
  <c r="F12" i="4"/>
  <c r="E12" i="4"/>
  <c r="D12" i="4"/>
  <c r="C12" i="4"/>
  <c r="C28" i="4" s="1"/>
  <c r="F11" i="4"/>
  <c r="E11" i="4"/>
  <c r="D11" i="4"/>
  <c r="C11" i="4"/>
  <c r="C27" i="4" s="1"/>
  <c r="F10" i="4"/>
  <c r="E10" i="4"/>
  <c r="D10" i="4"/>
  <c r="D14" i="4" s="1"/>
  <c r="C20" i="2" s="1"/>
  <c r="C10" i="4"/>
  <c r="F9" i="4"/>
  <c r="E9" i="4"/>
  <c r="E23" i="4" s="1"/>
  <c r="D9" i="4"/>
  <c r="C9" i="4"/>
  <c r="C23" i="4" s="1"/>
  <c r="F6" i="4"/>
  <c r="E6" i="4"/>
  <c r="D6" i="4"/>
  <c r="C6" i="4"/>
  <c r="C25" i="4" s="1"/>
  <c r="F5" i="4"/>
  <c r="E5" i="4"/>
  <c r="D5" i="4"/>
  <c r="C5" i="4"/>
  <c r="C22" i="4" s="1"/>
  <c r="F4" i="4"/>
  <c r="E4" i="4"/>
  <c r="D4" i="4"/>
  <c r="C4" i="4"/>
  <c r="C21" i="4" s="1"/>
  <c r="G12" i="3"/>
  <c r="H12" i="3" s="1"/>
  <c r="I12" i="3" s="1"/>
  <c r="J12" i="3" s="1"/>
  <c r="E7" i="3"/>
  <c r="F4" i="3" s="1"/>
  <c r="D7" i="3"/>
  <c r="C7" i="3"/>
  <c r="E4" i="3"/>
  <c r="D4" i="3"/>
  <c r="C4" i="3"/>
  <c r="E28" i="2"/>
  <c r="D28" i="2"/>
  <c r="J24" i="2"/>
  <c r="I24" i="2"/>
  <c r="H24" i="2"/>
  <c r="G24" i="2"/>
  <c r="F24" i="2"/>
  <c r="E24" i="2"/>
  <c r="D24" i="2"/>
  <c r="C24" i="2"/>
  <c r="B24" i="2"/>
  <c r="D15" i="2"/>
  <c r="E13" i="2"/>
  <c r="D13" i="2"/>
  <c r="C13" i="2"/>
  <c r="E11" i="2"/>
  <c r="E15" i="2" s="1"/>
  <c r="D11" i="2"/>
  <c r="D5" i="3" s="1"/>
  <c r="C11" i="2"/>
  <c r="C5" i="3" s="1"/>
  <c r="E8" i="2"/>
  <c r="E9" i="2" s="1"/>
  <c r="D8" i="2"/>
  <c r="D9" i="2" s="1"/>
  <c r="C8" i="2"/>
  <c r="C9" i="2" s="1"/>
  <c r="E6" i="2"/>
  <c r="D6" i="2"/>
  <c r="D10" i="2" s="1"/>
  <c r="D12" i="2" s="1"/>
  <c r="E5" i="2"/>
  <c r="F19" i="4" s="1"/>
  <c r="D5" i="2"/>
  <c r="E19" i="4" s="1"/>
  <c r="C5" i="2"/>
  <c r="D19" i="4" s="1"/>
  <c r="E4" i="2"/>
  <c r="D4" i="2"/>
  <c r="E18" i="4" s="1"/>
  <c r="C4" i="2"/>
  <c r="D18" i="4" s="1"/>
  <c r="D7" i="4" l="1"/>
  <c r="C19" i="2" s="1"/>
  <c r="D22" i="4"/>
  <c r="E7" i="4"/>
  <c r="D19" i="2" s="1"/>
  <c r="E22" i="4"/>
  <c r="D23" i="4"/>
  <c r="G23" i="4" s="1"/>
  <c r="D27" i="4"/>
  <c r="K27" i="4" s="1"/>
  <c r="D29" i="4"/>
  <c r="J29" i="4" s="1"/>
  <c r="C17" i="5"/>
  <c r="C15" i="6"/>
  <c r="C8" i="6"/>
  <c r="C6" i="6"/>
  <c r="C9" i="6" s="1"/>
  <c r="E5" i="3"/>
  <c r="E11" i="3" s="1"/>
  <c r="F14" i="4"/>
  <c r="E20" i="2" s="1"/>
  <c r="F23" i="4"/>
  <c r="K23" i="4" s="1"/>
  <c r="F27" i="4"/>
  <c r="G27" i="4" s="1"/>
  <c r="E25" i="2"/>
  <c r="F4" i="2"/>
  <c r="F22" i="4"/>
  <c r="E27" i="4"/>
  <c r="E29" i="4"/>
  <c r="D27" i="2"/>
  <c r="E6" i="3"/>
  <c r="D21" i="4"/>
  <c r="D25" i="4"/>
  <c r="C14" i="4"/>
  <c r="C26" i="4"/>
  <c r="K28" i="4"/>
  <c r="E27" i="2"/>
  <c r="E21" i="4"/>
  <c r="E25" i="4"/>
  <c r="D26" i="4"/>
  <c r="D28" i="4"/>
  <c r="G28" i="4" s="1"/>
  <c r="E14" i="4"/>
  <c r="D20" i="2" s="1"/>
  <c r="D18" i="2" s="1"/>
  <c r="F7" i="4"/>
  <c r="E19" i="2" s="1"/>
  <c r="E18" i="2" s="1"/>
  <c r="E26" i="4"/>
  <c r="E28" i="4"/>
  <c r="F6" i="3"/>
  <c r="F16" i="2" s="1"/>
  <c r="J22" i="4"/>
  <c r="G22" i="4"/>
  <c r="K22" i="4"/>
  <c r="H22" i="4"/>
  <c r="I22" i="4"/>
  <c r="C7" i="4"/>
  <c r="F28" i="4"/>
  <c r="J28" i="4" s="1"/>
  <c r="E10" i="2"/>
  <c r="E12" i="2" s="1"/>
  <c r="C11" i="3"/>
  <c r="C6" i="3"/>
  <c r="C18" i="2"/>
  <c r="C17" i="2" s="1"/>
  <c r="D6" i="3"/>
  <c r="D11" i="3"/>
  <c r="D14" i="2"/>
  <c r="D29" i="2"/>
  <c r="C6" i="2"/>
  <c r="C10" i="2" s="1"/>
  <c r="C12" i="2" s="1"/>
  <c r="C14" i="2" s="1"/>
  <c r="C15" i="2"/>
  <c r="C27" i="2"/>
  <c r="F27" i="2" s="1"/>
  <c r="G27" i="2" s="1"/>
  <c r="H27" i="2" s="1"/>
  <c r="I27" i="2" s="1"/>
  <c r="J27" i="2" s="1"/>
  <c r="C28" i="2"/>
  <c r="F28" i="2" s="1"/>
  <c r="G28" i="2" s="1"/>
  <c r="H28" i="2" s="1"/>
  <c r="I28" i="2" s="1"/>
  <c r="J28" i="2" s="1"/>
  <c r="F18" i="4"/>
  <c r="F29" i="4" s="1"/>
  <c r="D25" i="2"/>
  <c r="I29" i="4" l="1"/>
  <c r="G29" i="4"/>
  <c r="C29" i="2"/>
  <c r="F26" i="4"/>
  <c r="K26" i="4" s="1"/>
  <c r="I28" i="4"/>
  <c r="K29" i="4"/>
  <c r="J23" i="4"/>
  <c r="E16" i="2"/>
  <c r="E12" i="3"/>
  <c r="H28" i="4"/>
  <c r="H25" i="4"/>
  <c r="H21" i="4"/>
  <c r="H29" i="4"/>
  <c r="I23" i="4"/>
  <c r="G26" i="4"/>
  <c r="J26" i="4"/>
  <c r="J27" i="4"/>
  <c r="H23" i="4"/>
  <c r="F5" i="2"/>
  <c r="G19" i="4" s="1"/>
  <c r="G9" i="4" s="1"/>
  <c r="G4" i="2"/>
  <c r="F8" i="2"/>
  <c r="F9" i="2" s="1"/>
  <c r="G18" i="4"/>
  <c r="I27" i="4"/>
  <c r="F25" i="4"/>
  <c r="K25" i="4" s="1"/>
  <c r="I25" i="4"/>
  <c r="C18" i="6"/>
  <c r="C12" i="5" s="1"/>
  <c r="H27" i="4"/>
  <c r="F21" i="4"/>
  <c r="D16" i="2"/>
  <c r="D12" i="3"/>
  <c r="F11" i="3"/>
  <c r="C21" i="2"/>
  <c r="D4" i="5" s="1"/>
  <c r="D17" i="2"/>
  <c r="E14" i="2"/>
  <c r="E29" i="2"/>
  <c r="C12" i="3"/>
  <c r="C16" i="2"/>
  <c r="E17" i="2"/>
  <c r="I26" i="4" l="1"/>
  <c r="H26" i="4"/>
  <c r="G11" i="3"/>
  <c r="H11" i="3" s="1"/>
  <c r="I11" i="3" s="1"/>
  <c r="J11" i="3" s="1"/>
  <c r="F5" i="3"/>
  <c r="H4" i="2"/>
  <c r="G8" i="2"/>
  <c r="G9" i="2" s="1"/>
  <c r="G5" i="2"/>
  <c r="H19" i="4" s="1"/>
  <c r="H18" i="4"/>
  <c r="F6" i="2"/>
  <c r="F10" i="2" s="1"/>
  <c r="K21" i="4"/>
  <c r="G21" i="4"/>
  <c r="J25" i="4"/>
  <c r="E21" i="2"/>
  <c r="F4" i="5" s="1"/>
  <c r="D21" i="2"/>
  <c r="E4" i="5" s="1"/>
  <c r="G5" i="4"/>
  <c r="G12" i="4"/>
  <c r="G10" i="4"/>
  <c r="G14" i="4" s="1"/>
  <c r="F20" i="2" s="1"/>
  <c r="G13" i="4"/>
  <c r="G11" i="4"/>
  <c r="G25" i="4"/>
  <c r="G6" i="4" s="1"/>
  <c r="I21" i="4"/>
  <c r="J21" i="4"/>
  <c r="H9" i="4" l="1"/>
  <c r="H5" i="4"/>
  <c r="F11" i="2"/>
  <c r="F15" i="2" s="1"/>
  <c r="F7" i="3"/>
  <c r="G4" i="3" s="1"/>
  <c r="G6" i="2"/>
  <c r="G10" i="2" s="1"/>
  <c r="G4" i="4"/>
  <c r="G7" i="4" s="1"/>
  <c r="F19" i="2" s="1"/>
  <c r="F18" i="2" s="1"/>
  <c r="F17" i="2" s="1"/>
  <c r="H4" i="4"/>
  <c r="H7" i="4" s="1"/>
  <c r="G19" i="2" s="1"/>
  <c r="I4" i="2"/>
  <c r="H8" i="2"/>
  <c r="H9" i="2" s="1"/>
  <c r="H5" i="2"/>
  <c r="I19" i="4" s="1"/>
  <c r="I18" i="4"/>
  <c r="F12" i="2"/>
  <c r="H6" i="4"/>
  <c r="H11" i="4"/>
  <c r="H12" i="4"/>
  <c r="H10" i="4"/>
  <c r="H13" i="4"/>
  <c r="H6" i="2" l="1"/>
  <c r="H10" i="2" s="1"/>
  <c r="G5" i="3"/>
  <c r="G11" i="2" s="1"/>
  <c r="G15" i="2" s="1"/>
  <c r="G6" i="3"/>
  <c r="G16" i="2" s="1"/>
  <c r="F13" i="2"/>
  <c r="F14" i="2" s="1"/>
  <c r="F21" i="2" s="1"/>
  <c r="G4" i="5" s="1"/>
  <c r="G7" i="5" s="1"/>
  <c r="I13" i="4"/>
  <c r="I11" i="4"/>
  <c r="I12" i="4"/>
  <c r="I6" i="4"/>
  <c r="I10" i="4"/>
  <c r="I9" i="4"/>
  <c r="I14" i="4" s="1"/>
  <c r="H20" i="2" s="1"/>
  <c r="I5" i="4"/>
  <c r="J4" i="2"/>
  <c r="I8" i="2"/>
  <c r="I9" i="2" s="1"/>
  <c r="I5" i="2"/>
  <c r="J19" i="4" s="1"/>
  <c r="J18" i="4"/>
  <c r="I4" i="4"/>
  <c r="H14" i="4"/>
  <c r="G20" i="2" s="1"/>
  <c r="G18" i="2" s="1"/>
  <c r="G17" i="2" s="1"/>
  <c r="I7" i="4" l="1"/>
  <c r="H19" i="2" s="1"/>
  <c r="H18" i="2" s="1"/>
  <c r="H17" i="2" s="1"/>
  <c r="J10" i="4"/>
  <c r="J12" i="4"/>
  <c r="J13" i="4"/>
  <c r="J11" i="4"/>
  <c r="J6" i="4"/>
  <c r="J4" i="4"/>
  <c r="G7" i="3"/>
  <c r="H4" i="3" s="1"/>
  <c r="J9" i="4"/>
  <c r="J5" i="4"/>
  <c r="J5" i="2"/>
  <c r="K19" i="4" s="1"/>
  <c r="J8" i="2"/>
  <c r="J9" i="2" s="1"/>
  <c r="J6" i="2"/>
  <c r="J10" i="2" s="1"/>
  <c r="K18" i="4"/>
  <c r="I6" i="2"/>
  <c r="I10" i="2" s="1"/>
  <c r="G12" i="2"/>
  <c r="J14" i="4" l="1"/>
  <c r="I20" i="2" s="1"/>
  <c r="K6" i="4"/>
  <c r="K11" i="4"/>
  <c r="K10" i="4"/>
  <c r="K13" i="4"/>
  <c r="K12" i="4"/>
  <c r="K4" i="4"/>
  <c r="K7" i="4" s="1"/>
  <c r="J19" i="2" s="1"/>
  <c r="K9" i="4"/>
  <c r="K5" i="4"/>
  <c r="G13" i="2"/>
  <c r="G14" i="2" s="1"/>
  <c r="G21" i="2" s="1"/>
  <c r="H4" i="5" s="1"/>
  <c r="H7" i="5" s="1"/>
  <c r="H5" i="3"/>
  <c r="H11" i="2" s="1"/>
  <c r="H6" i="3"/>
  <c r="H16" i="2" s="1"/>
  <c r="J7" i="4"/>
  <c r="I19" i="2" s="1"/>
  <c r="I18" i="2" s="1"/>
  <c r="I17" i="2" s="1"/>
  <c r="H15" i="2" l="1"/>
  <c r="H12" i="2"/>
  <c r="H7" i="3"/>
  <c r="I4" i="3" s="1"/>
  <c r="K14" i="4"/>
  <c r="J20" i="2" s="1"/>
  <c r="J18" i="2" s="1"/>
  <c r="J17" i="2" s="1"/>
  <c r="I5" i="3" l="1"/>
  <c r="I11" i="2" s="1"/>
  <c r="I6" i="3"/>
  <c r="H13" i="2"/>
  <c r="H14" i="2" s="1"/>
  <c r="H21" i="2" s="1"/>
  <c r="I4" i="5" s="1"/>
  <c r="I7" i="5" s="1"/>
  <c r="I7" i="3" l="1"/>
  <c r="J4" i="3" s="1"/>
  <c r="I16" i="2"/>
  <c r="I15" i="2"/>
  <c r="I12" i="2"/>
  <c r="I13" i="2" l="1"/>
  <c r="I14" i="2"/>
  <c r="I21" i="2" s="1"/>
  <c r="J4" i="5" s="1"/>
  <c r="J7" i="5" s="1"/>
  <c r="J5" i="3"/>
  <c r="J11" i="2" s="1"/>
  <c r="J6" i="3"/>
  <c r="J15" i="2" l="1"/>
  <c r="J12" i="2"/>
  <c r="J7" i="3"/>
  <c r="J16" i="2"/>
  <c r="J13" i="2" l="1"/>
  <c r="J14" i="2"/>
  <c r="J21" i="2" s="1"/>
  <c r="K4" i="5" s="1"/>
  <c r="C13" i="5" l="1"/>
  <c r="C14" i="5" s="1"/>
  <c r="K7" i="5"/>
  <c r="C10" i="5" s="1"/>
  <c r="C15" i="5" s="1"/>
  <c r="C19" i="5" s="1"/>
  <c r="C21" i="5" s="1"/>
  <c r="F1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ID#AAAAccCPVgc
kenji    (2022-07-02 07:51:37)
Industry Growth Rate</t>
        </r>
      </text>
    </comment>
    <comment ref="C20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ID#AAAAccCPVgg
kenji    (2022-07-02 07:51:37)
Source: Company 10k filing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LZJ0isP2on7YGGbghdkv2AKwl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ID#AAAAccCPVgU
kenji    (2022-07-02 07:51:37)
Source: Bloomberg</t>
        </r>
      </text>
    </comment>
    <comment ref="C7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ID#AAAAccCPVgk
kenji    (2022-07-02 07:51:37)
US Corporate Tax Rate</t>
        </r>
      </text>
    </comment>
    <comment ref="C11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ID#AAAAccCPVgs
kenji    (2022-07-02 07:51:37)
Source: Bloomberg</t>
        </r>
      </text>
    </comment>
    <comment ref="C12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ID#AAAAccCPVgo
kenji    (2022-07-02 07:51:37)
Source: Bloomberg</t>
        </r>
      </text>
    </comment>
    <comment ref="C14" authorId="0" shapeId="0" xr:uid="{00000000-0006-0000-0500-000005000000}">
      <text>
        <r>
          <rPr>
            <sz val="11"/>
            <color theme="1"/>
            <rFont val="Calibri"/>
            <scheme val="minor"/>
          </rPr>
          <t>======
ID#AAAAccCPVgY
kenji    (2022-07-02 07:51:37)
Source: Bloomberg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+NGYzTHC6dOFxnHnU1G7rGzs/A=="/>
    </ext>
  </extLst>
</comments>
</file>

<file path=xl/sharedStrings.xml><?xml version="1.0" encoding="utf-8"?>
<sst xmlns="http://schemas.openxmlformats.org/spreadsheetml/2006/main" count="203" uniqueCount="179">
  <si>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</si>
  <si>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</si>
  <si>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</si>
  <si>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</si>
  <si>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</si>
  <si>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</si>
  <si>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</si>
  <si>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</si>
  <si>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</si>
  <si>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</si>
  <si>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</si>
  <si>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</si>
  <si>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</si>
  <si>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</si>
  <si>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</si>
  <si>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</si>
  <si>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</si>
  <si>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</si>
  <si>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</si>
  <si>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</si>
  <si>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</si>
  <si>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</si>
  <si>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</si>
  <si>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</si>
  <si>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</si>
  <si>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</si>
  <si>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</si>
  <si>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</si>
  <si>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</si>
  <si>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</si>
  <si>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</si>
  <si>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</si>
  <si>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</si>
  <si>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</si>
  <si>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</si>
  <si>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</si>
  <si>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</si>
  <si>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</si>
  <si>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</si>
  <si>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</si>
  <si>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</si>
  <si>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</si>
  <si>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</si>
  <si>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</si>
  <si>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</si>
  <si>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</si>
  <si>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</si>
  <si>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</si>
  <si>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</si>
  <si>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</si>
  <si>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</si>
  <si>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</si>
  <si>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</si>
  <si>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</si>
  <si>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</si>
  <si>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</si>
  <si>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</si>
  <si>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</si>
  <si>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</si>
  <si>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</si>
  <si>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</si>
  <si>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</si>
  <si>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</si>
  <si>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</si>
  <si>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</si>
  <si>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</si>
  <si>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</si>
  <si>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</si>
  <si>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</si>
  <si>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</si>
  <si>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</si>
  <si>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</si>
  <si>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</si>
  <si>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</si>
  <si>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</si>
  <si>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</si>
  <si>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</si>
  <si>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</si>
  <si>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</si>
  <si>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</si>
  <si>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</si>
  <si>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</si>
  <si>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</si>
  <si>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</si>
  <si>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</si>
  <si>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</si>
  <si>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</si>
  <si>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</si>
  <si>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</si>
  <si>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</si>
  <si>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</si>
  <si>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</si>
  <si>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</si>
  <si>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</si>
  <si>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</si>
  <si>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</si>
  <si>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</si>
  <si>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</si>
  <si>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</si>
  <si>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</si>
  <si>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</si>
  <si>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</si>
  <si>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</si>
  <si>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</si>
  <si>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</si>
  <si>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</si>
  <si>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</si>
  <si>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</si>
  <si>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</si>
  <si>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</si>
  <si>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</si>
  <si>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</si>
  <si>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</si>
  <si>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</si>
  <si>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</si>
  <si>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</si>
  <si>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</si>
  <si>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</si>
  <si>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</si>
  <si>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</si>
  <si>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</si>
  <si>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</si>
  <si>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</si>
  <si>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</si>
  <si>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</si>
  <si>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</si>
  <si>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</si>
  <si>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</si>
  <si>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</si>
  <si>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</si>
  <si>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</si>
  <si>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</si>
  <si>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</si>
  <si>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</si>
  <si>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</si>
  <si>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</si>
  <si>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</si>
  <si>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</si>
  <si>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</si>
  <si>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</si>
  <si>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</si>
  <si>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</si>
  <si>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</si>
  <si>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</si>
  <si>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</si>
  <si>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</si>
  <si>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</si>
  <si>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</si>
  <si>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</si>
  <si>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</si>
  <si>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</si>
  <si>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</si>
  <si>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</si>
  <si>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</si>
  <si>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</si>
  <si>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</si>
  <si>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</si>
  <si>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</si>
  <si>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</si>
  <si>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</si>
  <si>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</si>
  <si>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</si>
  <si>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</si>
  <si>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</si>
  <si>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</si>
  <si>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</si>
  <si>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</si>
  <si>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</si>
  <si>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</si>
  <si>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</si>
  <si>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</si>
  <si>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</si>
  <si>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</si>
  <si>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</si>
  <si>
    <t>DSO: Number of days it takes for a company to collect payment on a sale</t>
  </si>
  <si>
    <t>DIO: Number of days it takes for a company to sell its Inventory</t>
  </si>
  <si>
    <t>DPO: Number of days it takes for a company to make payments</t>
  </si>
  <si>
    <t>.</t>
  </si>
  <si>
    <t>DATA-WHAT IF ANALYSIS -DATA TABLE -IN FIRST COLUMN (GROWTH RATE AND IN 2ND COLUMN WACC)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</si>
</sst>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E7E6E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5" fontId="1" fillId="2" borderId="2" xfId="0" applyNumberFormat="1" applyFont="1" applyFill="1" applyBorder="1"/>
    <xf numFmtId="0" fontId="4" fillId="0" borderId="0" xfId="0" applyFont="1"/>
    <xf numFmtId="166" fontId="1" fillId="0" borderId="0" xfId="0" applyNumberFormat="1" applyFont="1"/>
    <xf numFmtId="0" fontId="1" fillId="0" borderId="3" xfId="0" applyFont="1" applyBorder="1"/>
    <xf numFmtId="166" fontId="1" fillId="0" borderId="3" xfId="0" applyNumberFormat="1" applyFont="1" applyBorder="1"/>
    <xf numFmtId="0" fontId="2" fillId="0" borderId="0" xfId="0" applyFont="1"/>
    <xf numFmtId="166" fontId="2" fillId="0" borderId="0" xfId="0" applyNumberFormat="1" applyFont="1"/>
    <xf numFmtId="0" fontId="1" fillId="0" borderId="0" xfId="0" applyFont="1" applyAlignment="1">
      <alignment horizontal="left"/>
    </xf>
    <xf numFmtId="0" fontId="2" fillId="4" borderId="4" xfId="0" applyFont="1" applyFill="1" applyBorder="1"/>
    <xf numFmtId="166" fontId="2" fillId="4" borderId="4" xfId="0" applyNumberFormat="1" applyFont="1" applyFill="1" applyBorder="1"/>
    <xf numFmtId="0" fontId="1" fillId="5" borderId="1" xfId="0" applyFont="1" applyFill="1" applyBorder="1"/>
    <xf numFmtId="167" fontId="1" fillId="5" borderId="1" xfId="0" applyNumberFormat="1" applyFont="1" applyFill="1" applyBorder="1"/>
    <xf numFmtId="3" fontId="1" fillId="0" borderId="0" xfId="0" applyNumberFormat="1" applyFont="1"/>
    <xf numFmtId="0" fontId="2" fillId="0" borderId="5" xfId="0" applyFont="1" applyBorder="1"/>
    <xf numFmtId="3" fontId="2" fillId="0" borderId="5" xfId="0" applyNumberFormat="1" applyFont="1" applyBorder="1"/>
    <xf numFmtId="167" fontId="1" fillId="0" borderId="0" xfId="0" applyNumberFormat="1" applyFont="1"/>
    <xf numFmtId="3" fontId="1" fillId="5" borderId="1" xfId="0" applyNumberFormat="1" applyFont="1" applyFill="1" applyBorder="1"/>
    <xf numFmtId="168" fontId="1" fillId="5" borderId="1" xfId="0" applyNumberFormat="1" applyFont="1" applyFill="1" applyBorder="1"/>
    <xf numFmtId="9" fontId="6" fillId="0" borderId="0" xfId="0" applyNumberFormat="1" applyFont="1"/>
    <xf numFmtId="4" fontId="1" fillId="0" borderId="0" xfId="0" applyNumberFormat="1" applyFont="1"/>
    <xf numFmtId="10" fontId="1" fillId="2" borderId="1" xfId="0" applyNumberFormat="1" applyFont="1" applyFill="1" applyBorder="1"/>
    <xf numFmtId="4" fontId="1" fillId="2" borderId="1" xfId="0" applyNumberFormat="1" applyFont="1" applyFill="1" applyBorder="1"/>
    <xf numFmtId="4" fontId="3" fillId="3" borderId="1" xfId="0" applyNumberFormat="1" applyFont="1" applyFill="1" applyBorder="1"/>
    <xf numFmtId="0" fontId="1" fillId="0" borderId="5" xfId="0" applyFont="1" applyBorder="1"/>
    <xf numFmtId="3" fontId="1" fillId="0" borderId="5" xfId="0" applyNumberFormat="1" applyFont="1" applyBorder="1"/>
    <xf numFmtId="2" fontId="6" fillId="0" borderId="0" xfId="0" applyNumberFormat="1" applyFont="1"/>
    <xf numFmtId="4" fontId="2" fillId="4" borderId="4" xfId="0" applyNumberFormat="1" applyFont="1" applyFill="1" applyBorder="1"/>
    <xf numFmtId="3" fontId="6" fillId="0" borderId="0" xfId="0" applyNumberFormat="1" applyFont="1"/>
    <xf numFmtId="167" fontId="6" fillId="0" borderId="0" xfId="0" applyNumberFormat="1" applyFont="1"/>
    <xf numFmtId="167" fontId="2" fillId="0" borderId="5" xfId="0" applyNumberFormat="1" applyFont="1" applyBorder="1"/>
    <xf numFmtId="167" fontId="2" fillId="0" borderId="0" xfId="0" applyNumberFormat="1" applyFont="1"/>
    <xf numFmtId="0" fontId="6" fillId="0" borderId="0" xfId="0" applyFont="1"/>
    <xf numFmtId="167" fontId="2" fillId="4" borderId="4" xfId="0" applyNumberFormat="1" applyFont="1" applyFill="1" applyBorder="1"/>
    <xf numFmtId="0" fontId="1" fillId="0" borderId="0" xfId="0" applyFont="1" applyAlignment="1">
      <alignment horizontal="center"/>
    </xf>
    <xf numFmtId="169" fontId="1" fillId="0" borderId="0" xfId="0" applyNumberFormat="1" applyFont="1"/>
    <xf numFmtId="0" fontId="1" fillId="6" borderId="11" xfId="0" applyFont="1" applyFill="1" applyBorder="1"/>
    <xf numFmtId="0" fontId="0" fillId="7" borderId="0" xfId="0" applyFill="1"/>
    <xf numFmtId="0" fontId="3" fillId="3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3" fillId="3" borderId="9" xfId="0" applyFont="1" applyFill="1" applyBorder="1" applyAlignment="1">
      <alignment horizontal="center" vertical="center" textRotation="90"/>
    </xf>
    <xf numFmtId="0" fontId="5" fillId="0" borderId="10" xfId="0" applyFont="1" applyBorder="1"/>
    <xf numFmtId="0" fontId="5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3</xdr:col>
      <xdr:colOff>363361</xdr:colOff>
      <xdr:row>46</xdr:row>
      <xdr:rowOff>132809</xdr:rowOff>
    </xdr:to>
    <xdr:pic>
      <xdr:nvPicPr>
        <xdr:cNvPr id="2" name="Content Placeholder 3">
          <a:extLst>
            <a:ext uri="{FF2B5EF4-FFF2-40B4-BE49-F238E27FC236}">
              <a16:creationId xmlns:a16="http://schemas.microsoft.com/office/drawing/2014/main" id="{BFCFC685-1C70-6E44-83EE-9299C14CCCF9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4635500"/>
          <a:ext cx="3258961" cy="3688809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16</xdr:col>
      <xdr:colOff>103012</xdr:colOff>
      <xdr:row>29</xdr:row>
      <xdr:rowOff>102405</xdr:rowOff>
    </xdr:to>
    <xdr:sp macro="" textlink="">
      <xdr:nvSpPr>
        <xdr:cNvPr id="3" name="TextBox 4">
          <a:extLst>
            <a:ext uri="{FF2B5EF4-FFF2-40B4-BE49-F238E27FC236}">
              <a16:creationId xmlns:a16="http://schemas.microsoft.com/office/drawing/2014/main" id="{A756019B-B178-984F-9076-8A4207ED03F9}"/>
            </a:ext>
          </a:extLst>
        </xdr:cNvPr>
        <xdr:cNvSpPr txBox="1"/>
      </xdr:nvSpPr>
      <xdr:spPr>
        <a:xfrm>
          <a:off x="5016500" y="4991100"/>
          <a:ext cx="771031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Enterprise value = Present value of FCF + Present value of Terminal Value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000"/>
  <sheetViews>
    <sheetView showGridLines="0" workbookViewId="0">
      <selection activeCell="K15" sqref="K15"/>
    </sheetView>
  </sheetViews>
  <sheetFormatPr defaultColWidth="14.453125" defaultRowHeight="15" customHeight="1" x14ac:dyDescent="0.35"/>
  <cols>
    <col min="1" max="1" width="8.81640625" customWidth="1"/>
    <col min="2" max="2" width="45.453125" customWidth="1"/>
    <col min="3" max="9" width="10.453125" customWidth="1"/>
    <col min="10" max="10" width="11.08984375" customWidth="1"/>
    <col min="11" max="26" width="8.81640625" customWidth="1"/>
  </cols>
  <sheetData>
    <row r="1" spans="2:11" ht="14.25" customHeight="1" x14ac:dyDescent="0.35"/>
    <row r="2" spans="2:11" ht="14.25" customHeight="1" x14ac:dyDescent="0.35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1" ht="14.25" customHeight="1" x14ac:dyDescent="0.35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1" ht="14.25" customHeight="1" x14ac:dyDescent="0.35">
      <c r="B4" s="6" t="s">
        <v>2</v>
      </c>
      <c r="C4" s="7">
        <f>'Income Statement'!C5</f>
        <v>152703</v>
      </c>
      <c r="D4" s="7">
        <f>'Income Statement'!D5</f>
        <v>166761</v>
      </c>
      <c r="E4" s="7">
        <f>'Income Statement'!E5</f>
        <v>195929</v>
      </c>
      <c r="F4" s="7">
        <f>E4*(1+F25)</f>
        <v>215521.90000000002</v>
      </c>
      <c r="G4" s="7">
        <f t="shared" ref="G4:J4" si="0">F4*(1+G25)</f>
        <v>237074.09000000005</v>
      </c>
      <c r="H4" s="7">
        <f t="shared" si="0"/>
        <v>258410.75810000006</v>
      </c>
      <c r="I4" s="7">
        <f t="shared" si="0"/>
        <v>276499.51116700011</v>
      </c>
      <c r="J4" s="7">
        <f t="shared" si="0"/>
        <v>290324.48672535014</v>
      </c>
      <c r="K4" s="7"/>
    </row>
    <row r="5" spans="2:11" ht="14.25" customHeight="1" x14ac:dyDescent="0.35">
      <c r="B5" s="8" t="s">
        <v>3</v>
      </c>
      <c r="C5" s="9">
        <f>'Income Statement'!C7</f>
        <v>132886</v>
      </c>
      <c r="D5" s="9">
        <f>'Income Statement'!D7</f>
        <v>144939</v>
      </c>
      <c r="E5" s="9">
        <f>'Income Statement'!E7</f>
        <v>170684</v>
      </c>
      <c r="F5" s="9">
        <f>F4*F27</f>
        <v>187541.37989690871</v>
      </c>
      <c r="G5" s="9">
        <f t="shared" ref="G5:J5" si="1">G4*G27</f>
        <v>206295.51788659961</v>
      </c>
      <c r="H5" s="9">
        <f t="shared" si="1"/>
        <v>224862.11449639357</v>
      </c>
      <c r="I5" s="9">
        <f t="shared" si="1"/>
        <v>240602.46251114114</v>
      </c>
      <c r="J5" s="9">
        <f t="shared" si="1"/>
        <v>252632.58563669823</v>
      </c>
    </row>
    <row r="6" spans="2:11" ht="14.25" customHeight="1" x14ac:dyDescent="0.35">
      <c r="B6" s="10" t="s">
        <v>4</v>
      </c>
      <c r="C6" s="11">
        <f t="shared" ref="C6:E6" si="2">C4-C5</f>
        <v>19817</v>
      </c>
      <c r="D6" s="11">
        <f t="shared" si="2"/>
        <v>21822</v>
      </c>
      <c r="E6" s="11">
        <f t="shared" si="2"/>
        <v>25245</v>
      </c>
      <c r="F6" s="11">
        <f>F4-F5</f>
        <v>27980.520103091316</v>
      </c>
      <c r="G6" s="11">
        <f t="shared" ref="G6:J6" si="3">G4-G5</f>
        <v>30778.572113400442</v>
      </c>
      <c r="H6" s="11">
        <f t="shared" si="3"/>
        <v>33548.643603606499</v>
      </c>
      <c r="I6" s="11">
        <f t="shared" si="3"/>
        <v>35897.048655858962</v>
      </c>
      <c r="J6" s="11">
        <f t="shared" si="3"/>
        <v>37691.90108865191</v>
      </c>
    </row>
    <row r="7" spans="2:11" ht="14.25" customHeight="1" x14ac:dyDescent="0.35">
      <c r="B7" s="6" t="s">
        <v>5</v>
      </c>
      <c r="C7" s="7"/>
      <c r="D7" s="7"/>
      <c r="E7" s="7"/>
      <c r="F7" s="7"/>
      <c r="G7" s="7"/>
      <c r="H7" s="7"/>
      <c r="I7" s="7"/>
      <c r="J7" s="7"/>
    </row>
    <row r="8" spans="2:11" ht="14.25" customHeight="1" x14ac:dyDescent="0.35">
      <c r="B8" s="6" t="s">
        <v>6</v>
      </c>
      <c r="C8" s="7">
        <f>SUM('Income Statement'!C8,'Income Statement'!C10)</f>
        <v>13588</v>
      </c>
      <c r="D8" s="7">
        <f>SUM('Income Statement'!D8,'Income Statement'!D10)</f>
        <v>14742</v>
      </c>
      <c r="E8" s="7">
        <f>SUM('Income Statement'!E8,'Income Statement'!E10)</f>
        <v>16756</v>
      </c>
      <c r="F8" s="7">
        <f>F4*G28</f>
        <v>18887.32847958626</v>
      </c>
      <c r="G8" s="7">
        <f t="shared" ref="G8:J8" si="4">G4*H28</f>
        <v>20776.061327544889</v>
      </c>
      <c r="H8" s="7">
        <f t="shared" si="4"/>
        <v>22645.906847023929</v>
      </c>
      <c r="I8" s="7">
        <f>I4*J28</f>
        <v>24231.120326315606</v>
      </c>
      <c r="J8" s="7">
        <f>J4*J28</f>
        <v>25442.676342631388</v>
      </c>
    </row>
    <row r="9" spans="2:11" ht="14.25" customHeight="1" x14ac:dyDescent="0.35">
      <c r="B9" s="8" t="s">
        <v>7</v>
      </c>
      <c r="C9" s="9">
        <f t="shared" ref="C9:E9" si="5">SUM(C8)</f>
        <v>13588</v>
      </c>
      <c r="D9" s="9">
        <f t="shared" si="5"/>
        <v>14742</v>
      </c>
      <c r="E9" s="9">
        <f t="shared" si="5"/>
        <v>16756</v>
      </c>
      <c r="F9" s="9">
        <f>F8</f>
        <v>18887.32847958626</v>
      </c>
      <c r="G9" s="9">
        <f t="shared" ref="G9:J9" si="6">G8</f>
        <v>20776.061327544889</v>
      </c>
      <c r="H9" s="9">
        <f t="shared" si="6"/>
        <v>22645.906847023929</v>
      </c>
      <c r="I9" s="9">
        <f t="shared" si="6"/>
        <v>24231.120326315606</v>
      </c>
      <c r="J9" s="9">
        <f t="shared" si="6"/>
        <v>25442.676342631388</v>
      </c>
    </row>
    <row r="10" spans="2:11" ht="14.25" customHeight="1" x14ac:dyDescent="0.35">
      <c r="B10" s="10" t="s">
        <v>8</v>
      </c>
      <c r="C10" s="11">
        <f t="shared" ref="C10:E10" si="7">C6-C9</f>
        <v>6229</v>
      </c>
      <c r="D10" s="11">
        <f t="shared" si="7"/>
        <v>7080</v>
      </c>
      <c r="E10" s="11">
        <f t="shared" si="7"/>
        <v>8489</v>
      </c>
      <c r="F10" s="11">
        <f>F6-F9</f>
        <v>9093.1916235050558</v>
      </c>
      <c r="G10" s="11">
        <f t="shared" ref="G10:J10" si="8">G6-G9</f>
        <v>10002.510785855553</v>
      </c>
      <c r="H10" s="11">
        <f t="shared" si="8"/>
        <v>10902.73675658257</v>
      </c>
      <c r="I10" s="11">
        <f t="shared" si="8"/>
        <v>11665.928329543356</v>
      </c>
      <c r="J10" s="11">
        <f t="shared" si="8"/>
        <v>12249.224746020522</v>
      </c>
    </row>
    <row r="11" spans="2:11" ht="14.25" customHeight="1" x14ac:dyDescent="0.35">
      <c r="B11" s="8" t="s">
        <v>9</v>
      </c>
      <c r="C11" s="9">
        <f>'Income Statement'!C9</f>
        <v>1492</v>
      </c>
      <c r="D11" s="9">
        <f>'Income Statement'!D9</f>
        <v>1645</v>
      </c>
      <c r="E11" s="9">
        <f>'Income Statement'!E9</f>
        <v>1781</v>
      </c>
      <c r="F11" s="9">
        <f>'Fixed Assets'!F5</f>
        <v>1995.9571154515827</v>
      </c>
      <c r="G11" s="9">
        <f>'Fixed Assets'!G5</f>
        <v>2144.3445116404519</v>
      </c>
      <c r="H11" s="9">
        <f>'Fixed Assets'!H5</f>
        <v>2303.7636174673962</v>
      </c>
      <c r="I11" s="9">
        <f>'Fixed Assets'!I5</f>
        <v>2475.0345741348669</v>
      </c>
      <c r="J11" s="9">
        <f>'Fixed Assets'!J5</f>
        <v>2659.0384954065953</v>
      </c>
      <c r="K11" s="9"/>
    </row>
    <row r="12" spans="2:11" ht="14.25" customHeight="1" x14ac:dyDescent="0.35">
      <c r="B12" s="10" t="s">
        <v>10</v>
      </c>
      <c r="C12" s="11">
        <f t="shared" ref="C12:E12" si="9">C10-C11</f>
        <v>4737</v>
      </c>
      <c r="D12" s="11">
        <f t="shared" si="9"/>
        <v>5435</v>
      </c>
      <c r="E12" s="11">
        <f t="shared" si="9"/>
        <v>6708</v>
      </c>
      <c r="F12" s="11">
        <f>F10-F11</f>
        <v>7097.2345080534733</v>
      </c>
      <c r="G12" s="11">
        <f t="shared" ref="G12:J12" si="10">G10-G11</f>
        <v>7858.1662742151011</v>
      </c>
      <c r="H12" s="11">
        <f t="shared" si="10"/>
        <v>8598.9731391151727</v>
      </c>
      <c r="I12" s="11">
        <f t="shared" si="10"/>
        <v>9190.8937554084896</v>
      </c>
      <c r="J12" s="11">
        <f t="shared" si="10"/>
        <v>9590.1862506139259</v>
      </c>
    </row>
    <row r="13" spans="2:11" ht="14.25" customHeight="1" x14ac:dyDescent="0.35">
      <c r="B13" s="8" t="s">
        <v>11</v>
      </c>
      <c r="C13" s="9">
        <f>'Income Statement'!C16</f>
        <v>1061</v>
      </c>
      <c r="D13" s="9">
        <f>'Income Statement'!D16</f>
        <v>1308</v>
      </c>
      <c r="E13" s="9">
        <f>'Income Statement'!E16</f>
        <v>1601</v>
      </c>
      <c r="F13" s="9">
        <f>F12*F29</f>
        <v>1490.4192466912293</v>
      </c>
      <c r="G13" s="9">
        <f t="shared" ref="G13:J13" si="11">G12*G29</f>
        <v>1650.2149175851712</v>
      </c>
      <c r="H13" s="9">
        <f t="shared" si="11"/>
        <v>1805.7843592141862</v>
      </c>
      <c r="I13" s="9">
        <f t="shared" si="11"/>
        <v>1930.0876886357828</v>
      </c>
      <c r="J13" s="9">
        <f t="shared" si="11"/>
        <v>2013.9391126289245</v>
      </c>
    </row>
    <row r="14" spans="2:11" ht="14.25" customHeight="1" x14ac:dyDescent="0.35">
      <c r="B14" s="10" t="s">
        <v>12</v>
      </c>
      <c r="C14" s="11">
        <f t="shared" ref="C14:E14" si="12">C12-C13</f>
        <v>3676</v>
      </c>
      <c r="D14" s="11">
        <f t="shared" si="12"/>
        <v>4127</v>
      </c>
      <c r="E14" s="11">
        <f t="shared" si="12"/>
        <v>5107</v>
      </c>
      <c r="F14" s="11">
        <f>F12-F13</f>
        <v>5606.8152613622442</v>
      </c>
      <c r="G14" s="11">
        <f t="shared" ref="G14:J14" si="13">G12-G13</f>
        <v>6207.9513566299302</v>
      </c>
      <c r="H14" s="11">
        <f t="shared" si="13"/>
        <v>6793.1887799009864</v>
      </c>
      <c r="I14" s="11">
        <f t="shared" si="13"/>
        <v>7260.8060667727068</v>
      </c>
      <c r="J14" s="11">
        <f t="shared" si="13"/>
        <v>7576.2471379850012</v>
      </c>
    </row>
    <row r="15" spans="2:11" ht="14.25" customHeight="1" x14ac:dyDescent="0.35">
      <c r="B15" s="6" t="s">
        <v>13</v>
      </c>
      <c r="C15" s="7">
        <f t="shared" ref="C15:E15" si="14">C11</f>
        <v>1492</v>
      </c>
      <c r="D15" s="7">
        <f t="shared" si="14"/>
        <v>1645</v>
      </c>
      <c r="E15" s="7">
        <f t="shared" si="14"/>
        <v>1781</v>
      </c>
      <c r="F15" s="7">
        <f>F11</f>
        <v>1995.9571154515827</v>
      </c>
      <c r="G15" s="7">
        <f t="shared" ref="G15:J15" si="15">G11</f>
        <v>2144.3445116404519</v>
      </c>
      <c r="H15" s="7">
        <f t="shared" si="15"/>
        <v>2303.7636174673962</v>
      </c>
      <c r="I15" s="7">
        <f t="shared" si="15"/>
        <v>2475.0345741348669</v>
      </c>
      <c r="J15" s="7">
        <f t="shared" si="15"/>
        <v>2659.0384954065953</v>
      </c>
    </row>
    <row r="16" spans="2:11" ht="14.25" customHeight="1" x14ac:dyDescent="0.35">
      <c r="B16" s="6" t="s">
        <v>14</v>
      </c>
      <c r="C16" s="7">
        <f>'Fixed Assets'!C6</f>
        <v>2701</v>
      </c>
      <c r="D16" s="7">
        <f>'Fixed Assets'!D6</f>
        <v>5350</v>
      </c>
      <c r="E16" s="7">
        <f>'Fixed Assets'!E6</f>
        <v>3568</v>
      </c>
      <c r="F16" s="7">
        <f>'Fixed Assets'!F6</f>
        <v>3957.2999999999997</v>
      </c>
      <c r="G16" s="7">
        <f>'Fixed Assets'!G6</f>
        <v>4251.501432682262</v>
      </c>
      <c r="H16" s="7">
        <f>'Fixed Assets'!H6</f>
        <v>4567.5749708385338</v>
      </c>
      <c r="I16" s="7">
        <f>'Fixed Assets'!I6</f>
        <v>4907.146673844205</v>
      </c>
      <c r="J16" s="7">
        <f>'Fixed Assets'!J6</f>
        <v>5271.9634888006058</v>
      </c>
    </row>
    <row r="17" spans="2:10" ht="14.25" customHeight="1" x14ac:dyDescent="0.35">
      <c r="B17" s="6" t="s">
        <v>15</v>
      </c>
      <c r="C17" s="7">
        <f>C18-('Net Working Capital'!C7-'Net Working Capital'!C14)</f>
        <v>-691</v>
      </c>
      <c r="D17" s="7">
        <f t="shared" ref="D17:E17" si="16">D18-C18</f>
        <v>-2437</v>
      </c>
      <c r="E17" s="7">
        <f t="shared" si="16"/>
        <v>-1378</v>
      </c>
      <c r="F17" s="7">
        <f>F18-E18</f>
        <v>-244.07865700528419</v>
      </c>
      <c r="G17" s="7">
        <f t="shared" ref="G17:J17" si="17">G18-F18</f>
        <v>-1155.6078657005237</v>
      </c>
      <c r="H17" s="7">
        <f t="shared" si="17"/>
        <v>-1144.0517870435324</v>
      </c>
      <c r="I17" s="7">
        <f t="shared" si="17"/>
        <v>-969.90168168245873</v>
      </c>
      <c r="J17" s="7">
        <f t="shared" si="17"/>
        <v>-741.28199957158722</v>
      </c>
    </row>
    <row r="18" spans="2:10" ht="14.25" customHeight="1" x14ac:dyDescent="0.35">
      <c r="B18" s="12" t="s">
        <v>16</v>
      </c>
      <c r="C18" s="7">
        <f t="shared" ref="C18:E18" si="18">C19-C20</f>
        <v>-7497</v>
      </c>
      <c r="D18" s="7">
        <f t="shared" si="18"/>
        <v>-9934</v>
      </c>
      <c r="E18" s="7">
        <f t="shared" si="18"/>
        <v>-11312</v>
      </c>
      <c r="F18" s="7">
        <f>F19-F20</f>
        <v>-11556.078657005284</v>
      </c>
      <c r="G18" s="7">
        <f t="shared" ref="G18:J18" si="19">G19-G20</f>
        <v>-12711.686522705808</v>
      </c>
      <c r="H18" s="7">
        <f t="shared" si="19"/>
        <v>-13855.73830974934</v>
      </c>
      <c r="I18" s="7">
        <f t="shared" si="19"/>
        <v>-14825.639991431799</v>
      </c>
      <c r="J18" s="7">
        <f t="shared" si="19"/>
        <v>-15566.921991003386</v>
      </c>
    </row>
    <row r="19" spans="2:10" ht="14.25" customHeight="1" x14ac:dyDescent="0.35">
      <c r="B19" s="12" t="s">
        <v>17</v>
      </c>
      <c r="C19" s="7">
        <f>'Net Working Capital'!D7</f>
        <v>14041</v>
      </c>
      <c r="D19" s="7">
        <f>'Net Working Capital'!E7</f>
        <v>14815</v>
      </c>
      <c r="E19" s="7">
        <f>'Net Working Capital'!F7</f>
        <v>17330</v>
      </c>
      <c r="F19" s="7">
        <f>'Net Working Capital'!G7</f>
        <v>19467.228558197166</v>
      </c>
      <c r="G19" s="7">
        <f>'Net Working Capital'!H7</f>
        <v>21413.95141401689</v>
      </c>
      <c r="H19" s="7">
        <f>'Net Working Capital'!I7</f>
        <v>23341.207041278405</v>
      </c>
      <c r="I19" s="7">
        <f>'Net Working Capital'!J7</f>
        <v>24975.091534167896</v>
      </c>
      <c r="J19" s="7">
        <f>'Net Working Capital'!K7</f>
        <v>26223.846110876293</v>
      </c>
    </row>
    <row r="20" spans="2:10" ht="14.25" customHeight="1" x14ac:dyDescent="0.35">
      <c r="B20" s="12" t="s">
        <v>18</v>
      </c>
      <c r="C20" s="7">
        <f>'Net Working Capital'!D14</f>
        <v>21538</v>
      </c>
      <c r="D20" s="7">
        <f>'Net Working Capital'!E14</f>
        <v>24749</v>
      </c>
      <c r="E20" s="7">
        <f>'Net Working Capital'!F14</f>
        <v>28642</v>
      </c>
      <c r="F20" s="7">
        <f>'Net Working Capital'!G14</f>
        <v>31023.307215202451</v>
      </c>
      <c r="G20" s="7">
        <f>'Net Working Capital'!H14</f>
        <v>34125.637936722698</v>
      </c>
      <c r="H20" s="7">
        <f>'Net Working Capital'!I14</f>
        <v>37196.945351027745</v>
      </c>
      <c r="I20" s="7">
        <f>'Net Working Capital'!J14</f>
        <v>39800.731525599695</v>
      </c>
      <c r="J20" s="7">
        <f>'Net Working Capital'!K14</f>
        <v>41790.768101879679</v>
      </c>
    </row>
    <row r="21" spans="2:10" ht="14.25" customHeight="1" x14ac:dyDescent="0.35">
      <c r="B21" s="13" t="s">
        <v>19</v>
      </c>
      <c r="C21" s="14">
        <f t="shared" ref="C21:J21" si="20">C14+C15-C16-C17</f>
        <v>3158</v>
      </c>
      <c r="D21" s="14">
        <f t="shared" si="20"/>
        <v>2859</v>
      </c>
      <c r="E21" s="14">
        <f t="shared" si="20"/>
        <v>4698</v>
      </c>
      <c r="F21" s="14">
        <f t="shared" si="20"/>
        <v>3889.5510338191111</v>
      </c>
      <c r="G21" s="14">
        <f t="shared" si="20"/>
        <v>5256.4023012886446</v>
      </c>
      <c r="H21" s="14">
        <f t="shared" si="20"/>
        <v>5673.4292135733813</v>
      </c>
      <c r="I21" s="14">
        <f t="shared" si="20"/>
        <v>5798.5956487458279</v>
      </c>
      <c r="J21" s="14">
        <f t="shared" si="20"/>
        <v>5704.6041441625785</v>
      </c>
    </row>
    <row r="22" spans="2:10" ht="14.25" customHeight="1" x14ac:dyDescent="0.35"/>
    <row r="23" spans="2:10" ht="14.25" customHeight="1" x14ac:dyDescent="0.35">
      <c r="B23" s="2" t="s">
        <v>20</v>
      </c>
      <c r="C23" s="2"/>
      <c r="D23" s="2"/>
      <c r="E23" s="2"/>
      <c r="F23" s="2"/>
      <c r="G23" s="2"/>
      <c r="H23" s="2"/>
      <c r="I23" s="2"/>
      <c r="J23" s="2"/>
    </row>
    <row r="24" spans="2:10" ht="14.25" customHeight="1" x14ac:dyDescent="0.35">
      <c r="B24" s="3" t="str">
        <f t="shared" ref="B24:J24" si="21">B3</f>
        <v>Fiscal Year</v>
      </c>
      <c r="C24" s="4">
        <f t="shared" si="21"/>
        <v>43830</v>
      </c>
      <c r="D24" s="4">
        <f t="shared" si="21"/>
        <v>44196</v>
      </c>
      <c r="E24" s="4">
        <f t="shared" si="21"/>
        <v>44561</v>
      </c>
      <c r="F24" s="5">
        <f t="shared" si="21"/>
        <v>44926</v>
      </c>
      <c r="G24" s="5">
        <f t="shared" si="21"/>
        <v>45291</v>
      </c>
      <c r="H24" s="5">
        <f t="shared" si="21"/>
        <v>45657</v>
      </c>
      <c r="I24" s="5">
        <f t="shared" si="21"/>
        <v>46022</v>
      </c>
      <c r="J24" s="5">
        <f t="shared" si="21"/>
        <v>46387</v>
      </c>
    </row>
    <row r="25" spans="2:10" ht="14.25" customHeight="1" x14ac:dyDescent="0.35">
      <c r="B25" s="15" t="s">
        <v>21</v>
      </c>
      <c r="C25" s="15"/>
      <c r="D25" s="16">
        <f t="shared" ref="D25:E25" si="22">D4/C4-1</f>
        <v>9.2061059704131587E-2</v>
      </c>
      <c r="E25" s="16">
        <f t="shared" si="22"/>
        <v>0.17490900150514799</v>
      </c>
      <c r="F25" s="16">
        <v>0.1</v>
      </c>
      <c r="G25" s="16">
        <v>0.1</v>
      </c>
      <c r="H25" s="16">
        <v>0.09</v>
      </c>
      <c r="I25" s="16">
        <v>7.0000000000000007E-2</v>
      </c>
      <c r="J25" s="16">
        <v>0.05</v>
      </c>
    </row>
    <row r="26" spans="2:10" ht="14.25" customHeight="1" x14ac:dyDescent="0.35">
      <c r="B26" s="15"/>
      <c r="C26" s="15"/>
      <c r="D26" s="15"/>
      <c r="E26" s="15"/>
      <c r="F26" s="15"/>
      <c r="G26" s="15"/>
      <c r="H26" s="15"/>
      <c r="I26" s="15"/>
      <c r="J26" s="15"/>
    </row>
    <row r="27" spans="2:10" ht="14.25" customHeight="1" x14ac:dyDescent="0.35">
      <c r="B27" s="15" t="s">
        <v>22</v>
      </c>
      <c r="C27" s="16">
        <f t="shared" ref="C27:E27" si="23">C5/C4</f>
        <v>0.87022520841109863</v>
      </c>
      <c r="D27" s="16">
        <f t="shared" si="23"/>
        <v>0.86914206559087559</v>
      </c>
      <c r="E27" s="16">
        <f t="shared" si="23"/>
        <v>0.87115230517177145</v>
      </c>
      <c r="F27" s="16">
        <f t="shared" ref="F27:F28" si="24">AVERAGE(C27:E27)</f>
        <v>0.87017319305791518</v>
      </c>
      <c r="G27" s="16">
        <f t="shared" ref="G27:J27" si="25">F27</f>
        <v>0.87017319305791518</v>
      </c>
      <c r="H27" s="16">
        <f t="shared" si="25"/>
        <v>0.87017319305791518</v>
      </c>
      <c r="I27" s="16">
        <f t="shared" si="25"/>
        <v>0.87017319305791518</v>
      </c>
      <c r="J27" s="16">
        <f t="shared" si="25"/>
        <v>0.87017319305791518</v>
      </c>
    </row>
    <row r="28" spans="2:10" ht="14.25" customHeight="1" x14ac:dyDescent="0.35">
      <c r="B28" s="15" t="s">
        <v>23</v>
      </c>
      <c r="C28" s="16">
        <f t="shared" ref="C28:E28" si="26">C8/C4</f>
        <v>8.8983189590250353E-2</v>
      </c>
      <c r="D28" s="16">
        <f t="shared" si="26"/>
        <v>8.8401964488099741E-2</v>
      </c>
      <c r="E28" s="16">
        <f t="shared" si="26"/>
        <v>8.5520775382919328E-2</v>
      </c>
      <c r="F28" s="16">
        <f t="shared" si="24"/>
        <v>8.7635309820423155E-2</v>
      </c>
      <c r="G28" s="16">
        <f t="shared" ref="G28:J28" si="27">F28</f>
        <v>8.7635309820423155E-2</v>
      </c>
      <c r="H28" s="16">
        <f t="shared" si="27"/>
        <v>8.7635309820423155E-2</v>
      </c>
      <c r="I28" s="16">
        <f t="shared" si="27"/>
        <v>8.7635309820423155E-2</v>
      </c>
      <c r="J28" s="16">
        <f t="shared" si="27"/>
        <v>8.7635309820423155E-2</v>
      </c>
    </row>
    <row r="29" spans="2:10" ht="14.25" customHeight="1" x14ac:dyDescent="0.35">
      <c r="B29" s="15" t="s">
        <v>24</v>
      </c>
      <c r="C29" s="16">
        <f t="shared" ref="C29:E29" si="28">C13/C12</f>
        <v>0.22398142284146083</v>
      </c>
      <c r="D29" s="16">
        <f t="shared" si="28"/>
        <v>0.24066237350505978</v>
      </c>
      <c r="E29" s="16">
        <f t="shared" si="28"/>
        <v>0.23867024448419796</v>
      </c>
      <c r="F29" s="16">
        <v>0.21</v>
      </c>
      <c r="G29" s="16">
        <v>0.21</v>
      </c>
      <c r="H29" s="16">
        <v>0.21</v>
      </c>
      <c r="I29" s="16">
        <v>0.21</v>
      </c>
      <c r="J29" s="16">
        <v>0.21</v>
      </c>
    </row>
    <row r="30" spans="2:10" ht="14.25" customHeight="1" x14ac:dyDescent="0.35"/>
    <row r="31" spans="2:10" ht="14.25" customHeight="1" x14ac:dyDescent="0.35"/>
    <row r="32" spans="2:10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000"/>
  <sheetViews>
    <sheetView showGridLines="0" workbookViewId="0">
      <selection activeCell="K8" sqref="K8"/>
    </sheetView>
  </sheetViews>
  <sheetFormatPr defaultColWidth="14.453125" defaultRowHeight="15" customHeight="1" x14ac:dyDescent="0.35"/>
  <cols>
    <col min="1" max="1" width="8.81640625" customWidth="1"/>
    <col min="2" max="2" width="27.81640625" customWidth="1"/>
    <col min="3" max="10" width="8.453125" customWidth="1"/>
    <col min="11" max="26" width="8.81640625" customWidth="1"/>
  </cols>
  <sheetData>
    <row r="1" spans="2:11" ht="14.25" customHeight="1" x14ac:dyDescent="0.35"/>
    <row r="2" spans="2:11" ht="14.25" customHeight="1" x14ac:dyDescent="0.35">
      <c r="B2" s="2" t="s">
        <v>25</v>
      </c>
      <c r="C2" s="2"/>
      <c r="D2" s="2"/>
      <c r="E2" s="2"/>
      <c r="F2" s="2"/>
      <c r="G2" s="2"/>
      <c r="H2" s="2"/>
      <c r="I2" s="2"/>
      <c r="J2" s="2"/>
    </row>
    <row r="3" spans="2:11" ht="14.25" customHeight="1" x14ac:dyDescent="0.35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1" ht="14.25" customHeight="1" x14ac:dyDescent="0.35">
      <c r="B4" s="6" t="s">
        <v>26</v>
      </c>
      <c r="C4" s="17">
        <f>SUM('Balance Sheet'!C11:C12)</f>
        <v>19681</v>
      </c>
      <c r="D4" s="17">
        <f>SUM('Balance Sheet'!D11:D12)</f>
        <v>20890</v>
      </c>
      <c r="E4" s="17">
        <f>SUM('Balance Sheet'!E11:E12)</f>
        <v>24595</v>
      </c>
      <c r="F4" s="17">
        <f>E7</f>
        <v>26382</v>
      </c>
      <c r="G4" s="17">
        <f t="shared" ref="G4:J4" si="0">F7</f>
        <v>28343.342884548416</v>
      </c>
      <c r="H4" s="17">
        <f t="shared" si="0"/>
        <v>30450.499805590229</v>
      </c>
      <c r="I4" s="17">
        <f t="shared" si="0"/>
        <v>32714.311158961369</v>
      </c>
      <c r="J4" s="17">
        <f t="shared" si="0"/>
        <v>35146.423258670708</v>
      </c>
    </row>
    <row r="5" spans="2:11" ht="14.25" customHeight="1" x14ac:dyDescent="0.35">
      <c r="B5" s="6" t="s">
        <v>27</v>
      </c>
      <c r="C5" s="17">
        <f>'Free Cash Flow'!C11</f>
        <v>1492</v>
      </c>
      <c r="D5" s="17">
        <f>'Free Cash Flow'!D11</f>
        <v>1645</v>
      </c>
      <c r="E5" s="17">
        <f>'Free Cash Flow'!E11</f>
        <v>1781</v>
      </c>
      <c r="F5" s="17">
        <f>F4*F11</f>
        <v>1995.9571154515827</v>
      </c>
      <c r="G5" s="17">
        <f t="shared" ref="G5:J5" si="1">G4*G11</f>
        <v>2144.3445116404519</v>
      </c>
      <c r="H5" s="17">
        <f t="shared" si="1"/>
        <v>2303.7636174673962</v>
      </c>
      <c r="I5" s="17">
        <f t="shared" si="1"/>
        <v>2475.0345741348669</v>
      </c>
      <c r="J5" s="17">
        <f t="shared" si="1"/>
        <v>2659.0384954065953</v>
      </c>
    </row>
    <row r="6" spans="2:11" ht="14.25" customHeight="1" x14ac:dyDescent="0.35">
      <c r="B6" s="6" t="s">
        <v>28</v>
      </c>
      <c r="C6" s="17">
        <f t="shared" ref="C6:E6" si="2">C7-C4+C5</f>
        <v>2701</v>
      </c>
      <c r="D6" s="17">
        <f t="shared" si="2"/>
        <v>5350</v>
      </c>
      <c r="E6" s="17">
        <f t="shared" si="2"/>
        <v>3568</v>
      </c>
      <c r="F6" s="17">
        <f>F4*F12</f>
        <v>3957.2999999999997</v>
      </c>
      <c r="G6" s="17">
        <f t="shared" ref="G6:J6" si="3">G4*G12</f>
        <v>4251.501432682262</v>
      </c>
      <c r="H6" s="17">
        <f t="shared" si="3"/>
        <v>4567.5749708385338</v>
      </c>
      <c r="I6" s="17">
        <f t="shared" si="3"/>
        <v>4907.146673844205</v>
      </c>
      <c r="J6" s="17">
        <f t="shared" si="3"/>
        <v>5271.9634888006058</v>
      </c>
    </row>
    <row r="7" spans="2:11" ht="14.25" customHeight="1" x14ac:dyDescent="0.35">
      <c r="B7" s="18" t="s">
        <v>29</v>
      </c>
      <c r="C7" s="19">
        <f>SUM('Balance Sheet'!D11:D12)</f>
        <v>20890</v>
      </c>
      <c r="D7" s="19">
        <f>SUM('Balance Sheet'!E11:E12)</f>
        <v>24595</v>
      </c>
      <c r="E7" s="19">
        <f>SUM('Balance Sheet'!F11:F12)</f>
        <v>26382</v>
      </c>
      <c r="F7" s="19">
        <f>F4+F6-F5</f>
        <v>28343.342884548416</v>
      </c>
      <c r="G7" s="19">
        <f t="shared" ref="G7:K7" si="4">G4+G6-G5</f>
        <v>30450.499805590229</v>
      </c>
      <c r="H7" s="19">
        <f t="shared" si="4"/>
        <v>32714.311158961369</v>
      </c>
      <c r="I7" s="19">
        <f t="shared" si="4"/>
        <v>35146.423258670708</v>
      </c>
      <c r="J7" s="19">
        <f t="shared" si="4"/>
        <v>37759.348252064716</v>
      </c>
      <c r="K7" s="19"/>
    </row>
    <row r="8" spans="2:11" ht="14.25" customHeight="1" x14ac:dyDescent="0.35">
      <c r="E8" s="17"/>
    </row>
    <row r="9" spans="2:11" ht="14.25" customHeight="1" x14ac:dyDescent="0.35">
      <c r="B9" s="2" t="s">
        <v>20</v>
      </c>
      <c r="C9" s="2"/>
      <c r="D9" s="2"/>
      <c r="E9" s="2"/>
      <c r="F9" s="2"/>
      <c r="G9" s="2"/>
      <c r="H9" s="2"/>
      <c r="I9" s="2"/>
      <c r="J9" s="2"/>
    </row>
    <row r="10" spans="2:11" ht="14.25" customHeight="1" x14ac:dyDescent="0.35">
      <c r="B10" s="3" t="s">
        <v>1</v>
      </c>
      <c r="C10" s="4">
        <v>43830</v>
      </c>
      <c r="D10" s="4">
        <v>44196</v>
      </c>
      <c r="E10" s="4">
        <v>44561</v>
      </c>
      <c r="F10" s="5">
        <v>44926</v>
      </c>
      <c r="G10" s="5">
        <v>45291</v>
      </c>
      <c r="H10" s="5">
        <v>45657</v>
      </c>
      <c r="I10" s="5">
        <v>46022</v>
      </c>
      <c r="J10" s="5">
        <v>46387</v>
      </c>
    </row>
    <row r="11" spans="2:11" ht="14.25" customHeight="1" x14ac:dyDescent="0.35">
      <c r="B11" s="15" t="s">
        <v>30</v>
      </c>
      <c r="C11" s="16">
        <f t="shared" ref="C11:E11" si="5">C5/C4</f>
        <v>7.5809156038819159E-2</v>
      </c>
      <c r="D11" s="16">
        <f t="shared" si="5"/>
        <v>7.8745811393011012E-2</v>
      </c>
      <c r="E11" s="16">
        <f t="shared" si="5"/>
        <v>7.2413092091888592E-2</v>
      </c>
      <c r="F11" s="16">
        <f>AVERAGE(C11:E11)</f>
        <v>7.5656019841239583E-2</v>
      </c>
      <c r="G11" s="16">
        <f t="shared" ref="G11:J11" si="6">F11</f>
        <v>7.5656019841239583E-2</v>
      </c>
      <c r="H11" s="16">
        <f t="shared" si="6"/>
        <v>7.5656019841239583E-2</v>
      </c>
      <c r="I11" s="16">
        <f t="shared" si="6"/>
        <v>7.5656019841239583E-2</v>
      </c>
      <c r="J11" s="16">
        <f t="shared" si="6"/>
        <v>7.5656019841239583E-2</v>
      </c>
    </row>
    <row r="12" spans="2:11" ht="14.25" customHeight="1" x14ac:dyDescent="0.35">
      <c r="B12" s="15" t="s">
        <v>31</v>
      </c>
      <c r="C12" s="16">
        <f t="shared" ref="C12:E12" si="7">C6/C4</f>
        <v>0.13723896143488643</v>
      </c>
      <c r="D12" s="16">
        <f t="shared" si="7"/>
        <v>0.25610339875538535</v>
      </c>
      <c r="E12" s="16">
        <f t="shared" si="7"/>
        <v>0.14507013620654605</v>
      </c>
      <c r="F12" s="16">
        <v>0.15</v>
      </c>
      <c r="G12" s="16">
        <f t="shared" ref="G12:J12" si="8">F12</f>
        <v>0.15</v>
      </c>
      <c r="H12" s="16">
        <f t="shared" si="8"/>
        <v>0.15</v>
      </c>
      <c r="I12" s="16">
        <f t="shared" si="8"/>
        <v>0.15</v>
      </c>
      <c r="J12" s="16">
        <f t="shared" si="8"/>
        <v>0.15</v>
      </c>
    </row>
    <row r="13" spans="2:11" ht="14.25" customHeight="1" x14ac:dyDescent="0.35">
      <c r="C13" s="20"/>
      <c r="D13" s="20"/>
      <c r="E13" s="20"/>
      <c r="F13" s="20"/>
      <c r="G13" s="20"/>
      <c r="H13" s="20"/>
      <c r="I13" s="20"/>
      <c r="J13" s="20"/>
    </row>
    <row r="14" spans="2:11" ht="14.25" customHeight="1" x14ac:dyDescent="0.35">
      <c r="C14" s="20"/>
      <c r="D14" s="20"/>
      <c r="E14" s="20"/>
      <c r="F14" s="20"/>
      <c r="G14" s="20"/>
      <c r="H14" s="20"/>
      <c r="I14" s="20"/>
      <c r="J14" s="20"/>
    </row>
    <row r="15" spans="2:11" ht="14.25" customHeight="1" x14ac:dyDescent="0.35">
      <c r="C15" s="20"/>
      <c r="D15" s="20"/>
      <c r="E15" s="20"/>
      <c r="F15" s="20"/>
      <c r="G15" s="20"/>
      <c r="H15" s="20"/>
      <c r="I15" s="20"/>
      <c r="J15" s="20"/>
    </row>
    <row r="16" spans="2:1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000"/>
  <sheetViews>
    <sheetView showGridLines="0" topLeftCell="B3" workbookViewId="0">
      <selection activeCell="N23" sqref="N23"/>
    </sheetView>
  </sheetViews>
  <sheetFormatPr defaultColWidth="14.453125" defaultRowHeight="15" customHeight="1" x14ac:dyDescent="0.35"/>
  <cols>
    <col min="1" max="1" width="8.81640625" customWidth="1"/>
    <col min="2" max="2" width="40.453125" customWidth="1"/>
    <col min="3" max="3" width="9.453125" customWidth="1"/>
    <col min="4" max="26" width="8.81640625" customWidth="1"/>
  </cols>
  <sheetData>
    <row r="1" spans="2:13" ht="14.25" customHeight="1" x14ac:dyDescent="0.35"/>
    <row r="2" spans="2:13" ht="14.25" customHeight="1" x14ac:dyDescent="0.35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</row>
    <row r="3" spans="2:13" ht="14.25" customHeight="1" x14ac:dyDescent="0.35">
      <c r="B3" s="3" t="s">
        <v>1</v>
      </c>
      <c r="C3" s="4">
        <v>43465</v>
      </c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3" ht="14.25" customHeight="1" x14ac:dyDescent="0.35">
      <c r="B4" s="6" t="s">
        <v>33</v>
      </c>
      <c r="C4" s="17">
        <f>'Balance Sheet'!C6</f>
        <v>1669</v>
      </c>
      <c r="D4" s="17">
        <f>'Balance Sheet'!D6</f>
        <v>1535</v>
      </c>
      <c r="E4" s="17">
        <f>'Balance Sheet'!E6</f>
        <v>1550</v>
      </c>
      <c r="F4" s="17">
        <f>'Balance Sheet'!F6</f>
        <v>1803</v>
      </c>
      <c r="G4" s="17">
        <f>$G$21*G18/360</f>
        <v>2173.4287864674234</v>
      </c>
      <c r="H4" s="17">
        <f t="shared" ref="H4:K4" si="0">$G$21*H18/360</f>
        <v>2390.7716651141654</v>
      </c>
      <c r="I4" s="17">
        <f t="shared" si="0"/>
        <v>2605.9411149744406</v>
      </c>
      <c r="J4" s="17">
        <f t="shared" si="0"/>
        <v>2788.3569930226517</v>
      </c>
      <c r="K4" s="17">
        <f t="shared" si="0"/>
        <v>2927.7748426737844</v>
      </c>
      <c r="L4" s="17"/>
      <c r="M4" s="17"/>
    </row>
    <row r="5" spans="2:13" ht="14.25" customHeight="1" x14ac:dyDescent="0.35">
      <c r="B5" s="6" t="s">
        <v>34</v>
      </c>
      <c r="C5" s="17">
        <f>'Balance Sheet'!C7</f>
        <v>11040</v>
      </c>
      <c r="D5" s="17">
        <f>'Balance Sheet'!D7</f>
        <v>11395</v>
      </c>
      <c r="E5" s="17">
        <f>'Balance Sheet'!E7</f>
        <v>12242</v>
      </c>
      <c r="F5" s="17">
        <f>'Balance Sheet'!F7</f>
        <v>14215</v>
      </c>
      <c r="G5" s="17">
        <f>G22*G19/360</f>
        <v>16088.292808196813</v>
      </c>
      <c r="H5" s="17">
        <f t="shared" ref="H5:K5" si="1">H22*H19/360</f>
        <v>17697.122089016499</v>
      </c>
      <c r="I5" s="17">
        <f t="shared" si="1"/>
        <v>19289.863077027981</v>
      </c>
      <c r="J5" s="17">
        <f t="shared" si="1"/>
        <v>20640.15349241994</v>
      </c>
      <c r="K5" s="17">
        <f t="shared" si="1"/>
        <v>21672.16116704094</v>
      </c>
    </row>
    <row r="6" spans="2:13" ht="14.25" customHeight="1" x14ac:dyDescent="0.35">
      <c r="B6" s="6" t="s">
        <v>35</v>
      </c>
      <c r="C6" s="17">
        <f>'Balance Sheet'!C8</f>
        <v>321</v>
      </c>
      <c r="D6" s="17">
        <f>'Balance Sheet'!D8</f>
        <v>1111</v>
      </c>
      <c r="E6" s="17">
        <f>'Balance Sheet'!E8</f>
        <v>1023</v>
      </c>
      <c r="F6" s="17">
        <f>'Balance Sheet'!F8</f>
        <v>1312</v>
      </c>
      <c r="G6" s="17">
        <f>G18*G25</f>
        <v>1205.5069635329301</v>
      </c>
      <c r="H6" s="17">
        <f t="shared" ref="H6:K6" si="2">H18*H25</f>
        <v>1326.0576598862233</v>
      </c>
      <c r="I6" s="17">
        <f t="shared" si="2"/>
        <v>1445.4028492759833</v>
      </c>
      <c r="J6" s="17">
        <f t="shared" si="2"/>
        <v>1546.5810487253025</v>
      </c>
      <c r="K6" s="17">
        <f t="shared" si="2"/>
        <v>1623.9101011615676</v>
      </c>
    </row>
    <row r="7" spans="2:13" ht="14.25" customHeight="1" x14ac:dyDescent="0.35">
      <c r="B7" s="18" t="s">
        <v>17</v>
      </c>
      <c r="C7" s="19">
        <f t="shared" ref="C7:F7" si="3">SUM(C4:C6)</f>
        <v>13030</v>
      </c>
      <c r="D7" s="19">
        <f t="shared" si="3"/>
        <v>14041</v>
      </c>
      <c r="E7" s="19">
        <f t="shared" si="3"/>
        <v>14815</v>
      </c>
      <c r="F7" s="19">
        <f t="shared" si="3"/>
        <v>17330</v>
      </c>
      <c r="G7" s="19">
        <f>G4+G5+G6</f>
        <v>19467.228558197166</v>
      </c>
      <c r="H7" s="19">
        <f t="shared" ref="H7:K7" si="4">H4+H5+H6</f>
        <v>21413.95141401689</v>
      </c>
      <c r="I7" s="19">
        <f t="shared" si="4"/>
        <v>23341.207041278405</v>
      </c>
      <c r="J7" s="19">
        <f t="shared" si="4"/>
        <v>24975.091534167896</v>
      </c>
      <c r="K7" s="19">
        <f t="shared" si="4"/>
        <v>26223.846110876293</v>
      </c>
    </row>
    <row r="8" spans="2:13" ht="14.25" customHeight="1" x14ac:dyDescent="0.35"/>
    <row r="9" spans="2:13" ht="14.25" customHeight="1" x14ac:dyDescent="0.35">
      <c r="B9" s="6" t="s">
        <v>36</v>
      </c>
      <c r="C9" s="17">
        <f>'Balance Sheet'!C16</f>
        <v>11237</v>
      </c>
      <c r="D9" s="17">
        <f>'Balance Sheet'!D16</f>
        <v>11679</v>
      </c>
      <c r="E9" s="17">
        <f>'Balance Sheet'!E16</f>
        <v>14172</v>
      </c>
      <c r="F9" s="17">
        <f>'Balance Sheet'!F16</f>
        <v>16278</v>
      </c>
      <c r="G9" s="17">
        <f>G19*G23/360</f>
        <v>17454.504998680797</v>
      </c>
      <c r="H9" s="17">
        <f t="shared" ref="H9:K9" si="5">H19*H23/360</f>
        <v>19199.955498548879</v>
      </c>
      <c r="I9" s="17">
        <f t="shared" si="5"/>
        <v>20927.951493418277</v>
      </c>
      <c r="J9" s="17">
        <f t="shared" si="5"/>
        <v>22392.908097957559</v>
      </c>
      <c r="K9" s="17">
        <f t="shared" si="5"/>
        <v>23512.55350285544</v>
      </c>
    </row>
    <row r="10" spans="2:13" ht="14.25" customHeight="1" x14ac:dyDescent="0.35">
      <c r="B10" s="6" t="s">
        <v>37</v>
      </c>
      <c r="C10" s="17">
        <f>'Balance Sheet'!C17</f>
        <v>2994</v>
      </c>
      <c r="D10" s="17">
        <f>'Balance Sheet'!D17</f>
        <v>3176</v>
      </c>
      <c r="E10" s="17">
        <f>'Balance Sheet'!E17</f>
        <v>3605</v>
      </c>
      <c r="F10" s="17">
        <f>'Balance Sheet'!F17</f>
        <v>4090</v>
      </c>
      <c r="G10" s="17">
        <f>G18*G26</f>
        <v>4549.6063613377883</v>
      </c>
      <c r="H10" s="17">
        <f t="shared" ref="H10:K10" si="6">H18*H26</f>
        <v>5004.5669974715684</v>
      </c>
      <c r="I10" s="17">
        <f t="shared" si="6"/>
        <v>5454.9780272440094</v>
      </c>
      <c r="J10" s="17">
        <f t="shared" si="6"/>
        <v>5836.8264891510908</v>
      </c>
      <c r="K10" s="17">
        <f t="shared" si="6"/>
        <v>6128.6678136086457</v>
      </c>
    </row>
    <row r="11" spans="2:13" ht="14.25" customHeight="1" x14ac:dyDescent="0.35">
      <c r="B11" s="6" t="s">
        <v>38</v>
      </c>
      <c r="C11" s="17">
        <f>'Balance Sheet'!C18</f>
        <v>1057</v>
      </c>
      <c r="D11" s="17">
        <f>'Balance Sheet'!D18</f>
        <v>1180</v>
      </c>
      <c r="E11" s="17">
        <f>'Balance Sheet'!E18</f>
        <v>1393</v>
      </c>
      <c r="F11" s="17">
        <f>'Balance Sheet'!F18</f>
        <v>1671</v>
      </c>
      <c r="G11" s="17">
        <f>G18*G27</f>
        <v>1728.2294341420902</v>
      </c>
      <c r="H11" s="17">
        <f t="shared" ref="H11:K11" si="7">H18*H27</f>
        <v>1901.0523775562995</v>
      </c>
      <c r="I11" s="17">
        <f t="shared" si="7"/>
        <v>2072.1470915363666</v>
      </c>
      <c r="J11" s="17">
        <f t="shared" si="7"/>
        <v>2217.1973879439124</v>
      </c>
      <c r="K11" s="17">
        <f t="shared" si="7"/>
        <v>2328.0572573411082</v>
      </c>
    </row>
    <row r="12" spans="2:13" ht="14.25" customHeight="1" x14ac:dyDescent="0.35">
      <c r="B12" s="6" t="s">
        <v>39</v>
      </c>
      <c r="C12" s="17">
        <f>'Balance Sheet'!C19</f>
        <v>1624</v>
      </c>
      <c r="D12" s="17">
        <f>'Balance Sheet'!D19</f>
        <v>1711</v>
      </c>
      <c r="E12" s="17">
        <f>'Balance Sheet'!E19</f>
        <v>1851</v>
      </c>
      <c r="F12" s="17">
        <f>'Balance Sheet'!F19</f>
        <v>2042</v>
      </c>
      <c r="G12" s="17">
        <f>G18*G28</f>
        <v>2381.381646728039</v>
      </c>
      <c r="H12" s="17">
        <f t="shared" ref="H12:K12" si="8">H18*H28</f>
        <v>2619.5198114008431</v>
      </c>
      <c r="I12" s="17">
        <f t="shared" si="8"/>
        <v>2855.276594426919</v>
      </c>
      <c r="J12" s="17">
        <f t="shared" si="8"/>
        <v>3055.1459560368039</v>
      </c>
      <c r="K12" s="17">
        <f t="shared" si="8"/>
        <v>3207.9032538386446</v>
      </c>
    </row>
    <row r="13" spans="2:13" ht="14.25" customHeight="1" x14ac:dyDescent="0.35">
      <c r="B13" s="6" t="s">
        <v>40</v>
      </c>
      <c r="C13" s="17">
        <f>'Balance Sheet'!C21</f>
        <v>2924</v>
      </c>
      <c r="D13" s="17">
        <f>'Balance Sheet'!D21</f>
        <v>3792</v>
      </c>
      <c r="E13" s="17">
        <f>'Balance Sheet'!E21</f>
        <v>3728</v>
      </c>
      <c r="F13" s="17">
        <f>'Balance Sheet'!F21</f>
        <v>4561</v>
      </c>
      <c r="G13" s="17">
        <f>G18*G29</f>
        <v>4909.5847743137392</v>
      </c>
      <c r="H13" s="17">
        <f t="shared" ref="H13:K13" si="9">H18*H29</f>
        <v>5400.5432517451136</v>
      </c>
      <c r="I13" s="17">
        <f t="shared" si="9"/>
        <v>5886.5921444021742</v>
      </c>
      <c r="J13" s="17">
        <f t="shared" si="9"/>
        <v>6298.6535945103269</v>
      </c>
      <c r="K13" s="17">
        <f t="shared" si="9"/>
        <v>6613.586274235844</v>
      </c>
    </row>
    <row r="14" spans="2:13" ht="14.25" customHeight="1" x14ac:dyDescent="0.35">
      <c r="B14" s="18" t="s">
        <v>41</v>
      </c>
      <c r="C14" s="19">
        <f t="shared" ref="C14:F14" si="10">SUM(C9:C13)</f>
        <v>19836</v>
      </c>
      <c r="D14" s="19">
        <f t="shared" si="10"/>
        <v>21538</v>
      </c>
      <c r="E14" s="19">
        <f t="shared" si="10"/>
        <v>24749</v>
      </c>
      <c r="F14" s="19">
        <f t="shared" si="10"/>
        <v>28642</v>
      </c>
      <c r="G14" s="19">
        <f>SUM(G9:G13)</f>
        <v>31023.307215202451</v>
      </c>
      <c r="H14" s="19">
        <f t="shared" ref="H14:K14" si="11">SUM(H9:H13)</f>
        <v>34125.637936722698</v>
      </c>
      <c r="I14" s="19">
        <f t="shared" si="11"/>
        <v>37196.945351027745</v>
      </c>
      <c r="J14" s="19">
        <f t="shared" si="11"/>
        <v>39800.731525599695</v>
      </c>
      <c r="K14" s="19">
        <f t="shared" si="11"/>
        <v>41790.768101879679</v>
      </c>
    </row>
    <row r="15" spans="2:13" ht="14.25" customHeight="1" x14ac:dyDescent="0.35"/>
    <row r="16" spans="2:13" ht="14.25" customHeight="1" x14ac:dyDescent="0.35"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 ht="14.25" customHeight="1" x14ac:dyDescent="0.35">
      <c r="B17" s="3" t="s">
        <v>1</v>
      </c>
      <c r="C17" s="4">
        <v>43465</v>
      </c>
      <c r="D17" s="4">
        <v>43830</v>
      </c>
      <c r="E17" s="4">
        <v>44196</v>
      </c>
      <c r="F17" s="4">
        <v>44561</v>
      </c>
      <c r="G17" s="5">
        <v>44926</v>
      </c>
      <c r="H17" s="5">
        <v>45291</v>
      </c>
      <c r="I17" s="5">
        <v>45657</v>
      </c>
      <c r="J17" s="5">
        <v>46022</v>
      </c>
      <c r="K17" s="5">
        <v>46387</v>
      </c>
    </row>
    <row r="18" spans="2:11" ht="14.25" customHeight="1" x14ac:dyDescent="0.35">
      <c r="B18" s="15" t="s">
        <v>2</v>
      </c>
      <c r="C18" s="21">
        <v>141576</v>
      </c>
      <c r="D18" s="21">
        <f>'Free Cash Flow'!C4</f>
        <v>152703</v>
      </c>
      <c r="E18" s="21">
        <f>'Free Cash Flow'!D4</f>
        <v>166761</v>
      </c>
      <c r="F18" s="21">
        <f>'Free Cash Flow'!E4</f>
        <v>195929</v>
      </c>
      <c r="G18" s="21">
        <f>'Free Cash Flow'!F4</f>
        <v>215521.90000000002</v>
      </c>
      <c r="H18" s="21">
        <f>'Free Cash Flow'!G4</f>
        <v>237074.09000000005</v>
      </c>
      <c r="I18" s="21">
        <f>'Free Cash Flow'!H4</f>
        <v>258410.75810000006</v>
      </c>
      <c r="J18" s="21">
        <f>'Free Cash Flow'!I4</f>
        <v>276499.51116700011</v>
      </c>
      <c r="K18" s="21">
        <f>'Free Cash Flow'!J4</f>
        <v>290324.48672535014</v>
      </c>
    </row>
    <row r="19" spans="2:11" ht="14.25" customHeight="1" x14ac:dyDescent="0.35">
      <c r="B19" s="15" t="s">
        <v>3</v>
      </c>
      <c r="C19" s="21">
        <v>123152</v>
      </c>
      <c r="D19" s="21">
        <f>'Free Cash Flow'!C5</f>
        <v>132886</v>
      </c>
      <c r="E19" s="21">
        <f>'Free Cash Flow'!D5</f>
        <v>144939</v>
      </c>
      <c r="F19" s="21">
        <f>'Free Cash Flow'!E5</f>
        <v>170684</v>
      </c>
      <c r="G19" s="21">
        <f>'Free Cash Flow'!F5</f>
        <v>187541.37989690871</v>
      </c>
      <c r="H19" s="21">
        <f>'Free Cash Flow'!G5</f>
        <v>206295.51788659961</v>
      </c>
      <c r="I19" s="21">
        <f>'Free Cash Flow'!H5</f>
        <v>224862.11449639357</v>
      </c>
      <c r="J19" s="21">
        <f>'Free Cash Flow'!I5</f>
        <v>240602.46251114114</v>
      </c>
      <c r="K19" s="21">
        <f>'Free Cash Flow'!J5</f>
        <v>252632.58563669823</v>
      </c>
    </row>
    <row r="20" spans="2:11" ht="14.25" customHeight="1" x14ac:dyDescent="0.35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1" ht="14.25" customHeight="1" x14ac:dyDescent="0.35">
      <c r="B21" s="15" t="s">
        <v>42</v>
      </c>
      <c r="C21" s="22">
        <f>C4/C18*360</f>
        <v>4.2439396507882696</v>
      </c>
      <c r="D21" s="22">
        <f t="shared" ref="D21:K21" si="12">D4/D18*360</f>
        <v>3.6187894147462725</v>
      </c>
      <c r="E21" s="22">
        <f t="shared" si="12"/>
        <v>3.3461061039451674</v>
      </c>
      <c r="F21" s="22">
        <f t="shared" si="12"/>
        <v>3.3128327098081449</v>
      </c>
      <c r="G21" s="22">
        <f>AVERAGE($C$21:$F$21)</f>
        <v>3.6304169698219635</v>
      </c>
      <c r="H21" s="22">
        <f t="shared" ref="H21:K21" si="13">AVERAGE($C$21:$F$21)</f>
        <v>3.6304169698219635</v>
      </c>
      <c r="I21" s="22">
        <f t="shared" si="13"/>
        <v>3.6304169698219635</v>
      </c>
      <c r="J21" s="22">
        <f t="shared" si="13"/>
        <v>3.6304169698219635</v>
      </c>
      <c r="K21" s="22">
        <f t="shared" si="13"/>
        <v>3.6304169698219635</v>
      </c>
    </row>
    <row r="22" spans="2:11" ht="14.25" customHeight="1" x14ac:dyDescent="0.35">
      <c r="B22" s="15" t="s">
        <v>43</v>
      </c>
      <c r="C22" s="22">
        <f>C5/C19*360</f>
        <v>32.272313888527997</v>
      </c>
      <c r="D22" s="22">
        <f t="shared" ref="D22:F22" si="14">D5/D19*360</f>
        <v>30.870069081769337</v>
      </c>
      <c r="E22" s="22">
        <f t="shared" si="14"/>
        <v>30.406722828224286</v>
      </c>
      <c r="F22" s="22">
        <f t="shared" si="14"/>
        <v>29.981720606500904</v>
      </c>
      <c r="G22" s="22">
        <f>AVERAGE($C$22:$F$22)</f>
        <v>30.882706601255631</v>
      </c>
      <c r="H22" s="22">
        <f t="shared" ref="H22:K22" si="15">AVERAGE($C$22:$F$22)</f>
        <v>30.882706601255631</v>
      </c>
      <c r="I22" s="22">
        <f t="shared" si="15"/>
        <v>30.882706601255631</v>
      </c>
      <c r="J22" s="22">
        <f t="shared" si="15"/>
        <v>30.882706601255631</v>
      </c>
      <c r="K22" s="22">
        <f t="shared" si="15"/>
        <v>30.882706601255631</v>
      </c>
    </row>
    <row r="23" spans="2:11" ht="14.25" customHeight="1" x14ac:dyDescent="0.35">
      <c r="B23" s="15" t="s">
        <v>44</v>
      </c>
      <c r="C23" s="22">
        <f>C9/C19*360</f>
        <v>32.848187605560611</v>
      </c>
      <c r="D23" s="22">
        <f t="shared" ref="D23:K23" si="16">D9/D19*360</f>
        <v>31.639450355944192</v>
      </c>
      <c r="E23" s="22">
        <f t="shared" si="16"/>
        <v>35.200463643325811</v>
      </c>
      <c r="F23" s="22">
        <f t="shared" si="16"/>
        <v>34.332919312882282</v>
      </c>
      <c r="G23" s="22">
        <f>AVERAGE($C$23:$F$23)</f>
        <v>33.505255229428229</v>
      </c>
      <c r="H23" s="22">
        <f t="shared" ref="H23:K23" si="17">AVERAGE($C$23:$F$23)</f>
        <v>33.505255229428229</v>
      </c>
      <c r="I23" s="22">
        <f t="shared" si="17"/>
        <v>33.505255229428229</v>
      </c>
      <c r="J23" s="22">
        <f t="shared" si="17"/>
        <v>33.505255229428229</v>
      </c>
      <c r="K23" s="22">
        <f t="shared" si="17"/>
        <v>33.505255229428229</v>
      </c>
    </row>
    <row r="24" spans="2:11" ht="14.25" customHeight="1" x14ac:dyDescent="0.35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1" ht="14.25" customHeight="1" x14ac:dyDescent="0.35">
      <c r="B25" s="15" t="s">
        <v>45</v>
      </c>
      <c r="C25" s="16">
        <f>C6/C18</f>
        <v>2.2673334463468382E-3</v>
      </c>
      <c r="D25" s="16">
        <f t="shared" ref="D25:F25" si="18">D6/D18</f>
        <v>7.2755610564298016E-3</v>
      </c>
      <c r="E25" s="16">
        <f t="shared" si="18"/>
        <v>6.1345278572328063E-3</v>
      </c>
      <c r="F25" s="16">
        <f t="shared" si="18"/>
        <v>6.6963032527088892E-3</v>
      </c>
      <c r="G25" s="16">
        <f>AVERAGE($C$25:$F$25)</f>
        <v>5.5934314031795837E-3</v>
      </c>
      <c r="H25" s="16">
        <f t="shared" ref="H25:K25" si="19">AVERAGE($C$25:$F$25)</f>
        <v>5.5934314031795837E-3</v>
      </c>
      <c r="I25" s="16">
        <f t="shared" si="19"/>
        <v>5.5934314031795837E-3</v>
      </c>
      <c r="J25" s="16">
        <f t="shared" si="19"/>
        <v>5.5934314031795837E-3</v>
      </c>
      <c r="K25" s="16">
        <f t="shared" si="19"/>
        <v>5.5934314031795837E-3</v>
      </c>
    </row>
    <row r="26" spans="2:11" ht="14.25" customHeight="1" x14ac:dyDescent="0.35">
      <c r="B26" s="15" t="s">
        <v>46</v>
      </c>
      <c r="C26" s="16">
        <f>C10/C18</f>
        <v>2.1147652144431258E-2</v>
      </c>
      <c r="D26" s="16">
        <f t="shared" ref="D26:F26" si="20">D10/D18</f>
        <v>2.0798543578056751E-2</v>
      </c>
      <c r="E26" s="16">
        <f t="shared" si="20"/>
        <v>2.1617764345380514E-2</v>
      </c>
      <c r="F26" s="16">
        <f t="shared" si="20"/>
        <v>2.0874908767972072E-2</v>
      </c>
      <c r="G26" s="16">
        <f>AVERAGE($C$26:$F$26)</f>
        <v>2.1109717208960148E-2</v>
      </c>
      <c r="H26" s="16">
        <f t="shared" ref="H26:K26" si="21">AVERAGE($C$26:$F$26)</f>
        <v>2.1109717208960148E-2</v>
      </c>
      <c r="I26" s="16">
        <f t="shared" si="21"/>
        <v>2.1109717208960148E-2</v>
      </c>
      <c r="J26" s="16">
        <f t="shared" si="21"/>
        <v>2.1109717208960148E-2</v>
      </c>
      <c r="K26" s="16">
        <f t="shared" si="21"/>
        <v>2.1109717208960148E-2</v>
      </c>
    </row>
    <row r="27" spans="2:11" ht="14.25" customHeight="1" x14ac:dyDescent="0.35">
      <c r="B27" s="15" t="s">
        <v>47</v>
      </c>
      <c r="C27" s="16">
        <f>C11/C18</f>
        <v>7.4659546815844489E-3</v>
      </c>
      <c r="D27" s="16">
        <f t="shared" ref="D27:F27" si="22">D11/D18</f>
        <v>7.7274185837868277E-3</v>
      </c>
      <c r="E27" s="16">
        <f t="shared" si="22"/>
        <v>8.3532720480208201E-3</v>
      </c>
      <c r="F27" s="16">
        <f t="shared" si="22"/>
        <v>8.5285996457900564E-3</v>
      </c>
      <c r="G27" s="16">
        <f>AVERAGE($C$27:$F$27)</f>
        <v>8.0188112397955383E-3</v>
      </c>
      <c r="H27" s="16">
        <f t="shared" ref="H27:K27" si="23">AVERAGE($C$27:$F$27)</f>
        <v>8.0188112397955383E-3</v>
      </c>
      <c r="I27" s="16">
        <f t="shared" si="23"/>
        <v>8.0188112397955383E-3</v>
      </c>
      <c r="J27" s="16">
        <f t="shared" si="23"/>
        <v>8.0188112397955383E-3</v>
      </c>
      <c r="K27" s="16">
        <f t="shared" si="23"/>
        <v>8.0188112397955383E-3</v>
      </c>
    </row>
    <row r="28" spans="2:11" ht="14.25" customHeight="1" x14ac:dyDescent="0.35">
      <c r="B28" s="15" t="s">
        <v>48</v>
      </c>
      <c r="C28" s="16">
        <f>C12/C18</f>
        <v>1.1470870769056903E-2</v>
      </c>
      <c r="D28" s="16">
        <f t="shared" ref="D28:F28" si="24">D12/D18</f>
        <v>1.1204756946490901E-2</v>
      </c>
      <c r="E28" s="16">
        <f t="shared" si="24"/>
        <v>1.1099717559861118E-2</v>
      </c>
      <c r="F28" s="16">
        <f t="shared" si="24"/>
        <v>1.0422142714963074E-2</v>
      </c>
      <c r="G28" s="16">
        <f>AVERAGE($C$28:$F$28)</f>
        <v>1.1049371997593E-2</v>
      </c>
      <c r="H28" s="16">
        <f t="shared" ref="H28:K28" si="25">AVERAGE($C$28:$F$28)</f>
        <v>1.1049371997593E-2</v>
      </c>
      <c r="I28" s="16">
        <f t="shared" si="25"/>
        <v>1.1049371997593E-2</v>
      </c>
      <c r="J28" s="16">
        <f t="shared" si="25"/>
        <v>1.1049371997593E-2</v>
      </c>
      <c r="K28" s="16">
        <f t="shared" si="25"/>
        <v>1.1049371997593E-2</v>
      </c>
    </row>
    <row r="29" spans="2:11" ht="14.25" customHeight="1" x14ac:dyDescent="0.35">
      <c r="B29" s="15" t="s">
        <v>49</v>
      </c>
      <c r="C29" s="16">
        <f>C13/C18</f>
        <v>2.0653218059558116E-2</v>
      </c>
      <c r="D29" s="16">
        <f t="shared" ref="D29:F29" si="26">D13/D18</f>
        <v>2.4832518025186146E-2</v>
      </c>
      <c r="E29" s="16">
        <f t="shared" si="26"/>
        <v>2.2355346873669503E-2</v>
      </c>
      <c r="F29" s="16">
        <f t="shared" si="26"/>
        <v>2.3278840804577167E-2</v>
      </c>
      <c r="G29" s="16">
        <f>AVERAGE($C$29:$F$29)</f>
        <v>2.2779980940747731E-2</v>
      </c>
      <c r="H29" s="16">
        <f t="shared" ref="H29:K29" si="27">AVERAGE($C$29:$F$29)</f>
        <v>2.2779980940747731E-2</v>
      </c>
      <c r="I29" s="16">
        <f t="shared" si="27"/>
        <v>2.2779980940747731E-2</v>
      </c>
      <c r="J29" s="16">
        <f t="shared" si="27"/>
        <v>2.2779980940747731E-2</v>
      </c>
      <c r="K29" s="16">
        <f t="shared" si="27"/>
        <v>2.2779980940747731E-2</v>
      </c>
    </row>
    <row r="30" spans="2:11" ht="14.25" customHeight="1" x14ac:dyDescent="0.35"/>
    <row r="31" spans="2:11" ht="14.25" customHeight="1" x14ac:dyDescent="0.35">
      <c r="B31" s="40" t="s">
        <v>174</v>
      </c>
      <c r="C31" s="41"/>
      <c r="D31" s="41"/>
    </row>
    <row r="32" spans="2:11" ht="14.25" customHeight="1" x14ac:dyDescent="0.35">
      <c r="B32" s="40" t="s">
        <v>175</v>
      </c>
      <c r="C32" s="41"/>
      <c r="D32" s="41"/>
    </row>
    <row r="33" spans="2:4" ht="14.25" customHeight="1" x14ac:dyDescent="0.35">
      <c r="B33" s="40" t="s">
        <v>176</v>
      </c>
      <c r="C33" s="41"/>
      <c r="D33" s="41"/>
    </row>
    <row r="34" spans="2:4" ht="14.25" customHeight="1" x14ac:dyDescent="0.35"/>
    <row r="35" spans="2:4" ht="14.25" customHeight="1" x14ac:dyDescent="0.35"/>
    <row r="36" spans="2:4" ht="14.25" customHeight="1" x14ac:dyDescent="0.35"/>
    <row r="37" spans="2:4" ht="14.25" customHeight="1" x14ac:dyDescent="0.35"/>
    <row r="38" spans="2:4" ht="14.25" customHeight="1" x14ac:dyDescent="0.35"/>
    <row r="39" spans="2:4" ht="14.25" customHeight="1" x14ac:dyDescent="0.35"/>
    <row r="40" spans="2:4" ht="14.25" customHeight="1" x14ac:dyDescent="0.35"/>
    <row r="41" spans="2:4" ht="14.25" customHeight="1" x14ac:dyDescent="0.35"/>
    <row r="42" spans="2:4" ht="14.25" customHeight="1" x14ac:dyDescent="0.35"/>
    <row r="43" spans="2:4" ht="14.25" customHeight="1" x14ac:dyDescent="0.35"/>
    <row r="44" spans="2:4" ht="14.25" customHeight="1" x14ac:dyDescent="0.35"/>
    <row r="45" spans="2:4" ht="14.25" customHeight="1" x14ac:dyDescent="0.35"/>
    <row r="46" spans="2:4" ht="14.25" customHeight="1" x14ac:dyDescent="0.35"/>
    <row r="47" spans="2:4" ht="14.25" customHeight="1" x14ac:dyDescent="0.35"/>
    <row r="48" spans="2: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1000"/>
  <sheetViews>
    <sheetView showGridLines="0" tabSelected="1" topLeftCell="B1" workbookViewId="0">
      <selection activeCell="N20" sqref="N20"/>
    </sheetView>
  </sheetViews>
  <sheetFormatPr defaultColWidth="14.453125" defaultRowHeight="15" customHeight="1" x14ac:dyDescent="0.35"/>
  <cols>
    <col min="1" max="1" width="8.81640625" customWidth="1"/>
    <col min="2" max="2" width="28.453125" customWidth="1"/>
    <col min="3" max="10" width="9.453125" customWidth="1"/>
    <col min="11" max="11" width="8.1796875" customWidth="1"/>
    <col min="12" max="26" width="8.81640625" customWidth="1"/>
  </cols>
  <sheetData>
    <row r="1" spans="2:13" ht="14.25" customHeight="1" x14ac:dyDescent="0.35"/>
    <row r="2" spans="2:13" ht="14.25" customHeight="1" x14ac:dyDescent="0.3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3" ht="14.25" customHeight="1" x14ac:dyDescent="0.35">
      <c r="B3" s="3" t="s">
        <v>1</v>
      </c>
      <c r="C3" s="4"/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3" ht="14.25" customHeight="1" x14ac:dyDescent="0.35">
      <c r="B4" s="6" t="s">
        <v>19</v>
      </c>
      <c r="C4" s="17"/>
      <c r="D4" s="17">
        <f>'Free Cash Flow'!C21</f>
        <v>3158</v>
      </c>
      <c r="E4" s="17">
        <f>'Free Cash Flow'!D21</f>
        <v>2859</v>
      </c>
      <c r="F4" s="17">
        <f>'Free Cash Flow'!E21</f>
        <v>4698</v>
      </c>
      <c r="G4" s="17">
        <f>'Free Cash Flow'!F21</f>
        <v>3889.5510338191111</v>
      </c>
      <c r="H4" s="17">
        <f>'Free Cash Flow'!G21</f>
        <v>5256.4023012886446</v>
      </c>
      <c r="I4" s="17">
        <f>'Free Cash Flow'!H21</f>
        <v>5673.4292135733813</v>
      </c>
      <c r="J4" s="17">
        <f>'Free Cash Flow'!I21</f>
        <v>5798.5956487458279</v>
      </c>
      <c r="K4" s="17">
        <f>'Free Cash Flow'!J21</f>
        <v>5704.6041441625785</v>
      </c>
    </row>
    <row r="5" spans="2:13" ht="14.25" customHeight="1" x14ac:dyDescent="0.35"/>
    <row r="6" spans="2:13" ht="14.25" customHeight="1" x14ac:dyDescent="0.35">
      <c r="B6" s="6" t="s">
        <v>50</v>
      </c>
      <c r="G6" s="6">
        <v>1</v>
      </c>
      <c r="H6" s="6">
        <v>2</v>
      </c>
      <c r="I6" s="6">
        <v>3</v>
      </c>
      <c r="J6" s="6">
        <v>4</v>
      </c>
      <c r="K6" s="6">
        <v>5</v>
      </c>
    </row>
    <row r="7" spans="2:13" ht="14.25" customHeight="1" x14ac:dyDescent="0.35">
      <c r="B7" s="18" t="s">
        <v>51</v>
      </c>
      <c r="C7" s="18"/>
      <c r="D7" s="18"/>
      <c r="E7" s="18"/>
      <c r="F7" s="18"/>
      <c r="G7" s="19">
        <f>G4/(1+$C$12)^G6</f>
        <v>3661.2615778672789</v>
      </c>
      <c r="H7" s="19">
        <f t="shared" ref="H7:K7" si="0">H4/(1+$C$12)^H6</f>
        <v>4657.4817796908446</v>
      </c>
      <c r="I7" s="19">
        <f t="shared" si="0"/>
        <v>4731.9428669391891</v>
      </c>
      <c r="J7" s="19">
        <f t="shared" si="0"/>
        <v>4552.4791031573495</v>
      </c>
      <c r="K7" s="19">
        <f t="shared" si="0"/>
        <v>4215.8187655590109</v>
      </c>
    </row>
    <row r="8" spans="2:13" ht="14.25" customHeight="1" x14ac:dyDescent="0.35"/>
    <row r="9" spans="2:13" ht="14.25" customHeight="1" x14ac:dyDescent="0.35">
      <c r="B9" s="42" t="s">
        <v>52</v>
      </c>
      <c r="C9" s="43"/>
      <c r="E9" s="42" t="s">
        <v>53</v>
      </c>
      <c r="F9" s="44"/>
      <c r="G9" s="44"/>
      <c r="H9" s="44"/>
      <c r="I9" s="44"/>
      <c r="J9" s="44"/>
      <c r="K9" s="43"/>
    </row>
    <row r="10" spans="2:13" ht="14.25" customHeight="1" x14ac:dyDescent="0.35">
      <c r="B10" s="1" t="s">
        <v>54</v>
      </c>
      <c r="C10" s="17">
        <f>SUM(G7:K7)</f>
        <v>21818.984093213676</v>
      </c>
    </row>
    <row r="11" spans="2:13" ht="14.25" customHeight="1" x14ac:dyDescent="0.35">
      <c r="B11" s="1" t="s">
        <v>55</v>
      </c>
      <c r="C11" s="23">
        <v>0.03</v>
      </c>
      <c r="E11" s="1"/>
      <c r="F11" s="1"/>
      <c r="G11" s="42" t="s">
        <v>55</v>
      </c>
      <c r="H11" s="44"/>
      <c r="I11" s="44"/>
      <c r="J11" s="44"/>
      <c r="K11" s="43"/>
    </row>
    <row r="12" spans="2:13" ht="15" customHeight="1" x14ac:dyDescent="0.35">
      <c r="B12" s="1" t="s">
        <v>56</v>
      </c>
      <c r="C12" s="20">
        <f>WACC!C18</f>
        <v>6.2352675736655094E-2</v>
      </c>
      <c r="E12" s="1"/>
      <c r="F12" s="24">
        <f>C21</f>
        <v>358.48060863831512</v>
      </c>
      <c r="G12" s="25">
        <f>H12-0.5%</f>
        <v>1.9999999999999997E-2</v>
      </c>
      <c r="H12" s="25">
        <f>I12-0.5%</f>
        <v>2.4999999999999998E-2</v>
      </c>
      <c r="I12" s="25">
        <v>0.03</v>
      </c>
      <c r="J12" s="25">
        <f>I12+0.5%</f>
        <v>3.4999999999999996E-2</v>
      </c>
      <c r="K12" s="25">
        <f>J12+0.5%</f>
        <v>3.9999999999999994E-2</v>
      </c>
    </row>
    <row r="13" spans="2:13" ht="14.25" customHeight="1" x14ac:dyDescent="0.35">
      <c r="B13" s="1" t="s">
        <v>57</v>
      </c>
      <c r="C13" s="17">
        <f>K4*(1+C11)/(C12-C11)</f>
        <v>181615.34199875555</v>
      </c>
      <c r="E13" s="45" t="s">
        <v>56</v>
      </c>
      <c r="F13" s="25">
        <f>F14+0.5%</f>
        <v>7.2400000000000006E-2</v>
      </c>
      <c r="G13" s="24">
        <f t="dataTable" ref="G13:K17" dt2D="1" dtr="1" r1="C11" r2="C12"/>
        <v>231.23364412815022</v>
      </c>
      <c r="H13" s="24">
        <v>250.7742215316897</v>
      </c>
      <c r="I13" s="24">
        <v>274.92342568134706</v>
      </c>
      <c r="J13" s="24">
        <v>305.52963628813188</v>
      </c>
      <c r="K13" s="24">
        <v>345.58220819330734</v>
      </c>
    </row>
    <row r="14" spans="2:13" ht="14.25" customHeight="1" x14ac:dyDescent="0.35">
      <c r="B14" s="1" t="s">
        <v>58</v>
      </c>
      <c r="C14" s="17">
        <f>C13/((1+C12)^K6)</f>
        <v>134217.44043278709</v>
      </c>
      <c r="D14" s="17"/>
      <c r="E14" s="46"/>
      <c r="F14" s="25">
        <f>F15+0.5%</f>
        <v>6.7400000000000002E-2</v>
      </c>
      <c r="G14" s="24">
        <v>255.10552493497386</v>
      </c>
      <c r="H14" s="26">
        <v>279.71040487812019</v>
      </c>
      <c r="I14" s="26">
        <v>310.89412972585131</v>
      </c>
      <c r="J14" s="26">
        <v>351.70246100806702</v>
      </c>
      <c r="K14" s="24">
        <v>407.40434385313546</v>
      </c>
      <c r="M14" t="s">
        <v>178</v>
      </c>
    </row>
    <row r="15" spans="2:13" ht="14.25" customHeight="1" x14ac:dyDescent="0.35">
      <c r="B15" s="1" t="s">
        <v>59</v>
      </c>
      <c r="C15" s="17">
        <f>C14+C10</f>
        <v>156036.42452600077</v>
      </c>
      <c r="E15" s="46"/>
      <c r="F15" s="25">
        <v>6.2399999999999997E-2</v>
      </c>
      <c r="G15" s="24">
        <v>284.60865900951615</v>
      </c>
      <c r="H15" s="26">
        <v>316.38358411127757</v>
      </c>
      <c r="I15" s="27">
        <v>357.96558486173109</v>
      </c>
      <c r="J15" s="26">
        <v>414.72349829483147</v>
      </c>
      <c r="K15" s="24">
        <v>496.8197659391376</v>
      </c>
    </row>
    <row r="16" spans="2:13" ht="14.25" customHeight="1" x14ac:dyDescent="0.35">
      <c r="B16" s="12" t="s">
        <v>60</v>
      </c>
      <c r="C16" s="17">
        <f>'Balance Sheet'!F4</f>
        <v>11258</v>
      </c>
      <c r="E16" s="46"/>
      <c r="F16" s="25">
        <f>F15-0.5%</f>
        <v>5.74E-2</v>
      </c>
      <c r="G16" s="24">
        <v>322.00153831648043</v>
      </c>
      <c r="H16" s="26">
        <v>364.37563037197373</v>
      </c>
      <c r="I16" s="26">
        <v>422.2147195280121</v>
      </c>
      <c r="J16" s="26">
        <v>505.87483062871013</v>
      </c>
      <c r="K16" s="24">
        <v>637.61546535049922</v>
      </c>
    </row>
    <row r="17" spans="2:11" ht="14.25" customHeight="1" x14ac:dyDescent="0.35">
      <c r="B17" s="12" t="s">
        <v>61</v>
      </c>
      <c r="C17" s="17">
        <f>WACC!C4</f>
        <v>7491</v>
      </c>
      <c r="E17" s="47"/>
      <c r="F17" s="25">
        <f>F16-0.5%</f>
        <v>5.2400000000000002E-2</v>
      </c>
      <c r="G17" s="24">
        <v>370.93678318632902</v>
      </c>
      <c r="H17" s="24">
        <v>429.88291511067843</v>
      </c>
      <c r="I17" s="24">
        <v>515.14428450125547</v>
      </c>
      <c r="J17" s="24">
        <v>649.4064408979109</v>
      </c>
      <c r="K17" s="24">
        <v>891.94452987251452</v>
      </c>
    </row>
    <row r="18" spans="2:11" ht="14.25" customHeight="1" x14ac:dyDescent="0.35">
      <c r="B18" s="12" t="s">
        <v>62</v>
      </c>
      <c r="C18" s="17">
        <f>'Balance Sheet'!F35</f>
        <v>514</v>
      </c>
    </row>
    <row r="19" spans="2:11" ht="14.25" customHeight="1" x14ac:dyDescent="0.35">
      <c r="B19" s="28" t="s">
        <v>63</v>
      </c>
      <c r="C19" s="29">
        <f>C15+C16-C17-C18</f>
        <v>159289.42452600077</v>
      </c>
    </row>
    <row r="20" spans="2:11" ht="14.25" customHeight="1" x14ac:dyDescent="0.35">
      <c r="B20" s="1" t="s">
        <v>64</v>
      </c>
      <c r="C20" s="30">
        <v>444.346</v>
      </c>
    </row>
    <row r="21" spans="2:11" ht="14.25" customHeight="1" x14ac:dyDescent="0.35">
      <c r="B21" s="13" t="s">
        <v>65</v>
      </c>
      <c r="C21" s="31">
        <f>C19/C20</f>
        <v>358.48060863831512</v>
      </c>
    </row>
    <row r="22" spans="2:11" ht="14.25" customHeight="1" x14ac:dyDescent="0.35"/>
    <row r="23" spans="2:11" ht="14.25" customHeight="1" x14ac:dyDescent="0.35"/>
    <row r="24" spans="2:11" ht="14.25" customHeight="1" x14ac:dyDescent="0.35"/>
    <row r="25" spans="2:11" ht="14.25" customHeight="1" x14ac:dyDescent="0.35"/>
    <row r="26" spans="2:11" ht="14.25" customHeight="1" x14ac:dyDescent="0.35"/>
    <row r="27" spans="2:11" ht="14.25" customHeight="1" x14ac:dyDescent="0.35"/>
    <row r="28" spans="2:11" ht="14.25" customHeight="1" x14ac:dyDescent="0.35"/>
    <row r="29" spans="2:11" ht="14.25" customHeight="1" x14ac:dyDescent="0.35"/>
    <row r="30" spans="2:11" ht="14.25" customHeight="1" x14ac:dyDescent="0.35"/>
    <row r="31" spans="2:11" ht="14.25" customHeight="1" x14ac:dyDescent="0.35"/>
    <row r="32" spans="2:11" ht="14.25" customHeight="1" x14ac:dyDescent="0.35"/>
    <row r="33" spans="7:7" ht="14.25" customHeight="1" x14ac:dyDescent="0.35"/>
    <row r="34" spans="7:7" ht="14.25" customHeight="1" x14ac:dyDescent="0.35"/>
    <row r="35" spans="7:7" ht="14.25" customHeight="1" x14ac:dyDescent="0.35">
      <c r="G35" t="s">
        <v>177</v>
      </c>
    </row>
    <row r="36" spans="7:7" ht="14.25" customHeight="1" x14ac:dyDescent="0.35"/>
    <row r="37" spans="7:7" ht="14.25" customHeight="1" x14ac:dyDescent="0.35"/>
    <row r="38" spans="7:7" ht="14.25" customHeight="1" x14ac:dyDescent="0.35"/>
    <row r="39" spans="7:7" ht="14.25" customHeight="1" x14ac:dyDescent="0.35"/>
    <row r="40" spans="7:7" ht="14.25" customHeight="1" x14ac:dyDescent="0.35"/>
    <row r="41" spans="7:7" ht="14.25" customHeight="1" x14ac:dyDescent="0.35"/>
    <row r="42" spans="7:7" ht="14.25" customHeight="1" x14ac:dyDescent="0.35"/>
    <row r="43" spans="7:7" ht="14.25" customHeight="1" x14ac:dyDescent="0.35"/>
    <row r="44" spans="7:7" ht="14.25" customHeight="1" x14ac:dyDescent="0.35"/>
    <row r="45" spans="7:7" ht="14.25" customHeight="1" x14ac:dyDescent="0.35"/>
    <row r="46" spans="7:7" ht="14.25" customHeight="1" x14ac:dyDescent="0.35"/>
    <row r="47" spans="7:7" ht="14.25" customHeight="1" x14ac:dyDescent="0.35"/>
    <row r="48" spans="7:7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000"/>
  <sheetViews>
    <sheetView showGridLines="0" workbookViewId="0">
      <selection activeCell="C6" sqref="C6"/>
    </sheetView>
  </sheetViews>
  <sheetFormatPr defaultColWidth="14.453125" defaultRowHeight="15" customHeight="1" x14ac:dyDescent="0.35"/>
  <cols>
    <col min="1" max="1" width="8.81640625" customWidth="1"/>
    <col min="2" max="2" width="37.1796875" customWidth="1"/>
    <col min="3" max="26" width="8.81640625" customWidth="1"/>
  </cols>
  <sheetData>
    <row r="1" spans="2:3" ht="14.25" customHeight="1" x14ac:dyDescent="0.35"/>
    <row r="2" spans="2:3" ht="14.25" customHeight="1" x14ac:dyDescent="0.35">
      <c r="B2" s="42" t="s">
        <v>66</v>
      </c>
      <c r="C2" s="43"/>
    </row>
    <row r="3" spans="2:3" ht="14.25" customHeight="1" x14ac:dyDescent="0.35">
      <c r="B3" s="1" t="s">
        <v>67</v>
      </c>
      <c r="C3" s="32">
        <v>214560</v>
      </c>
    </row>
    <row r="4" spans="2:3" ht="14.25" customHeight="1" x14ac:dyDescent="0.35">
      <c r="B4" s="1" t="s">
        <v>68</v>
      </c>
      <c r="C4" s="17">
        <f>SUM('Balance Sheet'!F20,'Balance Sheet'!F24)</f>
        <v>7491</v>
      </c>
    </row>
    <row r="5" spans="2:3" ht="14.25" customHeight="1" x14ac:dyDescent="0.35">
      <c r="B5" s="1"/>
      <c r="C5" s="1"/>
    </row>
    <row r="6" spans="2:3" ht="14.25" customHeight="1" x14ac:dyDescent="0.35">
      <c r="B6" s="1" t="s">
        <v>69</v>
      </c>
      <c r="C6" s="20">
        <f>-'Income Statement'!E13/WACC!C4</f>
        <v>2.2827392871445733E-2</v>
      </c>
    </row>
    <row r="7" spans="2:3" ht="14.25" customHeight="1" x14ac:dyDescent="0.35">
      <c r="B7" s="1" t="s">
        <v>70</v>
      </c>
      <c r="C7" s="33">
        <v>0.21</v>
      </c>
    </row>
    <row r="8" spans="2:3" ht="14.25" customHeight="1" x14ac:dyDescent="0.35">
      <c r="B8" s="1" t="s">
        <v>71</v>
      </c>
      <c r="C8" s="20">
        <f>C4/(C4+C3)</f>
        <v>3.3735493197508681E-2</v>
      </c>
    </row>
    <row r="9" spans="2:3" ht="14.25" customHeight="1" x14ac:dyDescent="0.35">
      <c r="B9" s="18" t="s">
        <v>72</v>
      </c>
      <c r="C9" s="34">
        <f>C6*(1-C7)</f>
        <v>1.8033640368442131E-2</v>
      </c>
    </row>
    <row r="10" spans="2:3" ht="14.25" customHeight="1" x14ac:dyDescent="0.35">
      <c r="B10" s="10"/>
      <c r="C10" s="35"/>
    </row>
    <row r="11" spans="2:3" ht="14.25" customHeight="1" x14ac:dyDescent="0.35">
      <c r="B11" s="1" t="s">
        <v>73</v>
      </c>
      <c r="C11" s="33">
        <v>3.1E-2</v>
      </c>
    </row>
    <row r="12" spans="2:3" ht="14.25" customHeight="1" x14ac:dyDescent="0.35">
      <c r="B12" s="1" t="s">
        <v>74</v>
      </c>
      <c r="C12" s="33">
        <v>7.8E-2</v>
      </c>
    </row>
    <row r="13" spans="2:3" ht="14.25" customHeight="1" x14ac:dyDescent="0.35">
      <c r="B13" s="1" t="s">
        <v>75</v>
      </c>
      <c r="C13" s="20">
        <f>C12-C11</f>
        <v>4.7E-2</v>
      </c>
    </row>
    <row r="14" spans="2:3" ht="14.25" customHeight="1" x14ac:dyDescent="0.35">
      <c r="B14" s="1" t="s">
        <v>76</v>
      </c>
      <c r="C14" s="36">
        <v>0.7</v>
      </c>
    </row>
    <row r="15" spans="2:3" ht="14.25" customHeight="1" x14ac:dyDescent="0.35">
      <c r="B15" s="1" t="s">
        <v>77</v>
      </c>
      <c r="C15" s="20">
        <f>C3/(C4+C3)</f>
        <v>0.96626450680249132</v>
      </c>
    </row>
    <row r="16" spans="2:3" ht="14.25" customHeight="1" x14ac:dyDescent="0.35">
      <c r="B16" s="18" t="s">
        <v>78</v>
      </c>
      <c r="C16" s="34">
        <f>C11+C13*C14</f>
        <v>6.3899999999999998E-2</v>
      </c>
    </row>
    <row r="17" spans="2:3" ht="14.25" customHeight="1" x14ac:dyDescent="0.35">
      <c r="B17" s="1"/>
      <c r="C17" s="1"/>
    </row>
    <row r="18" spans="2:3" ht="14.25" customHeight="1" x14ac:dyDescent="0.35">
      <c r="B18" s="13" t="s">
        <v>56</v>
      </c>
      <c r="C18" s="37">
        <f>C15*C16+C8*C9</f>
        <v>6.2352675736655094E-2</v>
      </c>
    </row>
    <row r="19" spans="2:3" ht="14.25" customHeight="1" x14ac:dyDescent="0.35"/>
    <row r="20" spans="2:3" ht="14.25" customHeight="1" x14ac:dyDescent="0.35"/>
    <row r="21" spans="2:3" ht="14.25" customHeight="1" x14ac:dyDescent="0.35"/>
    <row r="22" spans="2:3" ht="14.25" customHeight="1" x14ac:dyDescent="0.35"/>
    <row r="23" spans="2:3" ht="14.25" customHeight="1" x14ac:dyDescent="0.35"/>
    <row r="24" spans="2:3" ht="14.25" customHeight="1" x14ac:dyDescent="0.35"/>
    <row r="25" spans="2:3" ht="14.25" customHeight="1" x14ac:dyDescent="0.35"/>
    <row r="26" spans="2:3" ht="14.25" customHeight="1" x14ac:dyDescent="0.35"/>
    <row r="27" spans="2:3" ht="14.25" customHeight="1" x14ac:dyDescent="0.35"/>
    <row r="28" spans="2:3" ht="14.25" customHeight="1" x14ac:dyDescent="0.35"/>
    <row r="29" spans="2:3" ht="14.25" customHeight="1" x14ac:dyDescent="0.35"/>
    <row r="30" spans="2:3" ht="14.25" customHeight="1" x14ac:dyDescent="0.35"/>
    <row r="31" spans="2:3" ht="14.25" customHeight="1" x14ac:dyDescent="0.35"/>
    <row r="32" spans="2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B2:C2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000"/>
  <sheetViews>
    <sheetView topLeftCell="A4" workbookViewId="0">
      <selection activeCell="B31" sqref="B31:B32"/>
    </sheetView>
  </sheetViews>
  <sheetFormatPr defaultColWidth="14.453125" defaultRowHeight="15" customHeight="1" x14ac:dyDescent="0.35"/>
  <cols>
    <col min="1" max="1" width="8.81640625" customWidth="1"/>
    <col min="2" max="2" width="69.453125" customWidth="1"/>
    <col min="3" max="6" width="15.453125" customWidth="1"/>
    <col min="7" max="26" width="8.81640625" customWidth="1"/>
  </cols>
  <sheetData>
    <row r="1" spans="2:7" ht="14.25" customHeight="1" x14ac:dyDescent="0.35"/>
    <row r="2" spans="2:7" ht="14.25" customHeight="1" x14ac:dyDescent="0.35">
      <c r="B2" s="6" t="s">
        <v>79</v>
      </c>
    </row>
    <row r="3" spans="2:7" ht="14.25" customHeight="1" x14ac:dyDescent="0.35">
      <c r="C3" s="38" t="s">
        <v>80</v>
      </c>
      <c r="D3" s="38" t="s">
        <v>81</v>
      </c>
      <c r="E3" s="38" t="s">
        <v>82</v>
      </c>
    </row>
    <row r="4" spans="2:7" ht="14.25" customHeight="1" x14ac:dyDescent="0.35">
      <c r="B4" s="6" t="s">
        <v>83</v>
      </c>
    </row>
    <row r="5" spans="2:7" ht="14.25" customHeight="1" x14ac:dyDescent="0.35">
      <c r="B5" s="6" t="s">
        <v>84</v>
      </c>
      <c r="C5" s="39">
        <v>152703</v>
      </c>
      <c r="D5" s="39">
        <v>166761</v>
      </c>
      <c r="E5" s="39">
        <v>195929</v>
      </c>
    </row>
    <row r="6" spans="2:7" ht="14.25" customHeight="1" x14ac:dyDescent="0.35">
      <c r="B6" s="6" t="s">
        <v>85</v>
      </c>
    </row>
    <row r="7" spans="2:7" ht="14.25" customHeight="1" x14ac:dyDescent="0.35">
      <c r="B7" s="6" t="s">
        <v>86</v>
      </c>
      <c r="C7" s="17">
        <v>132886</v>
      </c>
      <c r="D7" s="17">
        <v>144939</v>
      </c>
      <c r="E7" s="17">
        <v>170684</v>
      </c>
    </row>
    <row r="8" spans="2:7" ht="14.25" customHeight="1" x14ac:dyDescent="0.35">
      <c r="B8" s="6" t="s">
        <v>87</v>
      </c>
      <c r="C8" s="17">
        <v>13502</v>
      </c>
      <c r="D8" s="17">
        <v>14687</v>
      </c>
      <c r="E8" s="17">
        <v>16680</v>
      </c>
      <c r="G8" s="39"/>
    </row>
    <row r="9" spans="2:7" ht="14.25" customHeight="1" x14ac:dyDescent="0.35">
      <c r="B9" s="6" t="s">
        <v>9</v>
      </c>
      <c r="C9" s="17">
        <v>1492</v>
      </c>
      <c r="D9" s="17">
        <v>1645</v>
      </c>
      <c r="E9" s="17">
        <v>1781</v>
      </c>
    </row>
    <row r="10" spans="2:7" ht="14.25" customHeight="1" x14ac:dyDescent="0.35">
      <c r="B10" s="6" t="s">
        <v>88</v>
      </c>
      <c r="C10" s="17">
        <v>86</v>
      </c>
      <c r="D10" s="17">
        <v>55</v>
      </c>
      <c r="E10" s="17">
        <v>76</v>
      </c>
    </row>
    <row r="11" spans="2:7" ht="14.25" customHeight="1" x14ac:dyDescent="0.35">
      <c r="B11" s="6" t="s">
        <v>89</v>
      </c>
      <c r="C11" s="17">
        <v>4737</v>
      </c>
      <c r="D11" s="17">
        <v>5435</v>
      </c>
      <c r="E11" s="17">
        <v>6708</v>
      </c>
    </row>
    <row r="12" spans="2:7" ht="14.25" customHeight="1" x14ac:dyDescent="0.35">
      <c r="B12" s="6" t="s">
        <v>90</v>
      </c>
      <c r="C12" s="17"/>
      <c r="D12" s="17"/>
      <c r="E12" s="17"/>
    </row>
    <row r="13" spans="2:7" ht="14.25" customHeight="1" x14ac:dyDescent="0.35">
      <c r="B13" s="6" t="s">
        <v>91</v>
      </c>
      <c r="C13" s="17">
        <v>-150</v>
      </c>
      <c r="D13" s="17">
        <v>-160</v>
      </c>
      <c r="E13" s="17">
        <v>-171</v>
      </c>
    </row>
    <row r="14" spans="2:7" ht="14.25" customHeight="1" x14ac:dyDescent="0.35">
      <c r="B14" s="6" t="s">
        <v>92</v>
      </c>
      <c r="C14" s="17">
        <v>178</v>
      </c>
      <c r="D14" s="17">
        <v>92</v>
      </c>
      <c r="E14" s="17">
        <v>143</v>
      </c>
    </row>
    <row r="15" spans="2:7" ht="14.25" customHeight="1" x14ac:dyDescent="0.35">
      <c r="B15" s="6" t="s">
        <v>93</v>
      </c>
      <c r="C15" s="17">
        <v>4765</v>
      </c>
      <c r="D15" s="17">
        <v>5367</v>
      </c>
      <c r="E15" s="17">
        <v>6680</v>
      </c>
    </row>
    <row r="16" spans="2:7" ht="14.25" customHeight="1" x14ac:dyDescent="0.35">
      <c r="B16" s="6" t="s">
        <v>94</v>
      </c>
      <c r="C16" s="17">
        <v>1061</v>
      </c>
      <c r="D16" s="17">
        <v>1308</v>
      </c>
      <c r="E16" s="17">
        <v>1601</v>
      </c>
    </row>
    <row r="17" spans="2:6" ht="14.25" customHeight="1" x14ac:dyDescent="0.35">
      <c r="B17" s="6" t="s">
        <v>95</v>
      </c>
      <c r="C17" s="17">
        <v>3704</v>
      </c>
      <c r="D17" s="17">
        <v>4059</v>
      </c>
      <c r="E17" s="17">
        <v>5079</v>
      </c>
    </row>
    <row r="18" spans="2:6" ht="14.25" customHeight="1" x14ac:dyDescent="0.35">
      <c r="C18" s="17"/>
      <c r="D18" s="17"/>
      <c r="E18" s="17"/>
    </row>
    <row r="19" spans="2:6" ht="14.25" customHeight="1" x14ac:dyDescent="0.35">
      <c r="B19" s="6" t="s">
        <v>96</v>
      </c>
      <c r="C19" s="17">
        <v>442923</v>
      </c>
      <c r="D19" s="17">
        <v>443901</v>
      </c>
      <c r="E19" s="17">
        <v>444346</v>
      </c>
    </row>
    <row r="20" spans="2:6" ht="14.25" customHeight="1" x14ac:dyDescent="0.35">
      <c r="C20" s="17"/>
      <c r="D20" s="17"/>
      <c r="E20" s="17"/>
    </row>
    <row r="21" spans="2:6" ht="14.25" customHeight="1" x14ac:dyDescent="0.35">
      <c r="B21" s="6" t="s">
        <v>97</v>
      </c>
      <c r="C21" s="17">
        <v>149351</v>
      </c>
      <c r="D21" s="17">
        <v>163220</v>
      </c>
      <c r="E21" s="17">
        <v>192052</v>
      </c>
    </row>
    <row r="22" spans="2:6" ht="14.25" customHeight="1" x14ac:dyDescent="0.35">
      <c r="B22" s="6" t="s">
        <v>98</v>
      </c>
      <c r="C22" s="17">
        <v>3352</v>
      </c>
      <c r="D22" s="17">
        <v>3541</v>
      </c>
      <c r="E22" s="17">
        <v>3877</v>
      </c>
    </row>
    <row r="23" spans="2:6" ht="14.25" customHeight="1" x14ac:dyDescent="0.35">
      <c r="D23" s="24"/>
      <c r="E23" s="24"/>
      <c r="F23" s="24"/>
    </row>
    <row r="24" spans="2:6" ht="14.25" customHeight="1" x14ac:dyDescent="0.35">
      <c r="D24" s="17"/>
      <c r="E24" s="17"/>
      <c r="F24" s="17"/>
    </row>
    <row r="25" spans="2:6" ht="14.25" customHeight="1" x14ac:dyDescent="0.35">
      <c r="D25" s="17"/>
      <c r="E25" s="17"/>
      <c r="F25" s="17"/>
    </row>
    <row r="26" spans="2:6" ht="14.25" customHeight="1" x14ac:dyDescent="0.35">
      <c r="D26" s="17"/>
      <c r="E26" s="17"/>
      <c r="F26" s="17"/>
    </row>
    <row r="27" spans="2:6" ht="14.25" customHeight="1" x14ac:dyDescent="0.35">
      <c r="D27" s="17"/>
      <c r="E27" s="17"/>
      <c r="F27" s="17"/>
    </row>
    <row r="28" spans="2:6" ht="14.25" customHeight="1" x14ac:dyDescent="0.35">
      <c r="D28" s="17"/>
      <c r="E28" s="17"/>
      <c r="F28" s="17"/>
    </row>
    <row r="29" spans="2:6" ht="14.25" customHeight="1" x14ac:dyDescent="0.35">
      <c r="D29" s="17"/>
      <c r="E29" s="17"/>
      <c r="F29" s="17"/>
    </row>
    <row r="30" spans="2:6" ht="14.25" customHeight="1" x14ac:dyDescent="0.35"/>
    <row r="31" spans="2:6" ht="14.25" customHeight="1" x14ac:dyDescent="0.35"/>
    <row r="32" spans="2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000"/>
  <sheetViews>
    <sheetView topLeftCell="B17" workbookViewId="0">
      <selection activeCell="G6" sqref="G6"/>
    </sheetView>
  </sheetViews>
  <sheetFormatPr defaultColWidth="14.453125" defaultRowHeight="15" customHeight="1" x14ac:dyDescent="0.35"/>
  <cols>
    <col min="1" max="1" width="8.81640625" customWidth="1"/>
    <col min="2" max="2" width="104.81640625" customWidth="1"/>
    <col min="3" max="5" width="11.81640625" customWidth="1"/>
    <col min="6" max="6" width="11.453125" customWidth="1"/>
    <col min="7" max="26" width="8.81640625" customWidth="1"/>
  </cols>
  <sheetData>
    <row r="1" spans="2:6" ht="14.25" customHeight="1" x14ac:dyDescent="0.35"/>
    <row r="2" spans="2:6" ht="14.25" customHeight="1" x14ac:dyDescent="0.35">
      <c r="B2" s="6" t="s">
        <v>99</v>
      </c>
      <c r="C2" s="6" t="s">
        <v>100</v>
      </c>
      <c r="D2" s="6" t="s">
        <v>80</v>
      </c>
      <c r="E2" s="6" t="s">
        <v>81</v>
      </c>
      <c r="F2" s="6" t="s">
        <v>82</v>
      </c>
    </row>
    <row r="3" spans="2:6" ht="14.25" customHeight="1" x14ac:dyDescent="0.35">
      <c r="B3" s="6" t="s">
        <v>101</v>
      </c>
    </row>
    <row r="4" spans="2:6" ht="14.25" customHeight="1" x14ac:dyDescent="0.35">
      <c r="B4" s="6" t="s">
        <v>102</v>
      </c>
      <c r="C4" s="17">
        <v>6055</v>
      </c>
      <c r="D4" s="17">
        <v>8384</v>
      </c>
      <c r="E4" s="17">
        <v>12277</v>
      </c>
      <c r="F4" s="17">
        <v>11258</v>
      </c>
    </row>
    <row r="5" spans="2:6" ht="14.25" customHeight="1" x14ac:dyDescent="0.35">
      <c r="B5" s="6" t="s">
        <v>103</v>
      </c>
      <c r="C5" s="17">
        <v>1204</v>
      </c>
      <c r="D5" s="17">
        <v>1060</v>
      </c>
      <c r="E5" s="17">
        <v>1028</v>
      </c>
      <c r="F5" s="17">
        <v>917</v>
      </c>
    </row>
    <row r="6" spans="2:6" ht="14.25" customHeight="1" x14ac:dyDescent="0.35">
      <c r="B6" s="6" t="s">
        <v>104</v>
      </c>
      <c r="C6" s="17">
        <v>1669</v>
      </c>
      <c r="D6" s="17">
        <v>1535</v>
      </c>
      <c r="E6" s="17">
        <v>1550</v>
      </c>
      <c r="F6" s="17">
        <v>1803</v>
      </c>
    </row>
    <row r="7" spans="2:6" ht="14.25" customHeight="1" x14ac:dyDescent="0.35">
      <c r="B7" s="6" t="s">
        <v>105</v>
      </c>
      <c r="C7" s="17">
        <v>11040</v>
      </c>
      <c r="D7" s="17">
        <v>11395</v>
      </c>
      <c r="E7" s="17">
        <v>12242</v>
      </c>
      <c r="F7" s="17">
        <v>14215</v>
      </c>
    </row>
    <row r="8" spans="2:6" ht="14.25" customHeight="1" x14ac:dyDescent="0.35">
      <c r="B8" s="6" t="s">
        <v>106</v>
      </c>
      <c r="C8" s="17">
        <v>321</v>
      </c>
      <c r="D8" s="17">
        <v>1111</v>
      </c>
      <c r="E8" s="17">
        <v>1023</v>
      </c>
      <c r="F8" s="17">
        <v>1312</v>
      </c>
    </row>
    <row r="9" spans="2:6" ht="14.25" customHeight="1" x14ac:dyDescent="0.35">
      <c r="B9" s="6" t="s">
        <v>107</v>
      </c>
      <c r="C9" s="17">
        <v>20289</v>
      </c>
      <c r="D9" s="17">
        <v>23485</v>
      </c>
      <c r="E9" s="17">
        <v>28120</v>
      </c>
      <c r="F9" s="17">
        <v>29505</v>
      </c>
    </row>
    <row r="10" spans="2:6" ht="14.25" customHeight="1" x14ac:dyDescent="0.35">
      <c r="B10" s="6" t="s">
        <v>108</v>
      </c>
      <c r="C10" s="17"/>
      <c r="D10" s="17"/>
      <c r="E10" s="17"/>
      <c r="F10" s="17"/>
    </row>
    <row r="11" spans="2:6" ht="14.25" customHeight="1" x14ac:dyDescent="0.35">
      <c r="B11" s="6" t="s">
        <v>109</v>
      </c>
      <c r="C11" s="17">
        <v>19681</v>
      </c>
      <c r="D11" s="17">
        <v>20890</v>
      </c>
      <c r="E11" s="17">
        <v>21807</v>
      </c>
      <c r="F11" s="17">
        <v>23492</v>
      </c>
    </row>
    <row r="12" spans="2:6" ht="14.25" customHeight="1" x14ac:dyDescent="0.35">
      <c r="B12" s="6" t="s">
        <v>110</v>
      </c>
      <c r="C12" s="17"/>
      <c r="D12" s="17">
        <v>0</v>
      </c>
      <c r="E12" s="17">
        <v>2788</v>
      </c>
      <c r="F12" s="17">
        <v>2890</v>
      </c>
    </row>
    <row r="13" spans="2:6" ht="14.25" customHeight="1" x14ac:dyDescent="0.35">
      <c r="B13" s="6" t="s">
        <v>111</v>
      </c>
      <c r="C13" s="17">
        <v>860</v>
      </c>
      <c r="D13" s="17">
        <v>1025</v>
      </c>
      <c r="E13" s="17">
        <v>2841</v>
      </c>
      <c r="F13" s="17">
        <v>3381</v>
      </c>
    </row>
    <row r="14" spans="2:6" ht="14.25" customHeight="1" x14ac:dyDescent="0.35">
      <c r="B14" s="6" t="s">
        <v>112</v>
      </c>
      <c r="C14" s="17">
        <v>40830</v>
      </c>
      <c r="D14" s="17">
        <v>45400</v>
      </c>
      <c r="E14" s="17">
        <v>55556</v>
      </c>
      <c r="F14" s="17">
        <v>59268</v>
      </c>
    </row>
    <row r="15" spans="2:6" ht="14.25" customHeight="1" x14ac:dyDescent="0.35">
      <c r="B15" s="6" t="s">
        <v>113</v>
      </c>
      <c r="C15" s="17"/>
      <c r="D15" s="17"/>
      <c r="E15" s="17"/>
      <c r="F15" s="17"/>
    </row>
    <row r="16" spans="2:6" ht="14.25" customHeight="1" x14ac:dyDescent="0.35">
      <c r="B16" s="6" t="s">
        <v>114</v>
      </c>
      <c r="C16" s="17">
        <v>11237</v>
      </c>
      <c r="D16" s="17">
        <v>11679</v>
      </c>
      <c r="E16" s="17">
        <v>14172</v>
      </c>
      <c r="F16" s="17">
        <v>16278</v>
      </c>
    </row>
    <row r="17" spans="2:6" ht="14.25" customHeight="1" x14ac:dyDescent="0.35">
      <c r="B17" s="6" t="s">
        <v>115</v>
      </c>
      <c r="C17" s="17">
        <v>2994</v>
      </c>
      <c r="D17" s="17">
        <v>3176</v>
      </c>
      <c r="E17" s="17">
        <v>3605</v>
      </c>
      <c r="F17" s="17">
        <v>4090</v>
      </c>
    </row>
    <row r="18" spans="2:6" ht="14.25" customHeight="1" x14ac:dyDescent="0.35">
      <c r="B18" s="6" t="s">
        <v>116</v>
      </c>
      <c r="C18" s="17">
        <v>1057</v>
      </c>
      <c r="D18" s="17">
        <v>1180</v>
      </c>
      <c r="E18" s="17">
        <v>1393</v>
      </c>
      <c r="F18" s="17">
        <v>1671</v>
      </c>
    </row>
    <row r="19" spans="2:6" ht="14.25" customHeight="1" x14ac:dyDescent="0.35">
      <c r="B19" s="6" t="s">
        <v>117</v>
      </c>
      <c r="C19" s="17">
        <v>1624</v>
      </c>
      <c r="D19" s="17">
        <v>1711</v>
      </c>
      <c r="E19" s="17">
        <v>1851</v>
      </c>
      <c r="F19" s="17">
        <v>2042</v>
      </c>
    </row>
    <row r="20" spans="2:6" ht="14.25" customHeight="1" x14ac:dyDescent="0.35">
      <c r="B20" s="6" t="s">
        <v>118</v>
      </c>
      <c r="C20" s="17">
        <v>90</v>
      </c>
      <c r="D20" s="17">
        <v>1699</v>
      </c>
      <c r="E20" s="17">
        <v>95</v>
      </c>
      <c r="F20" s="17">
        <v>799</v>
      </c>
    </row>
    <row r="21" spans="2:6" ht="14.25" customHeight="1" x14ac:dyDescent="0.35">
      <c r="B21" s="6" t="s">
        <v>119</v>
      </c>
      <c r="C21" s="17">
        <v>2924</v>
      </c>
      <c r="D21" s="17">
        <v>3792</v>
      </c>
      <c r="E21" s="17">
        <v>3728</v>
      </c>
      <c r="F21" s="17">
        <v>4561</v>
      </c>
    </row>
    <row r="22" spans="2:6" ht="14.25" customHeight="1" x14ac:dyDescent="0.35">
      <c r="B22" s="6" t="s">
        <v>120</v>
      </c>
      <c r="C22" s="17">
        <v>19926</v>
      </c>
      <c r="D22" s="17">
        <v>23237</v>
      </c>
      <c r="E22" s="17">
        <v>24844</v>
      </c>
      <c r="F22" s="17">
        <v>29441</v>
      </c>
    </row>
    <row r="23" spans="2:6" ht="14.25" customHeight="1" x14ac:dyDescent="0.35">
      <c r="B23" s="6" t="s">
        <v>121</v>
      </c>
      <c r="C23" s="17"/>
      <c r="D23" s="17"/>
      <c r="E23" s="17"/>
      <c r="F23" s="17"/>
    </row>
    <row r="24" spans="2:6" ht="14.25" customHeight="1" x14ac:dyDescent="0.35">
      <c r="B24" s="6" t="s">
        <v>122</v>
      </c>
      <c r="C24" s="17">
        <v>6487</v>
      </c>
      <c r="D24" s="17">
        <v>5124</v>
      </c>
      <c r="E24" s="17">
        <v>7514</v>
      </c>
      <c r="F24" s="17">
        <v>6692</v>
      </c>
    </row>
    <row r="25" spans="2:6" ht="14.25" customHeight="1" x14ac:dyDescent="0.35">
      <c r="B25" s="6" t="s">
        <v>123</v>
      </c>
      <c r="C25" s="17"/>
      <c r="D25" s="17">
        <v>0</v>
      </c>
      <c r="E25" s="17">
        <v>2558</v>
      </c>
      <c r="F25" s="17">
        <v>2642</v>
      </c>
    </row>
    <row r="26" spans="2:6" ht="14.25" customHeight="1" x14ac:dyDescent="0.35">
      <c r="B26" s="6" t="s">
        <v>124</v>
      </c>
      <c r="C26" s="17">
        <v>1314</v>
      </c>
      <c r="D26" s="17">
        <v>1455</v>
      </c>
      <c r="E26" s="17">
        <v>1935</v>
      </c>
      <c r="F26" s="17">
        <v>2415</v>
      </c>
    </row>
    <row r="27" spans="2:6" ht="14.25" customHeight="1" x14ac:dyDescent="0.35">
      <c r="B27" s="6" t="s">
        <v>125</v>
      </c>
      <c r="C27" s="17">
        <v>27727</v>
      </c>
      <c r="D27" s="17">
        <v>29816</v>
      </c>
      <c r="E27" s="17">
        <v>36851</v>
      </c>
      <c r="F27" s="17">
        <v>41190</v>
      </c>
    </row>
    <row r="28" spans="2:6" ht="14.25" customHeight="1" x14ac:dyDescent="0.35">
      <c r="B28" s="6" t="s">
        <v>126</v>
      </c>
      <c r="C28" s="17"/>
      <c r="D28" s="17"/>
      <c r="E28" s="17"/>
      <c r="F28" s="17"/>
    </row>
    <row r="29" spans="2:6" ht="14.25" customHeight="1" x14ac:dyDescent="0.35">
      <c r="B29" s="6" t="s">
        <v>127</v>
      </c>
      <c r="C29" s="17">
        <v>0</v>
      </c>
      <c r="D29" s="17">
        <v>0</v>
      </c>
      <c r="E29" s="17">
        <v>0</v>
      </c>
      <c r="F29" s="17">
        <v>0</v>
      </c>
    </row>
    <row r="30" spans="2:6" ht="14.25" customHeight="1" x14ac:dyDescent="0.35">
      <c r="B30" s="6" t="s">
        <v>128</v>
      </c>
      <c r="C30" s="17">
        <v>4</v>
      </c>
      <c r="D30" s="17">
        <v>4</v>
      </c>
      <c r="E30" s="17">
        <v>4</v>
      </c>
      <c r="F30" s="17">
        <v>4</v>
      </c>
    </row>
    <row r="31" spans="2:6" ht="14.25" customHeight="1" x14ac:dyDescent="0.35">
      <c r="B31" s="6" t="s">
        <v>129</v>
      </c>
      <c r="C31" s="17">
        <v>6107</v>
      </c>
      <c r="D31" s="17">
        <v>6417</v>
      </c>
      <c r="E31" s="17">
        <v>6698</v>
      </c>
      <c r="F31" s="17">
        <v>7031</v>
      </c>
    </row>
    <row r="32" spans="2:6" ht="14.25" customHeight="1" x14ac:dyDescent="0.35">
      <c r="B32" s="6" t="s">
        <v>130</v>
      </c>
      <c r="C32" s="17">
        <v>-1199</v>
      </c>
      <c r="D32" s="17">
        <v>-1436</v>
      </c>
      <c r="E32" s="17">
        <v>-1297</v>
      </c>
      <c r="F32" s="17">
        <v>-1137</v>
      </c>
    </row>
    <row r="33" spans="2:6" ht="14.25" customHeight="1" x14ac:dyDescent="0.35">
      <c r="B33" s="6" t="s">
        <v>131</v>
      </c>
      <c r="C33" s="17">
        <v>7887</v>
      </c>
      <c r="D33" s="17">
        <v>10258</v>
      </c>
      <c r="E33" s="17">
        <v>12879</v>
      </c>
      <c r="F33" s="17">
        <v>11666</v>
      </c>
    </row>
    <row r="34" spans="2:6" ht="14.25" customHeight="1" x14ac:dyDescent="0.35">
      <c r="B34" s="6" t="s">
        <v>132</v>
      </c>
      <c r="C34" s="17">
        <v>12799</v>
      </c>
      <c r="D34" s="17">
        <v>15243</v>
      </c>
      <c r="E34" s="17">
        <v>18284</v>
      </c>
      <c r="F34" s="17">
        <v>17564</v>
      </c>
    </row>
    <row r="35" spans="2:6" ht="14.25" customHeight="1" x14ac:dyDescent="0.35">
      <c r="B35" s="6" t="s">
        <v>133</v>
      </c>
      <c r="C35" s="17">
        <v>304</v>
      </c>
      <c r="D35" s="17">
        <v>341</v>
      </c>
      <c r="E35" s="17">
        <v>421</v>
      </c>
      <c r="F35" s="17">
        <v>514</v>
      </c>
    </row>
    <row r="36" spans="2:6" ht="14.25" customHeight="1" x14ac:dyDescent="0.35">
      <c r="B36" s="6" t="s">
        <v>134</v>
      </c>
      <c r="C36" s="17">
        <v>13103</v>
      </c>
      <c r="D36" s="17">
        <v>15584</v>
      </c>
      <c r="E36" s="17">
        <v>18705</v>
      </c>
      <c r="F36" s="17">
        <v>18078</v>
      </c>
    </row>
    <row r="37" spans="2:6" ht="14.25" customHeight="1" x14ac:dyDescent="0.35">
      <c r="B37" s="6" t="s">
        <v>135</v>
      </c>
      <c r="C37" s="17">
        <v>40830</v>
      </c>
      <c r="D37" s="17">
        <v>45400</v>
      </c>
      <c r="E37" s="17">
        <v>55556</v>
      </c>
      <c r="F37" s="17">
        <v>59268</v>
      </c>
    </row>
    <row r="38" spans="2:6" ht="14.25" customHeight="1" x14ac:dyDescent="0.35"/>
    <row r="39" spans="2:6" ht="14.25" customHeight="1" x14ac:dyDescent="0.35"/>
    <row r="40" spans="2:6" ht="14.25" customHeight="1" x14ac:dyDescent="0.35"/>
    <row r="41" spans="2:6" ht="14.25" customHeight="1" x14ac:dyDescent="0.35"/>
    <row r="42" spans="2:6" ht="14.25" customHeight="1" x14ac:dyDescent="0.35"/>
    <row r="43" spans="2:6" ht="14.25" customHeight="1" x14ac:dyDescent="0.35"/>
    <row r="44" spans="2:6" ht="14.25" customHeight="1" x14ac:dyDescent="0.35"/>
    <row r="45" spans="2:6" ht="14.25" customHeight="1" x14ac:dyDescent="0.35"/>
    <row r="46" spans="2:6" ht="14.25" customHeight="1" x14ac:dyDescent="0.35"/>
    <row r="47" spans="2:6" ht="14.25" customHeight="1" x14ac:dyDescent="0.35"/>
    <row r="48" spans="2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000"/>
  <sheetViews>
    <sheetView workbookViewId="0"/>
  </sheetViews>
  <sheetFormatPr defaultColWidth="14.453125" defaultRowHeight="15" customHeight="1" x14ac:dyDescent="0.35"/>
  <cols>
    <col min="1" max="1" width="8.81640625" customWidth="1"/>
    <col min="2" max="2" width="101.453125" customWidth="1"/>
    <col min="3" max="5" width="15.453125" customWidth="1"/>
    <col min="6" max="26" width="8.81640625" customWidth="1"/>
  </cols>
  <sheetData>
    <row r="1" spans="2:5" ht="14.25" customHeight="1" x14ac:dyDescent="0.35"/>
    <row r="2" spans="2:5" ht="14.25" customHeight="1" x14ac:dyDescent="0.35">
      <c r="B2" s="6" t="s">
        <v>136</v>
      </c>
    </row>
    <row r="3" spans="2:5" ht="14.25" customHeight="1" x14ac:dyDescent="0.35">
      <c r="C3" s="6" t="s">
        <v>80</v>
      </c>
      <c r="D3" s="6" t="s">
        <v>81</v>
      </c>
      <c r="E3" s="6" t="s">
        <v>82</v>
      </c>
    </row>
    <row r="4" spans="2:5" ht="14.25" customHeight="1" x14ac:dyDescent="0.35">
      <c r="B4" s="6" t="s">
        <v>137</v>
      </c>
    </row>
    <row r="5" spans="2:5" ht="14.25" customHeight="1" x14ac:dyDescent="0.35">
      <c r="B5" s="6" t="s">
        <v>138</v>
      </c>
      <c r="C5" s="6">
        <v>3704</v>
      </c>
      <c r="D5" s="6">
        <v>4059</v>
      </c>
      <c r="E5" s="6">
        <v>5079</v>
      </c>
    </row>
    <row r="6" spans="2:5" ht="14.25" customHeight="1" x14ac:dyDescent="0.35">
      <c r="B6" s="6" t="s">
        <v>139</v>
      </c>
    </row>
    <row r="7" spans="2:5" ht="14.25" customHeight="1" x14ac:dyDescent="0.35">
      <c r="B7" s="6" t="s">
        <v>140</v>
      </c>
      <c r="C7" s="6">
        <v>1492</v>
      </c>
      <c r="D7" s="6">
        <v>1645</v>
      </c>
      <c r="E7" s="6">
        <v>1781</v>
      </c>
    </row>
    <row r="8" spans="2:5" ht="14.25" customHeight="1" x14ac:dyDescent="0.35">
      <c r="B8" s="6" t="s">
        <v>141</v>
      </c>
      <c r="C8" s="6">
        <v>0</v>
      </c>
      <c r="D8" s="6">
        <v>194</v>
      </c>
      <c r="E8" s="6">
        <v>286</v>
      </c>
    </row>
    <row r="9" spans="2:5" ht="14.25" customHeight="1" x14ac:dyDescent="0.35">
      <c r="B9" s="6" t="s">
        <v>142</v>
      </c>
      <c r="C9" s="6">
        <v>595</v>
      </c>
      <c r="D9" s="6">
        <v>619</v>
      </c>
      <c r="E9" s="6">
        <v>665</v>
      </c>
    </row>
    <row r="10" spans="2:5" ht="14.25" customHeight="1" x14ac:dyDescent="0.35">
      <c r="B10" s="6" t="s">
        <v>143</v>
      </c>
      <c r="C10" s="6">
        <v>9</v>
      </c>
      <c r="D10" s="6">
        <v>42</v>
      </c>
      <c r="E10" s="6">
        <v>85</v>
      </c>
    </row>
    <row r="11" spans="2:5" ht="14.25" customHeight="1" x14ac:dyDescent="0.35">
      <c r="B11" s="6" t="s">
        <v>144</v>
      </c>
      <c r="C11" s="6">
        <v>147</v>
      </c>
      <c r="D11" s="6">
        <v>104</v>
      </c>
      <c r="E11" s="6">
        <v>59</v>
      </c>
    </row>
    <row r="12" spans="2:5" ht="14.25" customHeight="1" x14ac:dyDescent="0.35">
      <c r="B12" s="6" t="s">
        <v>145</v>
      </c>
    </row>
    <row r="13" spans="2:5" ht="14.25" customHeight="1" x14ac:dyDescent="0.35">
      <c r="B13" s="6" t="s">
        <v>105</v>
      </c>
      <c r="C13" s="6">
        <v>-536</v>
      </c>
      <c r="D13" s="6">
        <v>-791</v>
      </c>
      <c r="E13" s="6">
        <v>-1892</v>
      </c>
    </row>
    <row r="14" spans="2:5" ht="14.25" customHeight="1" x14ac:dyDescent="0.35">
      <c r="B14" s="6" t="s">
        <v>114</v>
      </c>
      <c r="C14" s="6">
        <v>322</v>
      </c>
      <c r="D14" s="6">
        <v>2261</v>
      </c>
      <c r="E14" s="6">
        <v>1838</v>
      </c>
    </row>
    <row r="15" spans="2:5" ht="14.25" customHeight="1" x14ac:dyDescent="0.35">
      <c r="B15" s="6" t="s">
        <v>146</v>
      </c>
      <c r="C15" s="6">
        <v>623</v>
      </c>
      <c r="D15" s="6">
        <v>728</v>
      </c>
      <c r="E15" s="6">
        <v>1057</v>
      </c>
    </row>
    <row r="16" spans="2:5" ht="14.25" customHeight="1" x14ac:dyDescent="0.35">
      <c r="B16" s="6" t="s">
        <v>147</v>
      </c>
      <c r="C16" s="6">
        <v>6356</v>
      </c>
      <c r="D16" s="6">
        <v>8861</v>
      </c>
      <c r="E16" s="6">
        <v>8958</v>
      </c>
    </row>
    <row r="17" spans="2:5" ht="14.25" customHeight="1" x14ac:dyDescent="0.35">
      <c r="B17" s="6" t="s">
        <v>148</v>
      </c>
    </row>
    <row r="18" spans="2:5" ht="14.25" customHeight="1" x14ac:dyDescent="0.35">
      <c r="B18" s="6" t="s">
        <v>149</v>
      </c>
      <c r="C18" s="6">
        <v>-1094</v>
      </c>
      <c r="D18" s="6">
        <v>-1626</v>
      </c>
      <c r="E18" s="6">
        <v>-1331</v>
      </c>
    </row>
    <row r="19" spans="2:5" ht="14.25" customHeight="1" x14ac:dyDescent="0.35">
      <c r="B19" s="6" t="s">
        <v>150</v>
      </c>
      <c r="C19" s="6">
        <v>1231</v>
      </c>
      <c r="D19" s="6">
        <v>1678</v>
      </c>
      <c r="E19" s="6">
        <v>1446</v>
      </c>
    </row>
    <row r="20" spans="2:5" ht="14.25" customHeight="1" x14ac:dyDescent="0.35">
      <c r="B20" s="6" t="s">
        <v>151</v>
      </c>
      <c r="C20" s="6">
        <v>-2998</v>
      </c>
      <c r="D20" s="6">
        <v>-2810</v>
      </c>
      <c r="E20" s="6">
        <v>-3588</v>
      </c>
    </row>
    <row r="21" spans="2:5" ht="14.25" customHeight="1" x14ac:dyDescent="0.35">
      <c r="B21" s="6" t="s">
        <v>152</v>
      </c>
      <c r="C21" s="6">
        <v>0</v>
      </c>
      <c r="D21" s="6">
        <v>-1163</v>
      </c>
      <c r="E21" s="6">
        <v>0</v>
      </c>
    </row>
    <row r="22" spans="2:5" ht="14.25" customHeight="1" x14ac:dyDescent="0.35">
      <c r="B22" s="6" t="s">
        <v>153</v>
      </c>
      <c r="C22" s="6">
        <v>-4</v>
      </c>
      <c r="D22" s="6">
        <v>30</v>
      </c>
      <c r="E22" s="6">
        <v>-62</v>
      </c>
    </row>
    <row r="23" spans="2:5" ht="14.25" customHeight="1" x14ac:dyDescent="0.35">
      <c r="B23" s="6" t="s">
        <v>154</v>
      </c>
      <c r="C23" s="6">
        <v>-2865</v>
      </c>
      <c r="D23" s="6">
        <v>-3891</v>
      </c>
      <c r="E23" s="6">
        <v>-3535</v>
      </c>
    </row>
    <row r="24" spans="2:5" ht="14.25" customHeight="1" x14ac:dyDescent="0.35">
      <c r="B24" s="6" t="s">
        <v>155</v>
      </c>
    </row>
    <row r="25" spans="2:5" ht="14.25" customHeight="1" x14ac:dyDescent="0.35">
      <c r="B25" s="6" t="s">
        <v>156</v>
      </c>
      <c r="C25" s="6">
        <v>210</v>
      </c>
      <c r="D25" s="6">
        <v>137</v>
      </c>
      <c r="E25" s="6">
        <v>188</v>
      </c>
    </row>
    <row r="26" spans="2:5" ht="14.25" customHeight="1" x14ac:dyDescent="0.35">
      <c r="B26" s="6" t="s">
        <v>157</v>
      </c>
      <c r="C26" s="6">
        <v>0</v>
      </c>
      <c r="D26" s="6">
        <v>0</v>
      </c>
      <c r="E26" s="6">
        <v>41</v>
      </c>
    </row>
    <row r="27" spans="2:5" ht="14.25" customHeight="1" x14ac:dyDescent="0.35">
      <c r="B27" s="6" t="s">
        <v>158</v>
      </c>
      <c r="C27" s="6">
        <v>298</v>
      </c>
      <c r="D27" s="6">
        <v>3992</v>
      </c>
      <c r="E27" s="6">
        <v>0</v>
      </c>
    </row>
    <row r="28" spans="2:5" ht="14.25" customHeight="1" x14ac:dyDescent="0.35">
      <c r="B28" s="6" t="s">
        <v>159</v>
      </c>
      <c r="C28" s="6">
        <v>-89</v>
      </c>
      <c r="D28" s="6">
        <v>-3200</v>
      </c>
      <c r="E28" s="6">
        <v>-94</v>
      </c>
    </row>
    <row r="29" spans="2:5" ht="14.25" customHeight="1" x14ac:dyDescent="0.35">
      <c r="B29" s="6" t="s">
        <v>160</v>
      </c>
      <c r="C29" s="6">
        <v>-272</v>
      </c>
      <c r="D29" s="6">
        <v>-330</v>
      </c>
      <c r="E29" s="6">
        <v>-312</v>
      </c>
    </row>
    <row r="30" spans="2:5" ht="14.25" customHeight="1" x14ac:dyDescent="0.35">
      <c r="B30" s="6" t="s">
        <v>161</v>
      </c>
      <c r="C30" s="6">
        <v>-247</v>
      </c>
      <c r="D30" s="6">
        <v>-196</v>
      </c>
      <c r="E30" s="6">
        <v>-496</v>
      </c>
    </row>
    <row r="31" spans="2:5" ht="14.25" customHeight="1" x14ac:dyDescent="0.35">
      <c r="B31" s="6" t="s">
        <v>162</v>
      </c>
      <c r="C31" s="6">
        <v>-1038</v>
      </c>
      <c r="D31" s="6">
        <v>-1479</v>
      </c>
      <c r="E31" s="6">
        <v>-5748</v>
      </c>
    </row>
    <row r="32" spans="2:5" ht="14.25" customHeight="1" x14ac:dyDescent="0.35">
      <c r="B32" s="6" t="s">
        <v>163</v>
      </c>
      <c r="C32" s="6">
        <v>-9</v>
      </c>
      <c r="D32" s="6">
        <v>-71</v>
      </c>
      <c r="E32" s="6">
        <v>-67</v>
      </c>
    </row>
    <row r="33" spans="2:5" ht="14.25" customHeight="1" x14ac:dyDescent="0.35">
      <c r="B33" s="6" t="s">
        <v>164</v>
      </c>
      <c r="C33" s="6">
        <v>-1147</v>
      </c>
      <c r="D33" s="6">
        <v>-1147</v>
      </c>
      <c r="E33" s="6">
        <v>-6488</v>
      </c>
    </row>
    <row r="34" spans="2:5" ht="14.25" customHeight="1" x14ac:dyDescent="0.35">
      <c r="B34" s="6" t="s">
        <v>165</v>
      </c>
      <c r="C34" s="6">
        <v>-15</v>
      </c>
      <c r="D34" s="6">
        <v>70</v>
      </c>
      <c r="E34" s="6">
        <v>46</v>
      </c>
    </row>
    <row r="35" spans="2:5" ht="14.25" customHeight="1" x14ac:dyDescent="0.35">
      <c r="B35" s="6" t="s">
        <v>166</v>
      </c>
      <c r="C35" s="6">
        <v>2329</v>
      </c>
      <c r="D35" s="6">
        <v>3893</v>
      </c>
      <c r="E35" s="6">
        <v>-1019</v>
      </c>
    </row>
    <row r="36" spans="2:5" ht="14.25" customHeight="1" x14ac:dyDescent="0.35">
      <c r="B36" s="6" t="s">
        <v>167</v>
      </c>
      <c r="C36" s="6">
        <v>6055</v>
      </c>
      <c r="D36" s="6">
        <v>8384</v>
      </c>
      <c r="E36" s="6">
        <v>12277</v>
      </c>
    </row>
    <row r="37" spans="2:5" ht="14.25" customHeight="1" x14ac:dyDescent="0.35">
      <c r="B37" s="6" t="s">
        <v>168</v>
      </c>
      <c r="C37" s="6">
        <v>8384</v>
      </c>
      <c r="D37" s="6">
        <v>12277</v>
      </c>
      <c r="E37" s="6">
        <v>11258</v>
      </c>
    </row>
    <row r="38" spans="2:5" ht="14.25" customHeight="1" x14ac:dyDescent="0.35">
      <c r="B38" s="6" t="s">
        <v>169</v>
      </c>
    </row>
    <row r="39" spans="2:5" ht="14.25" customHeight="1" x14ac:dyDescent="0.35">
      <c r="B39" s="6" t="s">
        <v>170</v>
      </c>
      <c r="C39" s="6">
        <v>141</v>
      </c>
      <c r="D39" s="6">
        <v>124</v>
      </c>
      <c r="E39" s="6">
        <v>149</v>
      </c>
    </row>
    <row r="40" spans="2:5" ht="14.25" customHeight="1" x14ac:dyDescent="0.35">
      <c r="B40" s="6" t="s">
        <v>171</v>
      </c>
      <c r="C40" s="6">
        <v>1187</v>
      </c>
      <c r="D40" s="6">
        <v>1052</v>
      </c>
      <c r="E40" s="6">
        <v>1527</v>
      </c>
    </row>
    <row r="41" spans="2:5" ht="14.25" customHeight="1" x14ac:dyDescent="0.35">
      <c r="B41" s="6" t="s">
        <v>172</v>
      </c>
    </row>
    <row r="42" spans="2:5" ht="14.25" customHeight="1" x14ac:dyDescent="0.35">
      <c r="B42" s="6" t="s">
        <v>173</v>
      </c>
      <c r="C42" s="6">
        <v>286</v>
      </c>
      <c r="D42" s="6">
        <v>0</v>
      </c>
      <c r="E42" s="6">
        <v>0</v>
      </c>
    </row>
    <row r="43" spans="2:5" ht="14.25" customHeight="1" x14ac:dyDescent="0.35"/>
    <row r="44" spans="2:5" ht="14.25" customHeight="1" x14ac:dyDescent="0.35"/>
    <row r="45" spans="2:5" ht="14.25" customHeight="1" x14ac:dyDescent="0.35"/>
    <row r="46" spans="2:5" ht="14.25" customHeight="1" x14ac:dyDescent="0.35"/>
    <row r="47" spans="2:5" ht="14.25" customHeight="1" x14ac:dyDescent="0.35"/>
    <row r="48" spans="2:5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 Cash Flow</vt:lpstr>
      <vt:lpstr>Fixed Assets</vt:lpstr>
      <vt:lpstr>Net Working Capital</vt:lpstr>
      <vt:lpstr>DCF</vt:lpstr>
      <vt:lpstr>WACC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Meghna Kumari</cp:lastModifiedBy>
  <dcterms:created xsi:type="dcterms:W3CDTF">2022-06-25T16:24:49Z</dcterms:created>
  <dcterms:modified xsi:type="dcterms:W3CDTF">2024-08-30T18:56:00Z</dcterms:modified>
</cp:coreProperties>
</file>