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Code\MEGT\homeBudget\homeBudget\Data\"/>
    </mc:Choice>
  </mc:AlternateContent>
  <xr:revisionPtr revIDLastSave="0" documentId="13_ncr:1_{9047CA07-2E8B-4EAD-A78B-9509338B6CC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Year summary" sheetId="4" r:id="rId1"/>
    <sheet name="Monthly summary" sheetId="7" r:id="rId2"/>
    <sheet name="Expenses details" sheetId="5" r:id="rId3"/>
  </sheets>
  <definedNames>
    <definedName name="_xlcn.LinkedTable_Table41" hidden="1">Sample</definedName>
    <definedName name="asas">Year_budget[]</definedName>
    <definedName name="opsMin" localSheetId="1">MIN(tblOperatingExpenses7[DIFFERENCE (%)])</definedName>
    <definedName name="opsMin">MIN(tblOperatingExpenses[DIFFERENCE (%)])</definedName>
    <definedName name="_xlnm.Print_Titles" localSheetId="1">'Monthly summary'!$11:$11</definedName>
    <definedName name="_xlnm.Print_Titles" localSheetId="0">'Year summary'!$12:$12</definedName>
    <definedName name="prsMin" localSheetId="1">MIN(#REF!)</definedName>
    <definedName name="prsMin">MIN(#REF!)</definedName>
    <definedName name="rownum">#REF!</definedName>
    <definedName name="YearBudjet">Year_budget[]</definedName>
    <definedName name="YearExpens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Sample" connection="LinkedTable_Table4"/>
          <x15:modelTable id="Calendar" name="Calendar" connection="Connection"/>
        </x15:modelTables>
        <x15:modelRelationships>
          <x15:modelRelationship fromTable="Sample" fromColumn="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mpl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5" l="1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I6" i="5"/>
  <c r="J6" i="5"/>
  <c r="H10" i="5"/>
  <c r="H9" i="5"/>
  <c r="F16" i="5"/>
  <c r="H16" i="5" s="1"/>
  <c r="F15" i="5"/>
  <c r="H15" i="5" s="1"/>
  <c r="F14" i="5"/>
  <c r="H14" i="5" s="1"/>
  <c r="F13" i="5"/>
  <c r="H13" i="5" s="1"/>
  <c r="F12" i="5"/>
  <c r="H12" i="5" s="1"/>
  <c r="F10" i="5"/>
  <c r="F9" i="5"/>
  <c r="F7" i="5"/>
  <c r="H7" i="5" s="1"/>
  <c r="F6" i="5"/>
  <c r="H6" i="5" s="1"/>
  <c r="D11" i="5"/>
  <c r="F11" i="5" s="1"/>
  <c r="H11" i="5" s="1"/>
  <c r="D8" i="5"/>
  <c r="F8" i="5" s="1"/>
  <c r="H8" i="5" s="1"/>
  <c r="F14" i="4" l="1"/>
  <c r="F15" i="4"/>
  <c r="F16" i="4"/>
  <c r="F17" i="4"/>
  <c r="F18" i="4"/>
  <c r="F19" i="4"/>
  <c r="F20" i="4"/>
  <c r="F21" i="4"/>
  <c r="F22" i="4"/>
  <c r="F23" i="4"/>
  <c r="F24" i="4"/>
  <c r="F13" i="4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12" i="7"/>
  <c r="G35" i="7" l="1"/>
  <c r="G34" i="7"/>
  <c r="G31" i="7"/>
  <c r="G30" i="7"/>
  <c r="B34" i="7"/>
  <c r="B35" i="7"/>
  <c r="B28" i="7"/>
  <c r="B29" i="7"/>
  <c r="B30" i="7"/>
  <c r="B31" i="7"/>
  <c r="G28" i="7"/>
  <c r="G29" i="7" l="1"/>
  <c r="O24" i="4"/>
  <c r="O23" i="4"/>
  <c r="O22" i="4"/>
  <c r="O21" i="4"/>
  <c r="O20" i="4"/>
  <c r="O19" i="4"/>
  <c r="O18" i="4"/>
  <c r="O17" i="4"/>
  <c r="O16" i="4"/>
  <c r="O15" i="4"/>
  <c r="O14" i="4"/>
  <c r="O13" i="4"/>
  <c r="D23" i="5" l="1"/>
  <c r="I31" i="5" l="1"/>
  <c r="G36" i="7" l="1"/>
  <c r="B36" i="7"/>
  <c r="F3" i="5" l="1"/>
  <c r="D34" i="5" l="1"/>
  <c r="C34" i="5" s="1"/>
  <c r="D33" i="5"/>
  <c r="C33" i="5" s="1"/>
  <c r="D32" i="5"/>
  <c r="C32" i="5" s="1"/>
  <c r="D31" i="5"/>
  <c r="C31" i="5" s="1"/>
  <c r="D30" i="5"/>
  <c r="C30" i="5" s="1"/>
  <c r="D29" i="5"/>
  <c r="C29" i="5" s="1"/>
  <c r="D28" i="5"/>
  <c r="C28" i="5" s="1"/>
  <c r="D27" i="5"/>
  <c r="D26" i="5"/>
  <c r="C26" i="5" s="1"/>
  <c r="D25" i="5"/>
  <c r="C25" i="5" s="1"/>
  <c r="D24" i="5"/>
  <c r="C24" i="5" s="1"/>
  <c r="P24" i="4"/>
  <c r="Q24" i="4" s="1"/>
  <c r="L24" i="4"/>
  <c r="P23" i="4"/>
  <c r="Q23" i="4" s="1"/>
  <c r="L23" i="4"/>
  <c r="P22" i="4"/>
  <c r="Q22" i="4" s="1"/>
  <c r="L22" i="4"/>
  <c r="P21" i="4"/>
  <c r="Q21" i="4" s="1"/>
  <c r="L21" i="4"/>
  <c r="P20" i="4"/>
  <c r="Q20" i="4" s="1"/>
  <c r="L20" i="4"/>
  <c r="P19" i="4"/>
  <c r="Q19" i="4" s="1"/>
  <c r="L19" i="4"/>
  <c r="P18" i="4"/>
  <c r="Q18" i="4" s="1"/>
  <c r="L18" i="4"/>
  <c r="C27" i="5" l="1"/>
  <c r="N17" i="4" s="1"/>
  <c r="N15" i="4"/>
  <c r="N16" i="4"/>
  <c r="N14" i="4"/>
  <c r="P35" i="5"/>
  <c r="O35" i="5"/>
  <c r="P17" i="4" l="1"/>
  <c r="Q17" i="4" s="1"/>
  <c r="L17" i="4"/>
  <c r="L35" i="5"/>
  <c r="I3" i="5" l="1"/>
  <c r="H3" i="5"/>
  <c r="X35" i="5"/>
  <c r="W35" i="5"/>
  <c r="V35" i="5"/>
  <c r="U35" i="5"/>
  <c r="T35" i="5"/>
  <c r="S35" i="5"/>
  <c r="R35" i="5"/>
  <c r="Q35" i="5"/>
  <c r="N35" i="5"/>
  <c r="M35" i="5"/>
  <c r="K35" i="5"/>
  <c r="J35" i="5"/>
  <c r="I35" i="5"/>
  <c r="H35" i="5"/>
  <c r="G35" i="5"/>
  <c r="F35" i="5"/>
  <c r="E35" i="5"/>
  <c r="L16" i="4" l="1"/>
  <c r="P16" i="4"/>
  <c r="Q16" i="4" s="1"/>
  <c r="P14" i="4" l="1"/>
  <c r="B32" i="7"/>
  <c r="B33" i="7"/>
  <c r="G33" i="7"/>
  <c r="G32" i="7"/>
  <c r="L14" i="4" l="1"/>
  <c r="Q14" i="4"/>
  <c r="O25" i="4"/>
  <c r="L15" i="4"/>
  <c r="P15" i="4"/>
  <c r="Q15" i="4" s="1"/>
  <c r="E25" i="4" l="1"/>
  <c r="C3" i="5"/>
  <c r="B24" i="4"/>
  <c r="B21" i="4"/>
  <c r="B24" i="7" l="1"/>
  <c r="G3" i="5"/>
  <c r="B23" i="4"/>
  <c r="B26" i="7"/>
  <c r="B22" i="4"/>
  <c r="B19" i="4"/>
  <c r="B18" i="4"/>
  <c r="B20" i="4"/>
  <c r="E38" i="7" l="1"/>
  <c r="D38" i="7"/>
  <c r="G37" i="7" l="1"/>
  <c r="B37" i="7"/>
  <c r="G25" i="7"/>
  <c r="B25" i="7"/>
  <c r="G27" i="7"/>
  <c r="B27" i="7"/>
  <c r="G26" i="7"/>
  <c r="G24" i="7"/>
  <c r="G23" i="7"/>
  <c r="B23" i="7"/>
  <c r="G19" i="7"/>
  <c r="B19" i="7"/>
  <c r="G22" i="7"/>
  <c r="B22" i="7"/>
  <c r="G21" i="7"/>
  <c r="B21" i="7"/>
  <c r="G20" i="7"/>
  <c r="B20" i="7"/>
  <c r="G17" i="7"/>
  <c r="B17" i="7"/>
  <c r="G16" i="7"/>
  <c r="B16" i="7"/>
  <c r="G18" i="7"/>
  <c r="B18" i="7"/>
  <c r="G15" i="7"/>
  <c r="B15" i="7"/>
  <c r="G14" i="7"/>
  <c r="B14" i="7"/>
  <c r="G13" i="7"/>
  <c r="B13" i="7"/>
  <c r="G12" i="7"/>
  <c r="B12" i="7"/>
  <c r="F38" i="7" l="1"/>
  <c r="G38" i="7" s="1"/>
  <c r="G24" i="4" l="1"/>
  <c r="G23" i="4"/>
  <c r="G22" i="4"/>
  <c r="G21" i="4"/>
  <c r="G20" i="4"/>
  <c r="G19" i="4"/>
  <c r="G18" i="4"/>
  <c r="G17" i="4"/>
  <c r="B17" i="4"/>
  <c r="G16" i="4"/>
  <c r="B16" i="4"/>
  <c r="G15" i="4"/>
  <c r="B15" i="4"/>
  <c r="G14" i="4"/>
  <c r="B14" i="4"/>
  <c r="D25" i="4"/>
  <c r="C23" i="5"/>
  <c r="G13" i="4" l="1"/>
  <c r="G25" i="4" s="1"/>
  <c r="N13" i="4"/>
  <c r="N25" i="4" s="1"/>
  <c r="B13" i="4"/>
  <c r="F25" i="4" l="1"/>
  <c r="P13" i="4"/>
  <c r="L13" i="4"/>
  <c r="P25" i="4" l="1"/>
  <c r="Q13" i="4"/>
  <c r="Q2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LinkedTable_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LinkedTable_Table41"/>
        </x15:connection>
      </ext>
    </extLst>
  </connection>
  <connection id="3" xr16:uid="{00000000-0015-0000-FFFF-FFFF02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<sst xmlns="http://schemas.openxmlformats.org/spreadsheetml/2006/main" count="106" uniqueCount="62">
  <si>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</si>
  <si>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</si>
  <si>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</si>
  <si>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</si>
  <si>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</si>
  <si>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</si>
  <si>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</si>
  <si>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</si>
  <si>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</si>
  <si>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Expense Budget</t>
  </si>
  <si>
    <t>CONTOSO, 2013</t>
  </si>
  <si>
    <t>STATUS</t>
  </si>
  <si>
    <t>BUDGET</t>
  </si>
  <si>
    <t>ACTUAL</t>
  </si>
  <si>
    <t>DIFFERENCE ($)</t>
  </si>
  <si>
    <t>DIFFERENCE (%)</t>
  </si>
  <si>
    <t xml:space="preserve"> OPERATING BUDGET</t>
  </si>
  <si>
    <t>OPERATING</t>
  </si>
  <si>
    <t>Total Expenses</t>
  </si>
  <si>
    <t>Matias</t>
  </si>
  <si>
    <t>Mat</t>
  </si>
  <si>
    <t>Resturang</t>
  </si>
  <si>
    <t>Total</t>
  </si>
  <si>
    <t>Incam</t>
  </si>
  <si>
    <t>Åse</t>
  </si>
  <si>
    <t>Agu</t>
  </si>
  <si>
    <t>Nob</t>
  </si>
  <si>
    <t>Dic</t>
  </si>
  <si>
    <t>Familly</t>
  </si>
  <si>
    <t>Huset</t>
  </si>
  <si>
    <t>Bil</t>
  </si>
  <si>
    <t>Klær</t>
  </si>
  <si>
    <t>Kommune</t>
  </si>
  <si>
    <t>Strom</t>
  </si>
  <si>
    <t>Altibox</t>
  </si>
  <si>
    <t>Month</t>
  </si>
  <si>
    <t>App/Media</t>
  </si>
  <si>
    <t>leilighet</t>
  </si>
  <si>
    <t>leilighet-Strom</t>
  </si>
  <si>
    <t>Diesel</t>
  </si>
  <si>
    <t>Fritid</t>
  </si>
  <si>
    <t>Hus_lån</t>
  </si>
  <si>
    <t>Skole</t>
  </si>
  <si>
    <t>Vinmonopolet</t>
  </si>
  <si>
    <t>Barna</t>
  </si>
  <si>
    <t>Save</t>
  </si>
  <si>
    <t>Sub Total</t>
  </si>
  <si>
    <t>Uventet</t>
  </si>
  <si>
    <t>Column2</t>
  </si>
  <si>
    <t>Column3</t>
  </si>
  <si>
    <t>Column4</t>
  </si>
  <si>
    <t>Column5</t>
  </si>
  <si>
    <t>Save_Chicos</t>
  </si>
  <si>
    <t>Justering</t>
  </si>
  <si>
    <t>Hus Forsikring</t>
  </si>
  <si>
    <t>Nala Forsiktig</t>
  </si>
  <si>
    <t>bil Forsiktig2</t>
  </si>
  <si>
    <t>bil Forsiktig 1</t>
  </si>
  <si>
    <t>781,56</t>
  </si>
  <si>
    <t>Aarsavgift Bil2</t>
  </si>
  <si>
    <t>Aarsavgift Bil 2</t>
  </si>
  <si>
    <t>total Åse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</si>
</sst>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_(\$* #,##0.00_);_(\$* \(#,##0.00\);_(\$* &quot;-&quot;??_);_(@_)"/>
    <numFmt numFmtId="165" formatCode="&quot;$&quot;#,##0.00"/>
    <numFmt numFmtId="166" formatCode="mmmm"/>
  </numFmts>
  <fonts count="22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28"/>
      <color theme="1"/>
      <name val="Segoe UI Light"/>
      <family val="2"/>
      <scheme val="major"/>
    </font>
    <font>
      <sz val="28"/>
      <color theme="3"/>
      <name val="Segoe UI Light"/>
      <family val="2"/>
      <scheme val="major"/>
    </font>
    <font>
      <sz val="8"/>
      <name val="Segoe UI"/>
      <family val="2"/>
      <scheme val="minor"/>
    </font>
    <font>
      <sz val="12"/>
      <color theme="1" tint="0.249977111117893"/>
      <name val="Segoe UI"/>
      <family val="2"/>
      <scheme val="minor"/>
    </font>
    <font>
      <sz val="10"/>
      <color theme="1"/>
      <name val="Segoe UI Light"/>
      <family val="2"/>
      <scheme val="major"/>
    </font>
    <font>
      <sz val="10"/>
      <color theme="1"/>
      <name val="Segoe UI"/>
      <family val="2"/>
      <scheme val="minor"/>
    </font>
    <font>
      <sz val="14"/>
      <color theme="1" tint="0.249977111117893"/>
      <name val="Segoe UI"/>
      <family val="2"/>
      <scheme val="minor"/>
    </font>
    <font>
      <sz val="11"/>
      <color theme="1"/>
      <name val="Segoe UI Light"/>
      <family val="1"/>
      <scheme val="major"/>
    </font>
    <font>
      <sz val="9"/>
      <color theme="3"/>
      <name val="Segoe UI Light"/>
      <family val="1"/>
      <scheme val="major"/>
    </font>
    <font>
      <sz val="11"/>
      <color theme="1"/>
      <name val="Segoe UI Light"/>
      <family val="2"/>
      <scheme val="major"/>
    </font>
    <font>
      <sz val="11"/>
      <color theme="1"/>
      <name val="Segoe UI Light"/>
      <family val="2"/>
      <scheme val="major"/>
    </font>
    <font>
      <sz val="11"/>
      <color theme="1"/>
      <name val="Segoe UI Light"/>
      <family val="2"/>
      <scheme val="major"/>
    </font>
    <font>
      <sz val="11"/>
      <color theme="1"/>
      <name val="Segoe UI"/>
      <family val="2"/>
      <scheme val="minor"/>
    </font>
    <font>
      <sz val="9"/>
      <color theme="3"/>
      <name val="Segoe UI Light"/>
      <family val="1"/>
      <scheme val="major"/>
    </font>
    <font>
      <b/>
      <sz val="11"/>
      <color theme="1"/>
      <name val="Segoe UI"/>
      <family val="2"/>
      <scheme val="minor"/>
    </font>
    <font>
      <sz val="10"/>
      <color indexed="64"/>
      <name val="Verdana"/>
      <family val="2"/>
    </font>
    <font>
      <b/>
      <sz val="11"/>
      <name val="Segoe UI"/>
      <family val="2"/>
      <scheme val="minor"/>
    </font>
    <font>
      <sz val="9"/>
      <name val="Segoe UI Light"/>
      <family val="1"/>
      <scheme val="major"/>
    </font>
    <font>
      <sz val="11"/>
      <color indexed="8"/>
      <name val="Segoe U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>
      <alignment horizontal="left"/>
    </xf>
    <xf numFmtId="0" fontId="5" fillId="0" borderId="0">
      <alignment horizontal="left" vertical="center"/>
    </xf>
    <xf numFmtId="44" fontId="1" fillId="0" borderId="0" applyFont="0" applyFill="0" applyBorder="0" applyAlignment="0" applyProtection="0"/>
    <xf numFmtId="0" fontId="21" fillId="0" borderId="0"/>
  </cellStyleXfs>
  <cellXfs count="90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/>
    <xf numFmtId="165" fontId="10" fillId="0" borderId="0" xfId="4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9" fontId="10" fillId="0" borderId="0" xfId="1" applyFont="1" applyAlignment="1">
      <alignment horizontal="right" vertical="center" indent="1"/>
    </xf>
    <xf numFmtId="0" fontId="10" fillId="0" borderId="0" xfId="0" applyFont="1" applyAlignment="1">
      <alignment vertical="center"/>
    </xf>
    <xf numFmtId="4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0" fillId="0" borderId="6" xfId="0" applyBorder="1" applyAlignment="1">
      <alignment vertical="center"/>
    </xf>
    <xf numFmtId="0" fontId="9" fillId="0" borderId="2" xfId="0" applyFont="1" applyBorder="1"/>
    <xf numFmtId="165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right" vertical="center" indent="1"/>
    </xf>
    <xf numFmtId="0" fontId="12" fillId="0" borderId="0" xfId="0" applyFont="1"/>
    <xf numFmtId="0" fontId="6" fillId="0" borderId="0" xfId="3" applyFont="1" applyAlignment="1">
      <alignment horizontal="right"/>
    </xf>
    <xf numFmtId="164" fontId="13" fillId="0" borderId="0" xfId="0" applyNumberFormat="1" applyFont="1" applyAlignment="1">
      <alignment horizontal="center" vertical="center"/>
    </xf>
    <xf numFmtId="9" fontId="13" fillId="0" borderId="0" xfId="1" applyNumberFormat="1" applyFont="1" applyAlignment="1">
      <alignment horizontal="right" vertical="center" indent="1"/>
    </xf>
    <xf numFmtId="4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0" fontId="10" fillId="0" borderId="22" xfId="0" applyFont="1" applyBorder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9" fontId="14" fillId="0" borderId="0" xfId="1" applyNumberFormat="1" applyFont="1" applyAlignment="1">
      <alignment horizontal="right" vertical="center" indent="1"/>
    </xf>
    <xf numFmtId="17" fontId="15" fillId="0" borderId="0" xfId="0" applyNumberFormat="1" applyFont="1"/>
    <xf numFmtId="4" fontId="15" fillId="0" borderId="0" xfId="0" applyNumberFormat="1" applyFont="1"/>
    <xf numFmtId="165" fontId="16" fillId="0" borderId="0" xfId="4" applyNumberFormat="1" applyFont="1" applyAlignment="1">
      <alignment horizontal="right" vertical="center"/>
    </xf>
    <xf numFmtId="0" fontId="15" fillId="0" borderId="0" xfId="0" applyFont="1"/>
    <xf numFmtId="165" fontId="15" fillId="0" borderId="0" xfId="0" applyNumberFormat="1" applyFont="1"/>
    <xf numFmtId="0" fontId="15" fillId="0" borderId="10" xfId="0" applyFont="1" applyBorder="1" applyAlignment="1">
      <alignment horizontal="center"/>
    </xf>
    <xf numFmtId="4" fontId="15" fillId="0" borderId="0" xfId="0" quotePrefix="1" applyNumberFormat="1" applyFont="1" applyAlignment="1">
      <alignment wrapText="1"/>
    </xf>
    <xf numFmtId="0" fontId="17" fillId="0" borderId="20" xfId="0" applyFont="1" applyBorder="1"/>
    <xf numFmtId="0" fontId="17" fillId="0" borderId="21" xfId="0" applyFont="1" applyBorder="1"/>
    <xf numFmtId="0" fontId="17" fillId="0" borderId="0" xfId="0" applyFont="1"/>
    <xf numFmtId="0" fontId="17" fillId="0" borderId="0" xfId="0" applyFont="1" applyAlignment="1">
      <alignment horizontal="left"/>
    </xf>
    <xf numFmtId="4" fontId="18" fillId="0" borderId="9" xfId="0" applyNumberFormat="1" applyFont="1" applyBorder="1" applyAlignment="1">
      <alignment horizontal="right"/>
    </xf>
    <xf numFmtId="4" fontId="18" fillId="0" borderId="8" xfId="0" applyNumberFormat="1" applyFont="1" applyBorder="1" applyAlignment="1">
      <alignment horizontal="right"/>
    </xf>
    <xf numFmtId="4" fontId="18" fillId="0" borderId="10" xfId="0" applyNumberFormat="1" applyFont="1" applyBorder="1" applyAlignment="1">
      <alignment horizontal="right"/>
    </xf>
    <xf numFmtId="4" fontId="18" fillId="0" borderId="12" xfId="0" applyNumberFormat="1" applyFont="1" applyBorder="1" applyAlignment="1">
      <alignment horizontal="right"/>
    </xf>
    <xf numFmtId="4" fontId="18" fillId="0" borderId="14" xfId="0" applyNumberFormat="1" applyFont="1" applyBorder="1" applyAlignment="1">
      <alignment horizontal="right"/>
    </xf>
    <xf numFmtId="4" fontId="18" fillId="0" borderId="15" xfId="0" applyNumberFormat="1" applyFont="1" applyBorder="1" applyAlignment="1">
      <alignment horizontal="right"/>
    </xf>
    <xf numFmtId="0" fontId="17" fillId="0" borderId="23" xfId="0" applyFont="1" applyBorder="1" applyAlignment="1">
      <alignment horizontal="left"/>
    </xf>
    <xf numFmtId="0" fontId="19" fillId="3" borderId="23" xfId="0" applyFont="1" applyFill="1" applyBorder="1" applyAlignment="1">
      <alignment horizontal="left"/>
    </xf>
    <xf numFmtId="165" fontId="17" fillId="0" borderId="18" xfId="0" applyNumberFormat="1" applyFont="1" applyBorder="1"/>
    <xf numFmtId="165" fontId="16" fillId="0" borderId="16" xfId="4" applyNumberFormat="1" applyFont="1" applyBorder="1" applyAlignment="1">
      <alignment horizontal="right" vertical="center"/>
    </xf>
    <xf numFmtId="165" fontId="16" fillId="0" borderId="17" xfId="4" applyNumberFormat="1" applyFont="1" applyBorder="1" applyAlignment="1">
      <alignment horizontal="right" vertical="center"/>
    </xf>
    <xf numFmtId="165" fontId="20" fillId="3" borderId="17" xfId="4" applyNumberFormat="1" applyFont="1" applyFill="1" applyBorder="1" applyAlignment="1">
      <alignment horizontal="right" vertical="center"/>
    </xf>
    <xf numFmtId="165" fontId="16" fillId="0" borderId="9" xfId="4" applyNumberFormat="1" applyFont="1" applyBorder="1" applyAlignment="1">
      <alignment horizontal="right" vertical="center"/>
    </xf>
    <xf numFmtId="165" fontId="16" fillId="0" borderId="10" xfId="4" applyNumberFormat="1" applyFont="1" applyBorder="1" applyAlignment="1">
      <alignment horizontal="right" vertical="center"/>
    </xf>
    <xf numFmtId="165" fontId="16" fillId="0" borderId="11" xfId="4" applyNumberFormat="1" applyFont="1" applyBorder="1" applyAlignment="1">
      <alignment horizontal="right" vertical="center"/>
    </xf>
    <xf numFmtId="165" fontId="16" fillId="0" borderId="8" xfId="4" applyNumberFormat="1" applyFont="1" applyBorder="1" applyAlignment="1">
      <alignment horizontal="right" vertical="center"/>
    </xf>
    <xf numFmtId="165" fontId="20" fillId="3" borderId="8" xfId="4" applyNumberFormat="1" applyFont="1" applyFill="1" applyBorder="1" applyAlignment="1">
      <alignment horizontal="right" vertical="center"/>
    </xf>
    <xf numFmtId="165" fontId="16" fillId="0" borderId="12" xfId="4" applyNumberFormat="1" applyFont="1" applyBorder="1" applyAlignment="1">
      <alignment horizontal="right" vertical="center"/>
    </xf>
    <xf numFmtId="165" fontId="17" fillId="0" borderId="24" xfId="0" applyNumberFormat="1" applyFont="1" applyBorder="1"/>
    <xf numFmtId="165" fontId="16" fillId="0" borderId="19" xfId="4" applyNumberFormat="1" applyFont="1" applyBorder="1" applyAlignment="1">
      <alignment horizontal="right" vertical="center"/>
    </xf>
    <xf numFmtId="165" fontId="16" fillId="0" borderId="20" xfId="4" applyNumberFormat="1" applyFont="1" applyBorder="1" applyAlignment="1">
      <alignment horizontal="right" vertical="center"/>
    </xf>
    <xf numFmtId="165" fontId="20" fillId="3" borderId="20" xfId="4" applyNumberFormat="1" applyFont="1" applyFill="1" applyBorder="1" applyAlignment="1">
      <alignment horizontal="right" vertical="center"/>
    </xf>
    <xf numFmtId="165" fontId="16" fillId="0" borderId="21" xfId="4" applyNumberFormat="1" applyFont="1" applyBorder="1" applyAlignment="1">
      <alignment horizontal="right" vertical="center"/>
    </xf>
    <xf numFmtId="165" fontId="15" fillId="2" borderId="0" xfId="0" applyNumberFormat="1" applyFont="1" applyFill="1"/>
    <xf numFmtId="0" fontId="15" fillId="0" borderId="26" xfId="0" applyFont="1" applyBorder="1" applyAlignment="1">
      <alignment horizontal="center"/>
    </xf>
    <xf numFmtId="0" fontId="17" fillId="0" borderId="25" xfId="0" applyFont="1" applyBorder="1"/>
    <xf numFmtId="4" fontId="18" fillId="0" borderId="17" xfId="0" applyNumberFormat="1" applyFont="1" applyBorder="1" applyAlignment="1">
      <alignment horizontal="right"/>
    </xf>
    <xf numFmtId="0" fontId="15" fillId="0" borderId="27" xfId="0" applyFont="1" applyBorder="1" applyAlignment="1">
      <alignment horizontal="center"/>
    </xf>
    <xf numFmtId="0" fontId="17" fillId="0" borderId="13" xfId="0" applyFont="1" applyBorder="1"/>
    <xf numFmtId="166" fontId="6" fillId="0" borderId="0" xfId="3" applyNumberFormat="1" applyFont="1" applyAlignment="1">
      <alignment horizontal="right"/>
    </xf>
    <xf numFmtId="166" fontId="17" fillId="0" borderId="0" xfId="0" applyNumberFormat="1" applyFont="1"/>
    <xf numFmtId="0" fontId="4" fillId="0" borderId="0" xfId="2" applyFont="1">
      <alignment horizontal="left"/>
    </xf>
    <xf numFmtId="0" fontId="6" fillId="0" borderId="0" xfId="3" applyFont="1" applyAlignment="1">
      <alignment horizontal="right"/>
    </xf>
    <xf numFmtId="0" fontId="0" fillId="0" borderId="0" xfId="0" applyAlignment="1">
      <alignment horizontal="center"/>
    </xf>
    <xf numFmtId="0" fontId="2" fillId="0" borderId="23" xfId="0" applyFont="1" applyBorder="1" applyAlignment="1">
      <alignment horizontal="left"/>
    </xf>
    <xf numFmtId="165" fontId="11" fillId="0" borderId="17" xfId="4" applyNumberFormat="1" applyFont="1" applyBorder="1" applyAlignment="1">
      <alignment horizontal="right" vertical="center"/>
    </xf>
    <xf numFmtId="4" fontId="11" fillId="0" borderId="17" xfId="4" applyNumberFormat="1" applyFont="1" applyBorder="1" applyAlignment="1">
      <alignment horizontal="right" vertical="center"/>
    </xf>
    <xf numFmtId="4" fontId="16" fillId="0" borderId="9" xfId="4" applyNumberFormat="1" applyFont="1" applyBorder="1" applyAlignment="1">
      <alignment horizontal="right" vertical="center"/>
    </xf>
    <xf numFmtId="9" fontId="15" fillId="0" borderId="0" xfId="0" applyNumberFormat="1" applyFont="1"/>
    <xf numFmtId="0" fontId="2" fillId="0" borderId="25" xfId="0" applyFont="1" applyBorder="1"/>
    <xf numFmtId="0" fontId="2" fillId="0" borderId="20" xfId="0" applyFont="1" applyBorder="1"/>
    <xf numFmtId="9" fontId="15" fillId="0" borderId="8" xfId="1" applyFont="1" applyBorder="1"/>
    <xf numFmtId="9" fontId="18" fillId="0" borderId="8" xfId="1" applyFont="1" applyBorder="1" applyAlignment="1">
      <alignment horizontal="right"/>
    </xf>
  </cellXfs>
  <cellStyles count="6">
    <cellStyle name="Company Name" xfId="3" xr:uid="{00000000-0005-0000-0000-000000000000}"/>
    <cellStyle name="Currency 2" xfId="4" xr:uid="{00000000-0005-0000-0000-000001000000}"/>
    <cellStyle name="Normal" xfId="0" builtinId="0"/>
    <cellStyle name="Normal 3" xfId="5" xr:uid="{7596A2D5-DBC9-490D-A17C-F6CE51A3D927}"/>
    <cellStyle name="Percent" xfId="1" builtinId="5"/>
    <cellStyle name="Title 2" xfId="2" xr:uid="{00000000-0005-0000-0000-000004000000}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4" formatCode="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4" formatCode="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 Light"/>
        <family val="1"/>
        <scheme val="major"/>
      </font>
      <numFmt numFmtId="165" formatCode="&quot;$&quot;#,##0.0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 Light"/>
        <family val="1"/>
        <scheme val="major"/>
      </font>
      <numFmt numFmtId="165" formatCode="&quot;$&quot;#,##0.0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 Light"/>
        <family val="1"/>
        <scheme val="major"/>
      </font>
      <numFmt numFmtId="165" formatCode="&quot;$&quot;#,##0.0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numFmt numFmtId="165" formatCode="&quot;$&quot;#,##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numFmt numFmtId="165" formatCode="&quot;$&quot;#,##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Segoe UI Light"/>
        <family val="1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7" formatCode="0\ %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maj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4" formatCode="_(\$* #,##0.00_);_(\$* \(#,##0.00\);_(\$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major"/>
      </font>
    </dxf>
    <dxf>
      <font>
        <strike val="0"/>
        <outline val="0"/>
        <shadow val="0"/>
        <u val="none"/>
        <vertAlign val="baseline"/>
        <sz val="11"/>
        <color rgb="FF000000"/>
      </font>
    </dxf>
    <dxf>
      <font>
        <strike val="0"/>
        <outline val="0"/>
        <shadow val="0"/>
        <u val="none"/>
        <vertAlign val="baseline"/>
        <sz val="11"/>
        <color rgb="FF000000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7" formatCode="0\ %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7" formatCode="0\ %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4" formatCode="_(\$* #,##0.00_);_(\$* \(#,##0.00\);_(\$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4" formatCode="_(\$* #,##0.00_);_(\$* \(#,##0.00\);_(\$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7" formatCode="0\ %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maj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maj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1"/>
        <scheme val="major"/>
      </font>
      <numFmt numFmtId="164" formatCode="_(\$* #,##0.00_);_(\$* \(#,##0.00\);_(\$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"/>
        <scheme val="minor"/>
      </font>
    </dxf>
    <dxf>
      <fill>
        <patternFill patternType="solid">
          <fgColor rgb="FFEAF5E0"/>
          <bgColor rgb="FFEAF5E0"/>
        </patternFill>
      </fill>
    </dxf>
    <dxf>
      <fill>
        <patternFill patternType="solid">
          <fgColor rgb="FFEAF5E0"/>
          <bgColor rgb="FFEAF5E0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9ACF6D"/>
        </top>
      </border>
    </dxf>
    <dxf>
      <font>
        <b/>
        <color rgb="FF000000"/>
      </font>
      <border>
        <bottom style="medium">
          <color rgb="FF9ACF6D"/>
        </bottom>
      </border>
    </dxf>
    <dxf>
      <font>
        <color rgb="FF000000"/>
      </font>
      <border>
        <left style="thin">
          <color rgb="FF9ACF6D"/>
        </left>
        <right style="thin">
          <color rgb="FF9ACF6D"/>
        </right>
        <top style="thin">
          <color rgb="FF9ACF6D"/>
        </top>
        <bottom style="thin">
          <color rgb="FF9ACF6D"/>
        </bottom>
        <vertical style="thin">
          <color rgb="FF9ACF6D"/>
        </vertical>
        <horizontal style="thin">
          <color rgb="FF9ACF6D"/>
        </horizontal>
      </border>
    </dxf>
    <dxf>
      <fill>
        <patternFill>
          <bgColor rgb="FFF8F8F8"/>
        </patternFill>
      </fill>
    </dxf>
    <dxf>
      <font>
        <b val="0"/>
        <i val="0"/>
        <color auto="1"/>
      </font>
      <fill>
        <patternFill>
          <bgColor rgb="FFFFFFFF"/>
        </patternFill>
      </fill>
      <border>
        <top style="thin">
          <color rgb="FF338F99"/>
        </top>
        <bottom style="thin">
          <color rgb="FF338F99"/>
        </bottom>
      </border>
    </dxf>
    <dxf>
      <border>
        <right style="thin">
          <color rgb="FF338F99"/>
        </right>
        <top style="thin">
          <color rgb="FF338F99"/>
        </top>
        <bottom style="thin">
          <color rgb="FF338F99"/>
        </bottom>
        <vertical style="thin">
          <color rgb="FF338F99"/>
        </vertical>
        <horizontal style="thin">
          <color rgb="FF338F99"/>
        </horizontal>
      </border>
    </dxf>
    <dxf>
      <font>
        <b val="0"/>
        <i val="0"/>
        <color rgb="FF338F99"/>
      </font>
      <fill>
        <patternFill>
          <bgColor rgb="FFF8F8F8"/>
        </patternFill>
      </fill>
      <border>
        <top style="thin">
          <color rgb="FF338F99"/>
        </top>
        <bottom style="thin">
          <color rgb="FF338F99"/>
        </bottom>
        <vertical/>
        <horizontal/>
      </border>
    </dxf>
    <dxf>
      <border>
        <top style="thin">
          <color rgb="FF338F99"/>
        </top>
        <bottom style="thin">
          <color rgb="FF338F99"/>
        </bottom>
        <vertical style="thin">
          <color rgb="FF338F99"/>
        </vertical>
        <horizontal style="thin">
          <color rgb="FF338F99"/>
        </horizontal>
      </border>
    </dxf>
    <dxf>
      <border>
        <left/>
        <right/>
        <top/>
        <bottom/>
      </border>
    </dxf>
    <dxf>
      <font>
        <b/>
        <i val="0"/>
      </font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sz val="9"/>
        <color theme="3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 style="dotted">
          <color theme="0" tint="-0.34998626667073579"/>
        </horizontal>
      </border>
    </dxf>
  </dxfs>
  <tableStyles count="4" defaultTableStyle="TableStyleMedium2" defaultPivotStyle="PivotStyleLight16">
    <tableStyle name="Expense Budget" pivot="0" count="3" xr9:uid="{00000000-0011-0000-FFFF-FFFF00000000}">
      <tableStyleElement type="wholeTable" dxfId="92"/>
      <tableStyleElement type="headerRow" dxfId="91"/>
      <tableStyleElement type="totalRow" dxfId="90"/>
    </tableStyle>
    <tableStyle name="Slicer Style 1" pivot="0" table="0" count="5" xr9:uid="{00000000-0011-0000-FFFF-FFFF01000000}">
      <tableStyleElement type="wholeTable" dxfId="89"/>
    </tableStyle>
    <tableStyle name="Table Style 1" pivot="0" count="5" xr9:uid="{00000000-0011-0000-FFFF-FFFF02000000}">
      <tableStyleElement type="wholeTable" dxfId="88"/>
      <tableStyleElement type="headerRow" dxfId="87"/>
      <tableStyleElement type="firstColumn" dxfId="86"/>
      <tableStyleElement type="firstRowStripe" dxfId="85"/>
      <tableStyleElement type="secondRowStripe" dxfId="84"/>
    </tableStyle>
    <tableStyle name="TableStyleLight19 2" pivot="0" count="7" xr9:uid="{00000000-0011-0000-FFFF-FFFF03000000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</tableStyles>
  <colors>
    <mruColors>
      <color rgb="FFBBD7F0"/>
      <color rgb="FF3CA5DC"/>
      <color rgb="FF95C8EA"/>
      <color rgb="FFA1CDEC"/>
      <color rgb="FF88C3E8"/>
      <color rgb="FF7BBEE6"/>
      <color rgb="FF6FB9E4"/>
      <color rgb="FF62B4E2"/>
      <color rgb="FF55AFE0"/>
      <color rgb="FF49AADE"/>
    </mruColors>
  </colors>
  <extLst>
    <ext xmlns:x14="http://schemas.microsoft.com/office/spreadsheetml/2009/9/main" uri="{46F421CA-312F-682f-3DD2-61675219B42D}">
      <x14:dxfs count="4">
        <dxf>
          <font>
            <color theme="0"/>
          </font>
          <fill>
            <patternFill>
              <bgColor theme="6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6"/>
          </font>
          <fill>
            <patternFill>
              <bgColor rgb="FFF8F8F8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338F9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rgb="FF338F99"/>
          </font>
          <fill>
            <patternFill>
              <bgColor rgb="FFF8F8F8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summary'!$D$12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strRef>
              <c:f>'Year summary'!$C$13:$C$25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Oct</c:v>
                </c:pt>
                <c:pt idx="10">
                  <c:v>Nob</c:v>
                </c:pt>
                <c:pt idx="11">
                  <c:v>Dic</c:v>
                </c:pt>
              </c:strCache>
            </c:strRef>
          </c:cat>
          <c:val>
            <c:numRef>
              <c:f>'Year summary'!$D$13:$D$25</c:f>
              <c:numCache>
                <c:formatCode>"$"#,##0.00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F1A-41A2-8218-5DD6A2075E17}"/>
            </c:ext>
          </c:extLst>
        </c:ser>
        <c:ser>
          <c:idx val="1"/>
          <c:order val="1"/>
          <c:tx>
            <c:strRef>
              <c:f>'Year summary'!$E$12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'Year summary'!$C$13:$C$25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Oct</c:v>
                </c:pt>
                <c:pt idx="10">
                  <c:v>Nob</c:v>
                </c:pt>
                <c:pt idx="11">
                  <c:v>Dic</c:v>
                </c:pt>
              </c:strCache>
            </c:strRef>
          </c:cat>
          <c:val>
            <c:numRef>
              <c:f>'Year summary'!$E$13:$E$25</c:f>
              <c:numCache>
                <c:formatCode>"$"#,##0.00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F1A-41A2-8218-5DD6A207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665376"/>
        <c:axId val="636665768"/>
      </c:barChart>
      <c:catAx>
        <c:axId val="6366653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 rot="-2700000" vert="horz"/>
          <a:lstStyle/>
          <a:p>
            <a:pPr>
              <a:defRPr sz="6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nb-NO"/>
          </a:p>
        </c:txPr>
        <c:crossAx val="636665768"/>
        <c:crosses val="autoZero"/>
        <c:auto val="1"/>
        <c:lblAlgn val="ctr"/>
        <c:lblOffset val="100"/>
        <c:tickLblSkip val="1"/>
        <c:noMultiLvlLbl val="1"/>
      </c:catAx>
      <c:valAx>
        <c:axId val="636665768"/>
        <c:scaling>
          <c:orientation val="minMax"/>
        </c:scaling>
        <c:delete val="0"/>
        <c:axPos val="l"/>
        <c:numFmt formatCode="&quot;$&quot;#,##0_);\(&quot;$&quot;#,##0\)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/>
          <a:lstStyle/>
          <a:p>
            <a:pPr>
              <a:defRPr sz="7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nb-NO"/>
          </a:p>
        </c:txPr>
        <c:crossAx val="6366653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sz="7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nb-NO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summary'!$N$12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'Year summary'!$M$13:$M$24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Oct</c:v>
                </c:pt>
                <c:pt idx="10">
                  <c:v>Nob</c:v>
                </c:pt>
                <c:pt idx="11">
                  <c:v>Dic</c:v>
                </c:pt>
              </c:strCache>
            </c:strRef>
          </c:cat>
          <c:val>
            <c:numRef>
              <c:f>'Year summary'!$N$13:$N$24</c:f>
              <c:numCache>
                <c:formatCode>"$"#,##0.00</c:formatCode>
                <c:ptCount val="12"/>
                <c:pt idx="0">
                  <c:v>43670.997666666663</c:v>
                </c:pt>
                <c:pt idx="1">
                  <c:v>42165.287666666663</c:v>
                </c:pt>
                <c:pt idx="2">
                  <c:v>58178.377666666667</c:v>
                </c:pt>
                <c:pt idx="3">
                  <c:v>37665.287666666663</c:v>
                </c:pt>
                <c:pt idx="4">
                  <c:v>40825.417666666661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A-47B0-BB3D-BEFDB9AF473C}"/>
            </c:ext>
          </c:extLst>
        </c:ser>
        <c:ser>
          <c:idx val="1"/>
          <c:order val="1"/>
          <c:tx>
            <c:strRef>
              <c:f>'Year summary'!$O$12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'Year summary'!$M$13:$M$24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Oct</c:v>
                </c:pt>
                <c:pt idx="10">
                  <c:v>Nob</c:v>
                </c:pt>
                <c:pt idx="11">
                  <c:v>Dic</c:v>
                </c:pt>
              </c:strCache>
            </c:strRef>
          </c:cat>
          <c:val>
            <c:numRef>
              <c:f>'Year summary'!$O$13:$O$24</c:f>
              <c:numCache>
                <c:formatCode>"$"#,##0.00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A-47B0-BB3D-BEFDB9AF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600863"/>
        <c:axId val="1684785823"/>
      </c:barChart>
      <c:catAx>
        <c:axId val="16866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4785823"/>
        <c:crosses val="autoZero"/>
        <c:auto val="1"/>
        <c:lblAlgn val="ctr"/>
        <c:lblOffset val="100"/>
        <c:noMultiLvlLbl val="0"/>
      </c:catAx>
      <c:valAx>
        <c:axId val="1684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660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summary'!$D$11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numRef>
              <c:f>'Monthly summary'!$C$12:$C$38</c:f>
              <c:numCache>
                <c:formatCode>General</c:formatCode>
                <c:ptCount val="26"/>
              </c:numCache>
            </c:numRef>
          </c:cat>
          <c:val>
            <c:numRef>
              <c:f>'Monthly summary'!$D$12:$D$38</c:f>
              <c:numCache>
                <c:formatCode>"$"#,##0.00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E8E7-4232-A4AC-547E547EC00C}"/>
            </c:ext>
          </c:extLst>
        </c:ser>
        <c:ser>
          <c:idx val="1"/>
          <c:order val="1"/>
          <c:tx>
            <c:strRef>
              <c:f>'Monthly summary'!$E$11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'Monthly summary'!$C$12:$C$38</c:f>
              <c:numCache>
                <c:formatCode>General</c:formatCode>
                <c:ptCount val="26"/>
              </c:numCache>
            </c:numRef>
          </c:cat>
          <c:val>
            <c:numRef>
              <c:f>'Monthly summary'!$E$12:$E$38</c:f>
              <c:numCache>
                <c:formatCode>"$"#,##0.00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E8E7-4232-A4AC-547E547E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665376"/>
        <c:axId val="636665768"/>
      </c:barChart>
      <c:catAx>
        <c:axId val="6366653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 rot="-2700000" vert="horz"/>
          <a:lstStyle/>
          <a:p>
            <a:pPr>
              <a:defRPr sz="6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nb-NO"/>
          </a:p>
        </c:txPr>
        <c:crossAx val="636665768"/>
        <c:crosses val="autoZero"/>
        <c:auto val="1"/>
        <c:lblAlgn val="ctr"/>
        <c:lblOffset val="100"/>
        <c:tickLblSkip val="1"/>
        <c:noMultiLvlLbl val="0"/>
      </c:catAx>
      <c:valAx>
        <c:axId val="636665768"/>
        <c:scaling>
          <c:orientation val="minMax"/>
        </c:scaling>
        <c:delete val="0"/>
        <c:axPos val="l"/>
        <c:numFmt formatCode="&quot;$&quot;#,##0_);\(&quot;$&quot;#,##0\)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/>
          <a:lstStyle/>
          <a:p>
            <a:pPr>
              <a:defRPr sz="7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nb-NO"/>
          </a:p>
        </c:txPr>
        <c:crossAx val="6366653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sz="7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nb-NO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104775</xdr:rowOff>
    </xdr:from>
    <xdr:to>
      <xdr:col>7</xdr:col>
      <xdr:colOff>36195</xdr:colOff>
      <xdr:row>1</xdr:row>
      <xdr:rowOff>142875</xdr:rowOff>
    </xdr:to>
    <xdr:grpSp>
      <xdr:nvGrpSpPr>
        <xdr:cNvPr id="2" name="Title Border" descr="&quot;&quot;" title="Border">
          <a:extLst>
            <a:ext uri="{FF2B5EF4-FFF2-40B4-BE49-F238E27FC236}">
              <a16:creationId xmlns:a16="http://schemas.microsoft.com/office/drawing/2014/main" id="{DE4A16FF-E1A1-4DE4-9249-AEA60655FF6C}"/>
            </a:ext>
          </a:extLst>
        </xdr:cNvPr>
        <xdr:cNvGrpSpPr/>
      </xdr:nvGrpSpPr>
      <xdr:grpSpPr>
        <a:xfrm>
          <a:off x="171450" y="657225"/>
          <a:ext cx="6979920" cy="38100"/>
          <a:chOff x="247650" y="800100"/>
          <a:chExt cx="7751445" cy="3810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3C5DF3E7-9051-49F2-ACA9-F8C35E48233B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58F2D7D7-51B3-45B3-A60E-967B4209F89D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4</xdr:row>
      <xdr:rowOff>76201</xdr:rowOff>
    </xdr:from>
    <xdr:to>
      <xdr:col>7</xdr:col>
      <xdr:colOff>0</xdr:colOff>
      <xdr:row>9</xdr:row>
      <xdr:rowOff>236983</xdr:rowOff>
    </xdr:to>
    <xdr:graphicFrame macro="">
      <xdr:nvGraphicFramePr>
        <xdr:cNvPr id="6" name="Operating Budget Chart" descr="Column chart summary of Operating Expenses such as Advertising, Debts, Benefits, Supplies, Postage, etc." title="Operating Expenses">
          <a:extLst>
            <a:ext uri="{FF2B5EF4-FFF2-40B4-BE49-F238E27FC236}">
              <a16:creationId xmlns:a16="http://schemas.microsoft.com/office/drawing/2014/main" id="{E9D9B893-0796-4E1F-BB97-C98D2533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36195</xdr:colOff>
      <xdr:row>26</xdr:row>
      <xdr:rowOff>38100</xdr:rowOff>
    </xdr:to>
    <xdr:grpSp>
      <xdr:nvGrpSpPr>
        <xdr:cNvPr id="10" name="Operating Border" descr="&quot;&quot;" title="Border">
          <a:extLst>
            <a:ext uri="{FF2B5EF4-FFF2-40B4-BE49-F238E27FC236}">
              <a16:creationId xmlns:a16="http://schemas.microsoft.com/office/drawing/2014/main" id="{46281498-FB15-431B-9D98-9E407EA640DB}"/>
            </a:ext>
          </a:extLst>
        </xdr:cNvPr>
        <xdr:cNvGrpSpPr/>
      </xdr:nvGrpSpPr>
      <xdr:grpSpPr>
        <a:xfrm>
          <a:off x="171450" y="6686550"/>
          <a:ext cx="6979920" cy="38100"/>
          <a:chOff x="247650" y="800100"/>
          <a:chExt cx="7751445" cy="38100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35177442-BB05-4B4A-9CBC-B1A2926A6211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AE762F9-08A5-45DE-B68B-33807B06646D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0</xdr:colOff>
      <xdr:row>1</xdr:row>
      <xdr:rowOff>104775</xdr:rowOff>
    </xdr:from>
    <xdr:to>
      <xdr:col>17</xdr:col>
      <xdr:colOff>36195</xdr:colOff>
      <xdr:row>1</xdr:row>
      <xdr:rowOff>142875</xdr:rowOff>
    </xdr:to>
    <xdr:grpSp>
      <xdr:nvGrpSpPr>
        <xdr:cNvPr id="9" name="Title Border" descr="&quot;&quot;" title="Border">
          <a:extLst>
            <a:ext uri="{FF2B5EF4-FFF2-40B4-BE49-F238E27FC236}">
              <a16:creationId xmlns:a16="http://schemas.microsoft.com/office/drawing/2014/main" id="{20A617F0-09BF-419E-8572-9E21AA41C2C6}"/>
            </a:ext>
          </a:extLst>
        </xdr:cNvPr>
        <xdr:cNvGrpSpPr/>
      </xdr:nvGrpSpPr>
      <xdr:grpSpPr>
        <a:xfrm>
          <a:off x="9344025" y="657225"/>
          <a:ext cx="6979920" cy="38100"/>
          <a:chOff x="247650" y="800100"/>
          <a:chExt cx="7751445" cy="38100"/>
        </a:xfrm>
      </xdr:grpSpPr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E8F92845-E40B-42A9-A79B-B47F4893A8BD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5BCE937E-5516-4D96-B5B9-6BF73918977C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0</xdr:colOff>
      <xdr:row>26</xdr:row>
      <xdr:rowOff>0</xdr:rowOff>
    </xdr:from>
    <xdr:to>
      <xdr:col>17</xdr:col>
      <xdr:colOff>36195</xdr:colOff>
      <xdr:row>26</xdr:row>
      <xdr:rowOff>38100</xdr:rowOff>
    </xdr:to>
    <xdr:grpSp>
      <xdr:nvGrpSpPr>
        <xdr:cNvPr id="16" name="Operating Border" descr="&quot;&quot;" title="Border">
          <a:extLst>
            <a:ext uri="{FF2B5EF4-FFF2-40B4-BE49-F238E27FC236}">
              <a16:creationId xmlns:a16="http://schemas.microsoft.com/office/drawing/2014/main" id="{092F9E8F-8E80-45EF-AC7B-B359A597BAB6}"/>
            </a:ext>
          </a:extLst>
        </xdr:cNvPr>
        <xdr:cNvGrpSpPr/>
      </xdr:nvGrpSpPr>
      <xdr:grpSpPr>
        <a:xfrm>
          <a:off x="9344025" y="6686550"/>
          <a:ext cx="6979920" cy="38100"/>
          <a:chOff x="247650" y="800100"/>
          <a:chExt cx="7751445" cy="38100"/>
        </a:xfrm>
      </xdr:grpSpPr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B205DE24-E819-4518-81B8-9EC419A69FE6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AB332F0-D491-4D9D-8117-A6514AC94865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76199</xdr:colOff>
      <xdr:row>4</xdr:row>
      <xdr:rowOff>85725</xdr:rowOff>
    </xdr:from>
    <xdr:to>
      <xdr:col>16</xdr:col>
      <xdr:colOff>1143000</xdr:colOff>
      <xdr:row>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C315DE-6C01-4E55-9D45-F20D3EABA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104775</xdr:rowOff>
    </xdr:from>
    <xdr:to>
      <xdr:col>7</xdr:col>
      <xdr:colOff>36195</xdr:colOff>
      <xdr:row>1</xdr:row>
      <xdr:rowOff>142875</xdr:rowOff>
    </xdr:to>
    <xdr:grpSp>
      <xdr:nvGrpSpPr>
        <xdr:cNvPr id="2" name="Title Border" descr="&quot;&quot;" title="Border">
          <a:extLst>
            <a:ext uri="{FF2B5EF4-FFF2-40B4-BE49-F238E27FC236}">
              <a16:creationId xmlns:a16="http://schemas.microsoft.com/office/drawing/2014/main" id="{81F5917B-12AB-4241-B749-6306375707E4}"/>
            </a:ext>
          </a:extLst>
        </xdr:cNvPr>
        <xdr:cNvGrpSpPr/>
      </xdr:nvGrpSpPr>
      <xdr:grpSpPr>
        <a:xfrm>
          <a:off x="171450" y="657225"/>
          <a:ext cx="6979920" cy="38100"/>
          <a:chOff x="247650" y="800100"/>
          <a:chExt cx="7751445" cy="3810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C0916DC9-1DE6-45B2-B4D4-4F7B7FBBFE26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E0620638-B2C9-4416-ADAE-8805ED8E6088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3</xdr:row>
      <xdr:rowOff>85726</xdr:rowOff>
    </xdr:from>
    <xdr:to>
      <xdr:col>7</xdr:col>
      <xdr:colOff>0</xdr:colOff>
      <xdr:row>8</xdr:row>
      <xdr:rowOff>246508</xdr:rowOff>
    </xdr:to>
    <xdr:graphicFrame macro="">
      <xdr:nvGraphicFramePr>
        <xdr:cNvPr id="6" name="Operating Budget Chart" descr="Column chart summary of Operating Expenses such as Advertising, Debts, Benefits, Supplies, Postage, etc." title="Operating Expenses">
          <a:extLst>
            <a:ext uri="{FF2B5EF4-FFF2-40B4-BE49-F238E27FC236}">
              <a16:creationId xmlns:a16="http://schemas.microsoft.com/office/drawing/2014/main" id="{C0CF484A-01F8-4F08-96B0-81565E9C7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36195</xdr:colOff>
      <xdr:row>39</xdr:row>
      <xdr:rowOff>38100</xdr:rowOff>
    </xdr:to>
    <xdr:grpSp>
      <xdr:nvGrpSpPr>
        <xdr:cNvPr id="10" name="Operating Border" descr="&quot;&quot;" title="Border">
          <a:extLst>
            <a:ext uri="{FF2B5EF4-FFF2-40B4-BE49-F238E27FC236}">
              <a16:creationId xmlns:a16="http://schemas.microsoft.com/office/drawing/2014/main" id="{809DBDFA-4782-450F-A47D-2BF36E72DCB3}"/>
            </a:ext>
          </a:extLst>
        </xdr:cNvPr>
        <xdr:cNvGrpSpPr/>
      </xdr:nvGrpSpPr>
      <xdr:grpSpPr>
        <a:xfrm>
          <a:off x="171450" y="9906000"/>
          <a:ext cx="6979920" cy="38100"/>
          <a:chOff x="247650" y="800100"/>
          <a:chExt cx="7751445" cy="38100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9C7F748A-A4D1-48DE-A463-83CE1B3AFCA5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C56C247-F854-4ACC-9DF0-C13A90A5D3CF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OperatingExpenses" displayName="tblOperatingExpenses" ref="B12:G25" totalsRowCount="1" headerRowDxfId="76" dataDxfId="75" totalsRowDxfId="74">
  <autoFilter ref="B12:G24" xr:uid="{00000000-0009-0000-0100-000002000000}"/>
  <tableColumns count="6">
    <tableColumn id="6" xr3:uid="{00000000-0010-0000-0000-000006000000}" name="STATUS" dataDxfId="73" totalsRowDxfId="72">
      <calculatedColumnFormula>IFERROR(tblOperatingExpenses[[#This Row],[ACTUAL]]/tblOperatingExpenses[[#This Row],[BUDGET]],"")</calculatedColumnFormula>
    </tableColumn>
    <tableColumn id="1" xr3:uid="{00000000-0010-0000-0000-000001000000}" name="OPERATING" totalsRowLabel="Total Expenses" dataDxfId="71" totalsRowDxfId="70"/>
    <tableColumn id="2" xr3:uid="{00000000-0010-0000-0000-000002000000}" name="BUDGET" totalsRowFunction="average" dataDxfId="69" totalsRowDxfId="68"/>
    <tableColumn id="3" xr3:uid="{00000000-0010-0000-0000-000003000000}" name="ACTUAL" totalsRowFunction="average" dataDxfId="67" totalsRowDxfId="66" dataCellStyle="Currency 2"/>
    <tableColumn id="4" xr3:uid="{00000000-0010-0000-0000-000004000000}" name="DIFFERENCE ($)" totalsRowFunction="sum" dataDxfId="65" totalsRowDxfId="64">
      <calculatedColumnFormula>tblOperatingExpenses[[#This Row],[ACTUAL]]-tblOperatingExpenses[[#This Row],[BUDGET]]</calculatedColumnFormula>
    </tableColumn>
    <tableColumn id="5" xr3:uid="{00000000-0010-0000-0000-000005000000}" name="DIFFERENCE (%)" totalsRowFunction="sum" dataDxfId="63" totalsRowDxfId="62">
      <calculatedColumnFormula>IFERROR(tblOperatingExpenses[[#This Row],[DIFFERENCE ($)]]/tblOperatingExpenses[[#This Row],[BUDGET]],"")</calculatedColumnFormula>
    </tableColumn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="Operating Expenses" altTextSummary="Status, Operating, Budget, Actual, Difference ($), and Difference (%) for operating expenses such as Advertising, Debts, Benefits, Supplies, Postage, etc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OperatingExpenses2" displayName="tblOperatingExpenses2" ref="L12:Q25" totalsRowCount="1" headerRowDxfId="61">
  <autoFilter ref="L12:Q24" xr:uid="{00000000-0009-0000-0100-000001000000}"/>
  <tableColumns count="6">
    <tableColumn id="6" xr3:uid="{00000000-0010-0000-0100-000006000000}" name="STATUS" dataDxfId="60" totalsRowDxfId="59">
      <calculatedColumnFormula>IFERROR(tblOperatingExpenses2[[#This Row],[ACTUAL]]/tblOperatingExpenses2[[#This Row],[BUDGET]],"")</calculatedColumnFormula>
    </tableColumn>
    <tableColumn id="1" xr3:uid="{00000000-0010-0000-0100-000001000000}" name="OPERATING" totalsRowLabel="Total Expenses" dataDxfId="58" totalsRowDxfId="57"/>
    <tableColumn id="2" xr3:uid="{00000000-0010-0000-0100-000002000000}" name="BUDGET" totalsRowFunction="average" dataDxfId="56" totalsRowDxfId="55" dataCellStyle="Currency 2"/>
    <tableColumn id="3" xr3:uid="{00000000-0010-0000-0100-000003000000}" name="ACTUAL" totalsRowFunction="average" dataDxfId="54" totalsRowDxfId="53" dataCellStyle="Currency 2">
      <calculatedColumnFormula>1+1</calculatedColumnFormula>
    </tableColumn>
    <tableColumn id="4" xr3:uid="{00000000-0010-0000-0100-000004000000}" name="DIFFERENCE ($)" totalsRowFunction="sum" dataDxfId="52" totalsRowDxfId="51">
      <calculatedColumnFormula>tblOperatingExpenses2[[#This Row],[BUDGET]]-tblOperatingExpenses2[[#This Row],[ACTUAL]]</calculatedColumnFormula>
    </tableColumn>
    <tableColumn id="5" xr3:uid="{00000000-0010-0000-0100-000005000000}" name="DIFFERENCE (%)" totalsRowFunction="sum" dataDxfId="50" totalsRowDxfId="49" dataCellStyle="Percent">
      <calculatedColumnFormula>IFERROR(tblOperatingExpenses2[[#This Row],[DIFFERENCE ($)]]/tblOperatingExpenses2[[#This Row],[BUDGET]],"")</calculatedColumnFormula>
    </tableColumn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="Operating Expenses" altTextSummary="Status, Operating, Budget, Actual, Difference ($), and Difference (%) for operating expenses such as Advertising, Debts, Benefits, Supplies, Postage, etc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blOperatingExpenses7" displayName="tblOperatingExpenses7" ref="B11:G38" totalsRowCount="1" headerRowDxfId="48" dataDxfId="47" totalsRowDxfId="46">
  <autoFilter ref="B11:G37" xr:uid="{00000000-0009-0000-0100-000006000000}"/>
  <sortState xmlns:xlrd2="http://schemas.microsoft.com/office/spreadsheetml/2017/richdata2" ref="B12:G37">
    <sortCondition ref="C11:C37"/>
  </sortState>
  <tableColumns count="6">
    <tableColumn id="6" xr3:uid="{00000000-0010-0000-0200-000006000000}" name="STATUS" dataDxfId="45" totalsRowDxfId="44">
      <calculatedColumnFormula>IFERROR(tblOperatingExpenses7[[#This Row],[ACTUAL]]/tblOperatingExpenses7[[#This Row],[BUDGET]],"")</calculatedColumnFormula>
    </tableColumn>
    <tableColumn id="1" xr3:uid="{00000000-0010-0000-0200-000001000000}" name="OPERATING" dataDxfId="43" totalsRowDxfId="42"/>
    <tableColumn id="2" xr3:uid="{00000000-0010-0000-0200-000002000000}" name="BUDGET" totalsRowFunction="sum" dataDxfId="41" totalsRowDxfId="40" dataCellStyle="Currency 2"/>
    <tableColumn id="3" xr3:uid="{00000000-0010-0000-0200-000003000000}" name="ACTUAL" totalsRowFunction="sum" dataDxfId="39" totalsRowDxfId="38" dataCellStyle="Currency 2"/>
    <tableColumn id="4" xr3:uid="{00000000-0010-0000-0200-000004000000}" name="DIFFERENCE ($)" totalsRowFunction="sum" dataDxfId="37" totalsRowDxfId="36">
      <calculatedColumnFormula>tblOperatingExpenses7[[#This Row],[ACTUAL]]-tblOperatingExpenses7[[#This Row],[BUDGET]]</calculatedColumnFormula>
    </tableColumn>
    <tableColumn id="5" xr3:uid="{00000000-0010-0000-0200-000005000000}" name="DIFFERENCE (%)" totalsRowFunction="custom" dataDxfId="35" totalsRowDxfId="34">
      <calculatedColumnFormula>IFERROR(tblOperatingExpenses7[[#This Row],[DIFFERENCE ($)]]/tblOperatingExpenses7[[#This Row],[BUDGET]],"")</calculatedColumnFormula>
      <totalsRowFormula>IFERROR(SUM(tblOperatingExpenses7[[#Totals],[DIFFERENCE ($)]]/tblOperatingExpenses7[[#Totals],[BUDGET]]),"")</totalsRowFormula>
    </tableColumn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="Operating Expenses" altTextSummary="Status, Operating, Budget, Actual, Difference ($), and Difference (%) for operating expenses such as Advertising, Debts, Benefits, Supplies, Postage, etc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ear_budget" displayName="Year_budget" ref="C22:AG34" totalsRowShown="0" headerRowDxfId="33" dataDxfId="32" tableBorderDxfId="31" dataCellStyle="Currency 2">
  <autoFilter ref="C22:AG34" xr:uid="{00000000-0009-0000-0100-000004000000}"/>
  <tableColumns count="31">
    <tableColumn id="1" xr3:uid="{00000000-0010-0000-0300-000001000000}" name="Total" dataDxfId="30">
      <calculatedColumnFormula>O23+P23+D23</calculatedColumnFormula>
    </tableColumn>
    <tableColumn id="2" xr3:uid="{00000000-0010-0000-0300-000002000000}" name="Sub Total" dataDxfId="29">
      <calculatedColumnFormula>SUM(E23:AG23)-K6-O23-P23</calculatedColumnFormula>
    </tableColumn>
    <tableColumn id="3" xr3:uid="{00000000-0010-0000-0300-000003000000}" name="Mat" dataDxfId="28" dataCellStyle="Currency 2"/>
    <tableColumn id="4" xr3:uid="{00000000-0010-0000-0300-000004000000}" name="Resturang" dataDxfId="27" dataCellStyle="Currency 2"/>
    <tableColumn id="5" xr3:uid="{00000000-0010-0000-0300-000005000000}" name="Bil" dataDxfId="26" dataCellStyle="Currency 2"/>
    <tableColumn id="6" xr3:uid="{00000000-0010-0000-0300-000006000000}" name="Diesel" dataDxfId="25" dataCellStyle="Currency 2"/>
    <tableColumn id="7" xr3:uid="{00000000-0010-0000-0300-000007000000}" name="Familly" dataDxfId="24" dataCellStyle="Currency 2"/>
    <tableColumn id="8" xr3:uid="{00000000-0010-0000-0300-000008000000}" name="Huset" dataDxfId="23" dataCellStyle="Currency 2"/>
    <tableColumn id="9" xr3:uid="{00000000-0010-0000-0300-000009000000}" name="Klær" dataDxfId="22" dataCellStyle="Currency 2"/>
    <tableColumn id="10" xr3:uid="{00000000-0010-0000-0300-00000A000000}" name="Save_Chicos" dataDxfId="21" dataCellStyle="Currency 2"/>
    <tableColumn id="11" xr3:uid="{00000000-0010-0000-0300-00000B000000}" name="Vinmonopolet" dataDxfId="20" dataCellStyle="Currency 2"/>
    <tableColumn id="12" xr3:uid="{00000000-0010-0000-0300-00000C000000}" name="Fritid" dataDxfId="19" dataCellStyle="Currency 2"/>
    <tableColumn id="13" xr3:uid="{00000000-0010-0000-0300-00000D000000}" name="Uventet" dataDxfId="18" dataCellStyle="Currency 2"/>
    <tableColumn id="14" xr3:uid="{00000000-0010-0000-0300-00000E000000}" name="Save" dataDxfId="17" dataCellStyle="Currency 2"/>
    <tableColumn id="15" xr3:uid="{00000000-0010-0000-0300-00000F000000}" name="Skole" dataDxfId="16" dataCellStyle="Currency 2"/>
    <tableColumn id="16" xr3:uid="{00000000-0010-0000-0300-000010000000}" name="Hus_lån" dataDxfId="6" dataCellStyle="Currency 2"/>
    <tableColumn id="30" xr3:uid="{11AC4205-DCB7-4212-9423-B32656881AC2}" name="bil Forsiktig 1" dataDxfId="1" dataCellStyle="Currency 2"/>
    <tableColumn id="29" xr3:uid="{EA7082A1-3C08-4DE7-8EB3-19668E753E1E}" name="bil Forsiktig2" dataDxfId="5" dataCellStyle="Currency 2"/>
    <tableColumn id="28" xr3:uid="{68311DF4-2438-43BC-8CF6-FB8A1728A2FE}" name="Nala Forsiktig" dataDxfId="4" dataCellStyle="Currency 2"/>
    <tableColumn id="17" xr3:uid="{00000000-0010-0000-0300-000011000000}" name="Hus Forsikring" dataDxfId="2" dataCellStyle="Currency 2"/>
    <tableColumn id="18" xr3:uid="{00000000-0010-0000-0300-000012000000}" name="Altibox" dataDxfId="3" dataCellStyle="Currency 2"/>
    <tableColumn id="19" xr3:uid="{00000000-0010-0000-0300-000013000000}" name="Strom" dataDxfId="15" dataCellStyle="Currency 2"/>
    <tableColumn id="20" xr3:uid="{00000000-0010-0000-0300-000014000000}" name="Kommune" dataDxfId="14" dataCellStyle="Currency 2"/>
    <tableColumn id="31" xr3:uid="{B2C9068E-6102-4106-A5B2-F81EC726C0DD}" name="Aarsavgift Bil 2" dataDxfId="0" dataCellStyle="Currency 2"/>
    <tableColumn id="21" xr3:uid="{00000000-0010-0000-0300-000015000000}" name="Aarsavgift Bil2" dataDxfId="13" dataCellStyle="Currency 2"/>
    <tableColumn id="22" xr3:uid="{00000000-0010-0000-0300-000016000000}" name="App/Media" dataDxfId="12" dataCellStyle="Currency 2"/>
    <tableColumn id="23" xr3:uid="{00000000-0010-0000-0300-000017000000}" name="Justering" dataDxfId="11" dataCellStyle="Currency 2"/>
    <tableColumn id="24" xr3:uid="{00000000-0010-0000-0300-000018000000}" name="Column2" dataDxfId="10" dataCellStyle="Currency 2"/>
    <tableColumn id="25" xr3:uid="{00000000-0010-0000-0300-000019000000}" name="Column3" dataDxfId="9" dataCellStyle="Currency 2"/>
    <tableColumn id="26" xr3:uid="{00000000-0010-0000-0300-00001A000000}" name="Column4" dataDxfId="8" dataCellStyle="Currency 2"/>
    <tableColumn id="27" xr3:uid="{00000000-0010-0000-0300-00001B000000}" name="Column5" dataDxfId="7" dataCellStyle="Currency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xcel Data Model">
      <a:dk1>
        <a:sysClr val="windowText" lastClr="000000"/>
      </a:dk1>
      <a:lt1>
        <a:sysClr val="window" lastClr="FFFFFF"/>
      </a:lt1>
      <a:dk2>
        <a:srgbClr val="211711"/>
      </a:dk2>
      <a:lt2>
        <a:srgbClr val="E7E6E6"/>
      </a:lt2>
      <a:accent1>
        <a:srgbClr val="9D354E"/>
      </a:accent1>
      <a:accent2>
        <a:srgbClr val="217346"/>
      </a:accent2>
      <a:accent3>
        <a:srgbClr val="338F99"/>
      </a:accent3>
      <a:accent4>
        <a:srgbClr val="E4B052"/>
      </a:accent4>
      <a:accent5>
        <a:srgbClr val="D24040"/>
      </a:accent5>
      <a:accent6>
        <a:srgbClr val="EB6F37"/>
      </a:accent6>
      <a:hlink>
        <a:srgbClr val="48A29E"/>
      </a:hlink>
      <a:folHlink>
        <a:srgbClr val="852D42"/>
      </a:folHlink>
    </a:clrScheme>
    <a:fontScheme name="Custom 19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4"/>
    <pageSetUpPr autoPageBreaks="0" fitToPage="1"/>
  </sheetPr>
  <dimension ref="A1:Q26"/>
  <sheetViews>
    <sheetView showGridLines="0" topLeftCell="A4" workbookViewId="0">
      <selection activeCell="E13" sqref="E13"/>
    </sheetView>
  </sheetViews>
  <sheetFormatPr defaultRowHeight="19.5" customHeight="1" x14ac:dyDescent="0.3"/>
  <cols>
    <col min="1" max="1" width="2.25" customWidth="1"/>
    <col min="2" max="2" width="11.625" customWidth="1"/>
    <col min="3" max="3" width="18.5" customWidth="1"/>
    <col min="4" max="5" width="13.25" customWidth="1"/>
    <col min="6" max="7" width="17.25" customWidth="1"/>
    <col min="8" max="8" width="2.25" customWidth="1"/>
    <col min="12" max="12" width="11.625" customWidth="1"/>
    <col min="13" max="13" width="18.5" customWidth="1"/>
    <col min="14" max="15" width="13.25" customWidth="1"/>
    <col min="16" max="17" width="17.25" customWidth="1"/>
  </cols>
  <sheetData>
    <row r="1" spans="1:17" s="1" customFormat="1" ht="43.5" customHeight="1" x14ac:dyDescent="0.7">
      <c r="B1" s="78" t="s">
        <v>9</v>
      </c>
      <c r="C1" s="78"/>
      <c r="D1" s="78"/>
      <c r="E1" s="78"/>
      <c r="F1" s="79" t="s">
        <v>10</v>
      </c>
      <c r="G1" s="79"/>
      <c r="L1" s="78" t="s">
        <v>9</v>
      </c>
      <c r="M1" s="78"/>
      <c r="N1" s="78"/>
      <c r="O1" s="78"/>
      <c r="P1" s="79" t="s">
        <v>10</v>
      </c>
      <c r="Q1" s="79"/>
    </row>
    <row r="2" spans="1:17" s="2" customFormat="1" ht="15" customHeight="1" x14ac:dyDescent="0.3">
      <c r="D2" s="3"/>
      <c r="E2" s="3"/>
      <c r="F2" s="4"/>
      <c r="N2" s="3"/>
      <c r="O2" s="3"/>
      <c r="P2" s="4"/>
    </row>
    <row r="3" spans="1:17" s="13" customFormat="1" ht="19.5" customHeight="1" x14ac:dyDescent="0.3">
      <c r="B3"/>
      <c r="D3" s="20"/>
      <c r="E3" s="20"/>
      <c r="F3" s="20"/>
      <c r="G3" s="21"/>
      <c r="L3"/>
      <c r="N3" s="20"/>
      <c r="O3" s="20"/>
      <c r="P3" s="20"/>
      <c r="Q3" s="21"/>
    </row>
    <row r="4" spans="1:17" s="13" customFormat="1" ht="19.5" customHeight="1" x14ac:dyDescent="0.35">
      <c r="A4" s="22"/>
      <c r="B4" s="23" t="s">
        <v>16</v>
      </c>
      <c r="C4" s="5"/>
      <c r="D4" s="6"/>
      <c r="E4" s="7"/>
      <c r="F4" s="7"/>
      <c r="G4" s="7"/>
      <c r="L4" s="23" t="s">
        <v>16</v>
      </c>
      <c r="M4" s="5"/>
      <c r="N4" s="6"/>
      <c r="O4" s="7"/>
      <c r="P4" s="7"/>
      <c r="Q4" s="7"/>
    </row>
    <row r="5" spans="1:17" s="13" customFormat="1" ht="19.5" customHeight="1" x14ac:dyDescent="0.3">
      <c r="A5" s="22"/>
      <c r="B5" s="8"/>
      <c r="C5"/>
      <c r="D5"/>
      <c r="E5"/>
      <c r="F5"/>
      <c r="G5" s="9"/>
      <c r="L5" s="8"/>
      <c r="M5"/>
      <c r="N5"/>
      <c r="O5"/>
      <c r="P5"/>
      <c r="Q5" s="9"/>
    </row>
    <row r="6" spans="1:17" s="13" customFormat="1" ht="19.5" customHeight="1" x14ac:dyDescent="0.3">
      <c r="A6" s="22"/>
      <c r="B6" s="8"/>
      <c r="C6"/>
      <c r="D6"/>
      <c r="E6"/>
      <c r="F6"/>
      <c r="G6" s="9"/>
      <c r="L6" s="8"/>
      <c r="M6"/>
      <c r="N6"/>
      <c r="O6"/>
      <c r="P6"/>
      <c r="Q6" s="9"/>
    </row>
    <row r="7" spans="1:17" s="13" customFormat="1" ht="19.5" customHeight="1" x14ac:dyDescent="0.3">
      <c r="A7" s="22"/>
      <c r="B7" s="8"/>
      <c r="C7"/>
      <c r="D7"/>
      <c r="E7"/>
      <c r="F7"/>
      <c r="G7" s="9"/>
      <c r="L7" s="8"/>
      <c r="M7"/>
      <c r="N7"/>
      <c r="O7"/>
      <c r="P7"/>
      <c r="Q7" s="9"/>
    </row>
    <row r="8" spans="1:17" s="13" customFormat="1" ht="19.5" customHeight="1" x14ac:dyDescent="0.3">
      <c r="A8" s="22"/>
      <c r="B8" s="8"/>
      <c r="C8"/>
      <c r="D8"/>
      <c r="E8"/>
      <c r="F8"/>
      <c r="G8" s="9"/>
      <c r="L8" s="8"/>
      <c r="M8"/>
      <c r="N8"/>
      <c r="O8"/>
      <c r="P8"/>
      <c r="Q8" s="9"/>
    </row>
    <row r="9" spans="1:17" s="13" customFormat="1" ht="19.5" customHeight="1" x14ac:dyDescent="0.3">
      <c r="A9" s="22"/>
      <c r="B9" s="8"/>
      <c r="C9"/>
      <c r="D9"/>
      <c r="E9"/>
      <c r="F9"/>
      <c r="G9" s="9"/>
      <c r="L9" s="8"/>
      <c r="M9"/>
      <c r="N9"/>
      <c r="O9"/>
      <c r="P9"/>
      <c r="Q9" s="9"/>
    </row>
    <row r="10" spans="1:17" s="13" customFormat="1" ht="19.5" customHeight="1" x14ac:dyDescent="0.3">
      <c r="A10" s="22"/>
      <c r="B10" s="6"/>
      <c r="C10" s="7"/>
      <c r="D10" s="7"/>
      <c r="E10" s="7"/>
      <c r="F10" s="7"/>
      <c r="G10" s="10"/>
      <c r="L10" s="6"/>
      <c r="M10" s="7"/>
      <c r="N10" s="7"/>
      <c r="O10" s="7"/>
      <c r="P10" s="7"/>
      <c r="Q10" s="10"/>
    </row>
    <row r="11" spans="1:17" s="13" customFormat="1" ht="19.5" customHeight="1" x14ac:dyDescent="0.3">
      <c r="B11"/>
      <c r="C11"/>
      <c r="D11"/>
      <c r="E11"/>
      <c r="F11"/>
      <c r="G11"/>
      <c r="L11"/>
      <c r="M11"/>
      <c r="N11"/>
      <c r="O11"/>
      <c r="P11"/>
      <c r="Q11"/>
    </row>
    <row r="12" spans="1:17" s="13" customFormat="1" ht="19.5" customHeight="1" x14ac:dyDescent="0.3">
      <c r="B12" s="11" t="s">
        <v>11</v>
      </c>
      <c r="C12" s="12" t="s">
        <v>17</v>
      </c>
      <c r="D12" s="11" t="s">
        <v>12</v>
      </c>
      <c r="E12" s="11" t="s">
        <v>13</v>
      </c>
      <c r="F12" s="11" t="s">
        <v>14</v>
      </c>
      <c r="G12" s="11" t="s">
        <v>15</v>
      </c>
      <c r="L12" s="11" t="s">
        <v>11</v>
      </c>
      <c r="M12" s="12" t="s">
        <v>17</v>
      </c>
      <c r="N12" s="11" t="s">
        <v>12</v>
      </c>
      <c r="O12" s="11" t="s">
        <v>13</v>
      </c>
      <c r="P12" s="11" t="s">
        <v>14</v>
      </c>
      <c r="Q12" s="11" t="s">
        <v>15</v>
      </c>
    </row>
    <row r="13" spans="1:17" s="13" customFormat="1" ht="19.5" customHeight="1" x14ac:dyDescent="0.3">
      <c r="A13" s="13">
        <v>1</v>
      </c>
      <c r="B13" s="14" t="str">
        <f>IFERROR(tblOperatingExpenses[[#This Row],[ACTUAL]]/tblOperatingExpenses[[#This Row],[BUDGET]],"")</f>
        <v/>
      </c>
      <c r="C13" s="15" t="s">
        <v>0</v>
      </c>
      <c r="D13" s="16"/>
      <c r="E13" s="16"/>
      <c r="F13" s="24">
        <f>tblOperatingExpenses[[#This Row],[ACTUAL]]-tblOperatingExpenses[[#This Row],[BUDGET]]</f>
        <v>0</v>
      </c>
      <c r="G13" s="18" t="str">
        <f>IFERROR(tblOperatingExpenses[[#This Row],[DIFFERENCE ($)]]/tblOperatingExpenses[[#This Row],[BUDGET]],"")</f>
        <v/>
      </c>
      <c r="I13" s="30"/>
      <c r="L13" s="14">
        <f>IFERROR(tblOperatingExpenses2[[#This Row],[ACTUAL]]/tblOperatingExpenses2[[#This Row],[BUDGET]],"")</f>
        <v>4.5796984425811877E-5</v>
      </c>
      <c r="M13" s="15" t="s">
        <v>0</v>
      </c>
      <c r="N13" s="16">
        <f>+'Expenses details'!C23</f>
        <v>43670.997666666663</v>
      </c>
      <c r="O13" s="16">
        <f>1+1</f>
        <v>2</v>
      </c>
      <c r="P13" s="24">
        <f>tblOperatingExpenses2[[#This Row],[BUDGET]]-tblOperatingExpenses2[[#This Row],[ACTUAL]]</f>
        <v>43668.997666666663</v>
      </c>
      <c r="Q13" s="18">
        <f>IFERROR(tblOperatingExpenses2[[#This Row],[DIFFERENCE ($)]]/tblOperatingExpenses2[[#This Row],[BUDGET]],"")</f>
        <v>0.99995420301557414</v>
      </c>
    </row>
    <row r="14" spans="1:17" s="13" customFormat="1" ht="19.5" customHeight="1" x14ac:dyDescent="0.3">
      <c r="A14" s="13">
        <v>2</v>
      </c>
      <c r="B14" s="14" t="str">
        <f>IFERROR(tblOperatingExpenses[[#This Row],[ACTUAL]]/tblOperatingExpenses[[#This Row],[BUDGET]],"")</f>
        <v/>
      </c>
      <c r="C14" s="26" t="s">
        <v>1</v>
      </c>
      <c r="D14" s="16"/>
      <c r="E14" s="16"/>
      <c r="F14" s="24">
        <f>tblOperatingExpenses[[#This Row],[ACTUAL]]-tblOperatingExpenses[[#This Row],[BUDGET]]</f>
        <v>0</v>
      </c>
      <c r="G14" s="18" t="str">
        <f>IFERROR(tblOperatingExpenses[[#This Row],[DIFFERENCE ($)]]/tblOperatingExpenses[[#This Row],[BUDGET]],"")</f>
        <v/>
      </c>
      <c r="I14" s="30"/>
      <c r="L14" s="14">
        <f>IFERROR(tblOperatingExpenses2[[#This Row],[ACTUAL]]/tblOperatingExpenses2[[#This Row],[BUDGET]],"")</f>
        <v>4.7432381247124266E-5</v>
      </c>
      <c r="M14" s="26" t="s">
        <v>1</v>
      </c>
      <c r="N14" s="16">
        <f>+'Expenses details'!C24</f>
        <v>42165.287666666663</v>
      </c>
      <c r="O14" s="16">
        <f t="shared" ref="O14:O24" si="0">1+1</f>
        <v>2</v>
      </c>
      <c r="P14" s="24">
        <f>tblOperatingExpenses2[[#This Row],[BUDGET]]-tblOperatingExpenses2[[#This Row],[ACTUAL]]</f>
        <v>42163.287666666663</v>
      </c>
      <c r="Q14" s="18">
        <f>IFERROR(tblOperatingExpenses2[[#This Row],[DIFFERENCE ($)]]/tblOperatingExpenses2[[#This Row],[BUDGET]],"")</f>
        <v>0.99995256761875284</v>
      </c>
    </row>
    <row r="15" spans="1:17" s="13" customFormat="1" ht="19.5" customHeight="1" x14ac:dyDescent="0.3">
      <c r="A15" s="13">
        <v>3</v>
      </c>
      <c r="B15" s="14" t="str">
        <f>IFERROR(tblOperatingExpenses[[#This Row],[ACTUAL]]/tblOperatingExpenses[[#This Row],[BUDGET]],"")</f>
        <v/>
      </c>
      <c r="C15" s="26" t="s">
        <v>2</v>
      </c>
      <c r="D15" s="16"/>
      <c r="E15" s="16"/>
      <c r="F15" s="24">
        <f>tblOperatingExpenses[[#This Row],[ACTUAL]]-tblOperatingExpenses[[#This Row],[BUDGET]]</f>
        <v>0</v>
      </c>
      <c r="G15" s="18" t="str">
        <f>IFERROR(tblOperatingExpenses[[#This Row],[DIFFERENCE ($)]]/tblOperatingExpenses[[#This Row],[BUDGET]],"")</f>
        <v/>
      </c>
      <c r="I15" s="30"/>
      <c r="L15" s="14">
        <f>IFERROR(tblOperatingExpenses2[[#This Row],[ACTUAL]]/tblOperatingExpenses2[[#This Row],[BUDGET]],"")</f>
        <v>3.4377032846447025E-5</v>
      </c>
      <c r="M15" s="26" t="s">
        <v>2</v>
      </c>
      <c r="N15" s="16">
        <f>+'Expenses details'!C25</f>
        <v>58178.377666666667</v>
      </c>
      <c r="O15" s="16">
        <f t="shared" si="0"/>
        <v>2</v>
      </c>
      <c r="P15" s="24">
        <f>tblOperatingExpenses2[[#This Row],[BUDGET]]-tblOperatingExpenses2[[#This Row],[ACTUAL]]</f>
        <v>58176.377666666667</v>
      </c>
      <c r="Q15" s="18">
        <f>IFERROR(tblOperatingExpenses2[[#This Row],[DIFFERENCE ($)]]/tblOperatingExpenses2[[#This Row],[BUDGET]],"")</f>
        <v>0.99996562296715352</v>
      </c>
    </row>
    <row r="16" spans="1:17" s="13" customFormat="1" ht="19.5" customHeight="1" x14ac:dyDescent="0.3">
      <c r="A16" s="13">
        <v>4</v>
      </c>
      <c r="B16" s="14" t="str">
        <f>IFERROR(tblOperatingExpenses[[#This Row],[ACTUAL]]/tblOperatingExpenses[[#This Row],[BUDGET]],"")</f>
        <v/>
      </c>
      <c r="C16" s="15" t="s">
        <v>3</v>
      </c>
      <c r="D16" s="16"/>
      <c r="E16" s="16"/>
      <c r="F16" s="24">
        <f>tblOperatingExpenses[[#This Row],[ACTUAL]]-tblOperatingExpenses[[#This Row],[BUDGET]]</f>
        <v>0</v>
      </c>
      <c r="G16" s="18" t="str">
        <f>IFERROR(tblOperatingExpenses[[#This Row],[DIFFERENCE ($)]]/tblOperatingExpenses[[#This Row],[BUDGET]],"")</f>
        <v/>
      </c>
      <c r="I16" s="30"/>
      <c r="L16" s="14">
        <f>IFERROR(tblOperatingExpenses2[[#This Row],[ACTUAL]]/tblOperatingExpenses2[[#This Row],[BUDGET]],"")</f>
        <v>5.3099289130611801E-5</v>
      </c>
      <c r="M16" s="15" t="s">
        <v>3</v>
      </c>
      <c r="N16" s="16">
        <f>+'Expenses details'!C26</f>
        <v>37665.287666666663</v>
      </c>
      <c r="O16" s="16">
        <f t="shared" si="0"/>
        <v>2</v>
      </c>
      <c r="P16" s="24">
        <f>tblOperatingExpenses2[[#This Row],[BUDGET]]-tblOperatingExpenses2[[#This Row],[ACTUAL]]</f>
        <v>37663.287666666663</v>
      </c>
      <c r="Q16" s="18">
        <f>IFERROR(tblOperatingExpenses2[[#This Row],[DIFFERENCE ($)]]/tblOperatingExpenses2[[#This Row],[BUDGET]],"")</f>
        <v>0.99994690071086934</v>
      </c>
    </row>
    <row r="17" spans="1:17" s="13" customFormat="1" ht="19.5" customHeight="1" x14ac:dyDescent="0.3">
      <c r="A17" s="13">
        <v>5</v>
      </c>
      <c r="B17" s="14" t="str">
        <f>IFERROR(tblOperatingExpenses[[#This Row],[ACTUAL]]/tblOperatingExpenses[[#This Row],[BUDGET]],"")</f>
        <v/>
      </c>
      <c r="C17" s="26" t="s">
        <v>4</v>
      </c>
      <c r="D17" s="16"/>
      <c r="E17" s="16"/>
      <c r="F17" s="24">
        <f>tblOperatingExpenses[[#This Row],[ACTUAL]]-tblOperatingExpenses[[#This Row],[BUDGET]]</f>
        <v>0</v>
      </c>
      <c r="G17" s="18" t="str">
        <f>IFERROR(tblOperatingExpenses[[#This Row],[DIFFERENCE ($)]]/tblOperatingExpenses[[#This Row],[BUDGET]],"")</f>
        <v/>
      </c>
      <c r="L17" s="14">
        <f>IFERROR(tblOperatingExpenses2[[#This Row],[ACTUAL]]/tblOperatingExpenses2[[#This Row],[BUDGET]],"")</f>
        <v>4.8989088521511195E-5</v>
      </c>
      <c r="M17" s="26" t="s">
        <v>4</v>
      </c>
      <c r="N17" s="16">
        <f>+'Expenses details'!C27</f>
        <v>40825.417666666661</v>
      </c>
      <c r="O17" s="16">
        <f t="shared" si="0"/>
        <v>2</v>
      </c>
      <c r="P17" s="24">
        <f>tblOperatingExpenses2[[#This Row],[BUDGET]]-tblOperatingExpenses2[[#This Row],[ACTUAL]]</f>
        <v>40823.417666666661</v>
      </c>
      <c r="Q17" s="18">
        <f>IFERROR(tblOperatingExpenses2[[#This Row],[DIFFERENCE ($)]]/tblOperatingExpenses2[[#This Row],[BUDGET]],"")</f>
        <v>0.99995101091147853</v>
      </c>
    </row>
    <row r="18" spans="1:17" s="13" customFormat="1" ht="19.5" customHeight="1" x14ac:dyDescent="0.3">
      <c r="A18" s="13">
        <v>6</v>
      </c>
      <c r="B18" s="14" t="str">
        <f>IFERROR(tblOperatingExpenses[[#This Row],[ACTUAL]]/tblOperatingExpenses[[#This Row],[BUDGET]],"")</f>
        <v/>
      </c>
      <c r="C18" s="26" t="s">
        <v>5</v>
      </c>
      <c r="D18" s="16"/>
      <c r="E18" s="16"/>
      <c r="F18" s="24">
        <f>tblOperatingExpenses[[#This Row],[ACTUAL]]-tblOperatingExpenses[[#This Row],[BUDGET]]</f>
        <v>0</v>
      </c>
      <c r="G18" s="18" t="str">
        <f>IFERROR(tblOperatingExpenses[[#This Row],[DIFFERENCE ($)]]/tblOperatingExpenses[[#This Row],[BUDGET]],"")</f>
        <v/>
      </c>
      <c r="L18" s="14" t="str">
        <f>IFERROR(tblOperatingExpenses2[[#This Row],[ACTUAL]]/tblOperatingExpenses2[[#This Row],[BUDGET]],"")</f>
        <v/>
      </c>
      <c r="M18" s="26" t="s">
        <v>5</v>
      </c>
      <c r="N18" s="16"/>
      <c r="O18" s="16">
        <f t="shared" si="0"/>
        <v>2</v>
      </c>
      <c r="P18" s="24">
        <f>tblOperatingExpenses2[[#This Row],[BUDGET]]-tblOperatingExpenses2[[#This Row],[ACTUAL]]</f>
        <v>-2</v>
      </c>
      <c r="Q18" s="18" t="str">
        <f>IFERROR(tblOperatingExpenses2[[#This Row],[DIFFERENCE ($)]]/tblOperatingExpenses2[[#This Row],[BUDGET]],"")</f>
        <v/>
      </c>
    </row>
    <row r="19" spans="1:17" s="13" customFormat="1" ht="19.5" customHeight="1" x14ac:dyDescent="0.3">
      <c r="A19" s="13">
        <v>7</v>
      </c>
      <c r="B19" s="14" t="str">
        <f>IFERROR(tblOperatingExpenses[[#This Row],[ACTUAL]]/tblOperatingExpenses[[#This Row],[BUDGET]],"")</f>
        <v/>
      </c>
      <c r="C19" s="26" t="s">
        <v>6</v>
      </c>
      <c r="D19" s="16"/>
      <c r="E19" s="16"/>
      <c r="F19" s="24">
        <f>tblOperatingExpenses[[#This Row],[ACTUAL]]-tblOperatingExpenses[[#This Row],[BUDGET]]</f>
        <v>0</v>
      </c>
      <c r="G19" s="18" t="str">
        <f>IFERROR(tblOperatingExpenses[[#This Row],[DIFFERENCE ($)]]/tblOperatingExpenses[[#This Row],[BUDGET]],"")</f>
        <v/>
      </c>
      <c r="L19" s="14" t="str">
        <f>IFERROR(tblOperatingExpenses2[[#This Row],[ACTUAL]]/tblOperatingExpenses2[[#This Row],[BUDGET]],"")</f>
        <v/>
      </c>
      <c r="M19" s="26" t="s">
        <v>6</v>
      </c>
      <c r="N19" s="16"/>
      <c r="O19" s="16">
        <f t="shared" si="0"/>
        <v>2</v>
      </c>
      <c r="P19" s="24">
        <f>tblOperatingExpenses2[[#This Row],[BUDGET]]-tblOperatingExpenses2[[#This Row],[ACTUAL]]</f>
        <v>-2</v>
      </c>
      <c r="Q19" s="18" t="str">
        <f>IFERROR(tblOperatingExpenses2[[#This Row],[DIFFERENCE ($)]]/tblOperatingExpenses2[[#This Row],[BUDGET]],"")</f>
        <v/>
      </c>
    </row>
    <row r="20" spans="1:17" s="13" customFormat="1" ht="19.5" customHeight="1" x14ac:dyDescent="0.3">
      <c r="A20" s="13">
        <v>8</v>
      </c>
      <c r="B20" s="14" t="str">
        <f>IFERROR(tblOperatingExpenses[[#This Row],[ACTUAL]]/tblOperatingExpenses[[#This Row],[BUDGET]],"")</f>
        <v/>
      </c>
      <c r="C20" s="19" t="s">
        <v>25</v>
      </c>
      <c r="D20" s="16"/>
      <c r="E20" s="16"/>
      <c r="F20" s="24">
        <f>tblOperatingExpenses[[#This Row],[ACTUAL]]-tblOperatingExpenses[[#This Row],[BUDGET]]</f>
        <v>0</v>
      </c>
      <c r="G20" s="18" t="str">
        <f>IFERROR(tblOperatingExpenses[[#This Row],[DIFFERENCE ($)]]/tblOperatingExpenses[[#This Row],[BUDGET]],"")</f>
        <v/>
      </c>
      <c r="L20" s="14" t="str">
        <f>IFERROR(tblOperatingExpenses2[[#This Row],[ACTUAL]]/tblOperatingExpenses2[[#This Row],[BUDGET]],"")</f>
        <v/>
      </c>
      <c r="M20" s="19" t="s">
        <v>25</v>
      </c>
      <c r="N20" s="16"/>
      <c r="O20" s="16">
        <f t="shared" si="0"/>
        <v>2</v>
      </c>
      <c r="P20" s="24">
        <f>tblOperatingExpenses2[[#This Row],[BUDGET]]-tblOperatingExpenses2[[#This Row],[ACTUAL]]</f>
        <v>-2</v>
      </c>
      <c r="Q20" s="18" t="str">
        <f>IFERROR(tblOperatingExpenses2[[#This Row],[DIFFERENCE ($)]]/tblOperatingExpenses2[[#This Row],[BUDGET]],"")</f>
        <v/>
      </c>
    </row>
    <row r="21" spans="1:17" s="13" customFormat="1" ht="19.5" customHeight="1" x14ac:dyDescent="0.3">
      <c r="A21" s="13">
        <v>9</v>
      </c>
      <c r="B21" s="14" t="str">
        <f>IFERROR(tblOperatingExpenses[[#This Row],[ACTUAL]]/tblOperatingExpenses[[#This Row],[BUDGET]],"")</f>
        <v/>
      </c>
      <c r="C21" s="19" t="s">
        <v>7</v>
      </c>
      <c r="D21" s="16"/>
      <c r="E21" s="16"/>
      <c r="F21" s="24">
        <f>tblOperatingExpenses[[#This Row],[ACTUAL]]-tblOperatingExpenses[[#This Row],[BUDGET]]</f>
        <v>0</v>
      </c>
      <c r="G21" s="18" t="str">
        <f>IFERROR(tblOperatingExpenses[[#This Row],[DIFFERENCE ($)]]/tblOperatingExpenses[[#This Row],[BUDGET]],"")</f>
        <v/>
      </c>
      <c r="L21" s="14" t="str">
        <f>IFERROR(tblOperatingExpenses2[[#This Row],[ACTUAL]]/tblOperatingExpenses2[[#This Row],[BUDGET]],"")</f>
        <v/>
      </c>
      <c r="M21" s="19" t="s">
        <v>7</v>
      </c>
      <c r="N21" s="16"/>
      <c r="O21" s="16">
        <f t="shared" si="0"/>
        <v>2</v>
      </c>
      <c r="P21" s="24">
        <f>tblOperatingExpenses2[[#This Row],[BUDGET]]-tblOperatingExpenses2[[#This Row],[ACTUAL]]</f>
        <v>-2</v>
      </c>
      <c r="Q21" s="18" t="str">
        <f>IFERROR(tblOperatingExpenses2[[#This Row],[DIFFERENCE ($)]]/tblOperatingExpenses2[[#This Row],[BUDGET]],"")</f>
        <v/>
      </c>
    </row>
    <row r="22" spans="1:17" s="13" customFormat="1" ht="19.5" customHeight="1" x14ac:dyDescent="0.3">
      <c r="A22" s="13">
        <v>10</v>
      </c>
      <c r="B22" s="14" t="str">
        <f>IFERROR(tblOperatingExpenses[[#This Row],[ACTUAL]]/tblOperatingExpenses[[#This Row],[BUDGET]],"")</f>
        <v/>
      </c>
      <c r="C22" s="26" t="s">
        <v>8</v>
      </c>
      <c r="D22" s="16"/>
      <c r="E22" s="16"/>
      <c r="F22" s="24">
        <f>tblOperatingExpenses[[#This Row],[ACTUAL]]-tblOperatingExpenses[[#This Row],[BUDGET]]</f>
        <v>0</v>
      </c>
      <c r="G22" s="18" t="str">
        <f>IFERROR(tblOperatingExpenses[[#This Row],[DIFFERENCE ($)]]/tblOperatingExpenses[[#This Row],[BUDGET]],"")</f>
        <v/>
      </c>
      <c r="L22" s="14" t="str">
        <f>IFERROR(tblOperatingExpenses2[[#This Row],[ACTUAL]]/tblOperatingExpenses2[[#This Row],[BUDGET]],"")</f>
        <v/>
      </c>
      <c r="M22" s="26" t="s">
        <v>8</v>
      </c>
      <c r="N22" s="16"/>
      <c r="O22" s="16">
        <f t="shared" si="0"/>
        <v>2</v>
      </c>
      <c r="P22" s="24">
        <f>tblOperatingExpenses2[[#This Row],[BUDGET]]-tblOperatingExpenses2[[#This Row],[ACTUAL]]</f>
        <v>-2</v>
      </c>
      <c r="Q22" s="18" t="str">
        <f>IFERROR(tblOperatingExpenses2[[#This Row],[DIFFERENCE ($)]]/tblOperatingExpenses2[[#This Row],[BUDGET]],"")</f>
        <v/>
      </c>
    </row>
    <row r="23" spans="1:17" s="13" customFormat="1" ht="19.5" customHeight="1" x14ac:dyDescent="0.3">
      <c r="A23" s="13">
        <v>11</v>
      </c>
      <c r="B23" s="14" t="str">
        <f>IFERROR(tblOperatingExpenses[[#This Row],[ACTUAL]]/tblOperatingExpenses[[#This Row],[BUDGET]],"")</f>
        <v/>
      </c>
      <c r="C23" s="19" t="s">
        <v>26</v>
      </c>
      <c r="D23" s="16"/>
      <c r="E23" s="16"/>
      <c r="F23" s="24">
        <f>tblOperatingExpenses[[#This Row],[ACTUAL]]-tblOperatingExpenses[[#This Row],[BUDGET]]</f>
        <v>0</v>
      </c>
      <c r="G23" s="18" t="str">
        <f>IFERROR(tblOperatingExpenses[[#This Row],[DIFFERENCE ($)]]/tblOperatingExpenses[[#This Row],[BUDGET]],"")</f>
        <v/>
      </c>
      <c r="L23" s="14" t="str">
        <f>IFERROR(tblOperatingExpenses2[[#This Row],[ACTUAL]]/tblOperatingExpenses2[[#This Row],[BUDGET]],"")</f>
        <v/>
      </c>
      <c r="M23" s="19" t="s">
        <v>26</v>
      </c>
      <c r="N23" s="16"/>
      <c r="O23" s="16">
        <f t="shared" si="0"/>
        <v>2</v>
      </c>
      <c r="P23" s="24">
        <f>tblOperatingExpenses2[[#This Row],[BUDGET]]-tblOperatingExpenses2[[#This Row],[ACTUAL]]</f>
        <v>-2</v>
      </c>
      <c r="Q23" s="18" t="str">
        <f>IFERROR(tblOperatingExpenses2[[#This Row],[DIFFERENCE ($)]]/tblOperatingExpenses2[[#This Row],[BUDGET]],"")</f>
        <v/>
      </c>
    </row>
    <row r="24" spans="1:17" s="13" customFormat="1" ht="19.5" customHeight="1" x14ac:dyDescent="0.3">
      <c r="A24" s="13">
        <v>12</v>
      </c>
      <c r="B24" s="14" t="str">
        <f>IFERROR(tblOperatingExpenses[[#This Row],[ACTUAL]]/tblOperatingExpenses[[#This Row],[BUDGET]],"")</f>
        <v/>
      </c>
      <c r="C24" s="19" t="s">
        <v>27</v>
      </c>
      <c r="D24" s="16"/>
      <c r="E24" s="16"/>
      <c r="F24" s="24">
        <f>tblOperatingExpenses[[#This Row],[ACTUAL]]-tblOperatingExpenses[[#This Row],[BUDGET]]</f>
        <v>0</v>
      </c>
      <c r="G24" s="18" t="str">
        <f>IFERROR(tblOperatingExpenses[[#This Row],[DIFFERENCE ($)]]/tblOperatingExpenses[[#This Row],[BUDGET]],"")</f>
        <v/>
      </c>
      <c r="L24" s="14" t="str">
        <f>IFERROR(tblOperatingExpenses2[[#This Row],[ACTUAL]]/tblOperatingExpenses2[[#This Row],[BUDGET]],"")</f>
        <v/>
      </c>
      <c r="M24" s="19" t="s">
        <v>27</v>
      </c>
      <c r="N24" s="16"/>
      <c r="O24" s="16">
        <f t="shared" si="0"/>
        <v>2</v>
      </c>
      <c r="P24" s="24">
        <f>tblOperatingExpenses2[[#This Row],[BUDGET]]-tblOperatingExpenses2[[#This Row],[ACTUAL]]</f>
        <v>-2</v>
      </c>
      <c r="Q24" s="18" t="str">
        <f>IFERROR(tblOperatingExpenses2[[#This Row],[DIFFERENCE ($)]]/tblOperatingExpenses2[[#This Row],[BUDGET]],"")</f>
        <v/>
      </c>
    </row>
    <row r="25" spans="1:17" s="13" customFormat="1" ht="19.5" customHeight="1" x14ac:dyDescent="0.3">
      <c r="B25" s="14"/>
      <c r="C25" s="19" t="s">
        <v>18</v>
      </c>
      <c r="D25" s="17" t="e">
        <f>SUBTOTAL(101,tblOperatingExpenses[BUDGET])</f>
        <v>#DIV/0!</v>
      </c>
      <c r="E25" s="17" t="e">
        <f>SUBTOTAL(101,tblOperatingExpenses[ACTUAL])</f>
        <v>#DIV/0!</v>
      </c>
      <c r="F25" s="24">
        <f>SUBTOTAL(109,tblOperatingExpenses[DIFFERENCE ($)])</f>
        <v>0</v>
      </c>
      <c r="G25" s="25">
        <f>SUBTOTAL(109,tblOperatingExpenses[DIFFERENCE (%)])</f>
        <v>0</v>
      </c>
      <c r="L25" s="14"/>
      <c r="M25" s="19" t="s">
        <v>18</v>
      </c>
      <c r="N25" s="17">
        <f>SUBTOTAL(101,tblOperatingExpenses2[BUDGET])</f>
        <v>44501.073666666671</v>
      </c>
      <c r="O25" s="17">
        <f>SUBTOTAL(101,tblOperatingExpenses2[ACTUAL])</f>
        <v>2</v>
      </c>
      <c r="P25" s="24">
        <f>SUBTOTAL(109,tblOperatingExpenses2[DIFFERENCE ($)])</f>
        <v>222481.36833333335</v>
      </c>
      <c r="Q25" s="25">
        <f>SUBTOTAL(109,tblOperatingExpenses2[DIFFERENCE (%)])</f>
        <v>4.9997703052238283</v>
      </c>
    </row>
    <row r="26" spans="1:17" ht="19.5" customHeight="1" x14ac:dyDescent="0.3">
      <c r="B26" s="80"/>
      <c r="C26" s="80"/>
      <c r="D26" s="80"/>
      <c r="E26" s="80"/>
      <c r="F26" s="80"/>
      <c r="G26" s="80"/>
      <c r="L26" s="80"/>
      <c r="M26" s="80"/>
      <c r="N26" s="80"/>
      <c r="O26" s="80"/>
      <c r="P26" s="80"/>
      <c r="Q26" s="80"/>
    </row>
  </sheetData>
  <mergeCells count="6">
    <mergeCell ref="B1:E1"/>
    <mergeCell ref="F1:G1"/>
    <mergeCell ref="B26:G26"/>
    <mergeCell ref="L1:O1"/>
    <mergeCell ref="P1:Q1"/>
    <mergeCell ref="L26:Q26"/>
  </mergeCells>
  <conditionalFormatting sqref="G13:G24">
    <cfRule type="dataBar" priority="1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{FEBE771B-7B89-4F83-833C-C9590005C3FB}</x14:id>
        </ext>
      </extLst>
    </cfRule>
  </conditionalFormatting>
  <conditionalFormatting sqref="Q13:Q24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{CB97AE18-0577-46F7-B313-2F3E43320614}</x14:id>
        </ext>
      </extLst>
    </cfRule>
  </conditionalFormatting>
  <printOptions horizontalCentered="1"/>
  <pageMargins left="0.6" right="0.6" top="0.75" bottom="0.75" header="0.25" footer="0.25"/>
  <pageSetup scale="86" fitToHeight="0" orientation="portrait" horizontalDpi="300" verticalDpi="300" r:id="rId1"/>
  <ignoredErrors>
    <ignoredError sqref="F13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BE771B-7B89-4F83-833C-C9590005C3FB}">
            <x14:dataBar minLength="0" maxLength="100" border="1" negativeBarBorderColorSameAsPositive="0" axisPosition="middle">
              <x14:cfvo type="min"/>
              <x14:cfvo type="max"/>
              <x14:borderColor theme="4"/>
              <x14:negativeFillColor theme="5"/>
              <x14:negativeBorderColor theme="5"/>
              <x14:axisColor theme="0" tint="-0.499984740745262"/>
            </x14:dataBar>
          </x14:cfRule>
          <xm:sqref>G13:G24</xm:sqref>
        </x14:conditionalFormatting>
        <x14:conditionalFormatting xmlns:xm="http://schemas.microsoft.com/office/excel/2006/main">
          <x14:cfRule type="dataBar" id="{CB97AE18-0577-46F7-B313-2F3E43320614}">
            <x14:dataBar minLength="0" maxLength="100" border="1" negativeBarBorderColorSameAsPositive="0" axisPosition="middle">
              <x14:cfvo type="min"/>
              <x14:cfvo type="max"/>
              <x14:borderColor theme="4"/>
              <x14:negativeFillColor theme="5"/>
              <x14:negativeBorderColor theme="5"/>
              <x14:axisColor theme="0" tint="-0.499984740745262"/>
            </x14:dataBar>
          </x14:cfRule>
          <xm:sqref>Q13:Q24</xm:sqref>
        </x14:conditionalFormatting>
        <x14:conditionalFormatting xmlns:xm="http://schemas.microsoft.com/office/excel/2006/main">
          <x14:cfRule type="iconSet" priority="12" id="{4B50100B-1D3E-487A-82D1-6BD58B829B77}">
            <x14:iconSet iconSet="3Triangles" showValue="0" reverse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</x14:iconSet>
          </x14:cfRule>
          <xm:sqref>B13:B25</xm:sqref>
        </x14:conditionalFormatting>
        <x14:conditionalFormatting xmlns:xm="http://schemas.microsoft.com/office/excel/2006/main">
          <x14:cfRule type="iconSet" priority="2" id="{81C76A5D-DAD5-4A7C-8695-AF881B750FA4}">
            <x14:iconSet iconSet="3Triangles" showValue="0" reverse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</x14:iconSet>
          </x14:cfRule>
          <xm:sqref>L13:L25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4"/>
    <pageSetUpPr autoPageBreaks="0" fitToPage="1"/>
  </sheetPr>
  <dimension ref="A1:G39"/>
  <sheetViews>
    <sheetView showGridLines="0" workbookViewId="0">
      <selection activeCell="F12" sqref="F12"/>
    </sheetView>
  </sheetViews>
  <sheetFormatPr defaultRowHeight="19.5" customHeight="1" x14ac:dyDescent="0.3"/>
  <cols>
    <col min="1" max="1" width="2.25" customWidth="1"/>
    <col min="2" max="2" width="11.625" customWidth="1"/>
    <col min="3" max="3" width="18.5" customWidth="1"/>
    <col min="4" max="5" width="13.25" customWidth="1"/>
    <col min="6" max="7" width="17.25" customWidth="1"/>
    <col min="8" max="8" width="2.25" customWidth="1"/>
  </cols>
  <sheetData>
    <row r="1" spans="1:7" s="1" customFormat="1" ht="43.5" customHeight="1" x14ac:dyDescent="0.7">
      <c r="B1" s="78" t="s">
        <v>9</v>
      </c>
      <c r="C1" s="78"/>
      <c r="D1" s="78"/>
      <c r="E1" s="78"/>
      <c r="F1" s="27" t="s">
        <v>35</v>
      </c>
      <c r="G1" s="76">
        <v>43009</v>
      </c>
    </row>
    <row r="2" spans="1:7" s="2" customFormat="1" ht="15" customHeight="1" x14ac:dyDescent="0.3">
      <c r="D2" s="3"/>
      <c r="E2" s="3"/>
      <c r="F2" s="4"/>
    </row>
    <row r="3" spans="1:7" s="13" customFormat="1" ht="19.5" customHeight="1" x14ac:dyDescent="0.35">
      <c r="A3" s="22"/>
      <c r="B3" s="23" t="s">
        <v>16</v>
      </c>
      <c r="C3" s="5"/>
      <c r="D3" s="6"/>
      <c r="E3" s="7"/>
      <c r="F3" s="7"/>
      <c r="G3" s="7"/>
    </row>
    <row r="4" spans="1:7" s="13" customFormat="1" ht="19.5" customHeight="1" x14ac:dyDescent="0.3">
      <c r="A4" s="22"/>
      <c r="B4" s="8"/>
      <c r="C4"/>
      <c r="D4"/>
      <c r="E4"/>
      <c r="F4"/>
      <c r="G4" s="9"/>
    </row>
    <row r="5" spans="1:7" s="13" customFormat="1" ht="19.5" customHeight="1" x14ac:dyDescent="0.3">
      <c r="A5" s="22"/>
      <c r="B5" s="8"/>
      <c r="C5"/>
      <c r="D5"/>
      <c r="E5"/>
      <c r="F5"/>
      <c r="G5" s="9"/>
    </row>
    <row r="6" spans="1:7" s="13" customFormat="1" ht="19.5" customHeight="1" x14ac:dyDescent="0.3">
      <c r="A6" s="22"/>
      <c r="B6" s="8"/>
      <c r="C6"/>
      <c r="D6"/>
      <c r="E6"/>
      <c r="F6"/>
      <c r="G6" s="9"/>
    </row>
    <row r="7" spans="1:7" s="13" customFormat="1" ht="19.5" customHeight="1" x14ac:dyDescent="0.3">
      <c r="A7" s="22"/>
      <c r="B7" s="8"/>
      <c r="C7"/>
      <c r="D7"/>
      <c r="E7"/>
      <c r="F7"/>
      <c r="G7" s="9"/>
    </row>
    <row r="8" spans="1:7" s="13" customFormat="1" ht="19.5" customHeight="1" x14ac:dyDescent="0.3">
      <c r="A8" s="22"/>
      <c r="B8" s="8"/>
      <c r="C8"/>
      <c r="D8"/>
      <c r="E8"/>
      <c r="F8"/>
      <c r="G8" s="9"/>
    </row>
    <row r="9" spans="1:7" s="13" customFormat="1" ht="19.5" customHeight="1" x14ac:dyDescent="0.3">
      <c r="A9" s="22"/>
      <c r="B9" s="6"/>
      <c r="C9" s="7"/>
      <c r="D9" s="7"/>
      <c r="E9" s="7"/>
      <c r="F9" s="7"/>
      <c r="G9" s="10"/>
    </row>
    <row r="10" spans="1:7" s="13" customFormat="1" ht="19.5" customHeight="1" x14ac:dyDescent="0.3">
      <c r="B10"/>
      <c r="C10"/>
      <c r="D10"/>
      <c r="E10"/>
      <c r="F10"/>
      <c r="G10"/>
    </row>
    <row r="11" spans="1:7" s="13" customFormat="1" ht="19.5" customHeight="1" x14ac:dyDescent="0.3">
      <c r="B11" s="11" t="s">
        <v>11</v>
      </c>
      <c r="C11" s="12" t="s">
        <v>17</v>
      </c>
      <c r="D11" s="11" t="s">
        <v>12</v>
      </c>
      <c r="E11" s="11" t="s">
        <v>13</v>
      </c>
      <c r="F11" s="11" t="s">
        <v>14</v>
      </c>
      <c r="G11" s="11" t="s">
        <v>15</v>
      </c>
    </row>
    <row r="12" spans="1:7" s="13" customFormat="1" ht="19.5" customHeight="1" x14ac:dyDescent="0.3">
      <c r="B12" s="14" t="str">
        <f>IFERROR(tblOperatingExpenses7[[#This Row],[ACTUAL]]/tblOperatingExpenses7[[#This Row],[BUDGET]],"")</f>
        <v/>
      </c>
      <c r="C12" s="19"/>
      <c r="D12" s="16"/>
      <c r="E12" s="16"/>
      <c r="F12" s="24">
        <f>tblOperatingExpenses7[[#This Row],[ACTUAL]]-tblOperatingExpenses7[[#This Row],[BUDGET]]</f>
        <v>0</v>
      </c>
      <c r="G12" s="18" t="str">
        <f>IFERROR(tblOperatingExpenses7[[#This Row],[DIFFERENCE ($)]]/tblOperatingExpenses7[[#This Row],[BUDGET]],"")</f>
        <v/>
      </c>
    </row>
    <row r="13" spans="1:7" s="13" customFormat="1" ht="19.5" customHeight="1" x14ac:dyDescent="0.3">
      <c r="B13" s="14" t="str">
        <f>IFERROR(tblOperatingExpenses7[[#This Row],[ACTUAL]]/tblOperatingExpenses7[[#This Row],[BUDGET]],"")</f>
        <v/>
      </c>
      <c r="C13" s="19"/>
      <c r="D13" s="16"/>
      <c r="E13" s="16"/>
      <c r="F13" s="24">
        <f>tblOperatingExpenses7[[#This Row],[ACTUAL]]-tblOperatingExpenses7[[#This Row],[BUDGET]]</f>
        <v>0</v>
      </c>
      <c r="G13" s="18" t="str">
        <f>IFERROR(tblOperatingExpenses7[[#This Row],[DIFFERENCE ($)]]/tblOperatingExpenses7[[#This Row],[BUDGET]],"")</f>
        <v/>
      </c>
    </row>
    <row r="14" spans="1:7" s="13" customFormat="1" ht="19.5" customHeight="1" x14ac:dyDescent="0.3">
      <c r="B14" s="14" t="str">
        <f>IFERROR(tblOperatingExpenses7[[#This Row],[ACTUAL]]/tblOperatingExpenses7[[#This Row],[BUDGET]],"")</f>
        <v/>
      </c>
      <c r="C14" s="19"/>
      <c r="D14" s="16"/>
      <c r="E14" s="16"/>
      <c r="F14" s="24">
        <f>tblOperatingExpenses7[[#This Row],[ACTUAL]]-tblOperatingExpenses7[[#This Row],[BUDGET]]</f>
        <v>0</v>
      </c>
      <c r="G14" s="18" t="str">
        <f>IFERROR(tblOperatingExpenses7[[#This Row],[DIFFERENCE ($)]]/tblOperatingExpenses7[[#This Row],[BUDGET]],"")</f>
        <v/>
      </c>
    </row>
    <row r="15" spans="1:7" s="13" customFormat="1" ht="19.5" customHeight="1" x14ac:dyDescent="0.3">
      <c r="B15" s="14" t="str">
        <f>IFERROR(tblOperatingExpenses7[[#This Row],[ACTUAL]]/tblOperatingExpenses7[[#This Row],[BUDGET]],"")</f>
        <v/>
      </c>
      <c r="C15" s="19"/>
      <c r="D15" s="16"/>
      <c r="E15" s="16"/>
      <c r="F15" s="24">
        <f>tblOperatingExpenses7[[#This Row],[ACTUAL]]-tblOperatingExpenses7[[#This Row],[BUDGET]]</f>
        <v>0</v>
      </c>
      <c r="G15" s="18" t="str">
        <f>IFERROR(tblOperatingExpenses7[[#This Row],[DIFFERENCE ($)]]/tblOperatingExpenses7[[#This Row],[BUDGET]],"")</f>
        <v/>
      </c>
    </row>
    <row r="16" spans="1:7" s="13" customFormat="1" ht="19.5" customHeight="1" x14ac:dyDescent="0.3">
      <c r="B16" s="14" t="str">
        <f>IFERROR(tblOperatingExpenses7[[#This Row],[ACTUAL]]/tblOperatingExpenses7[[#This Row],[BUDGET]],"")</f>
        <v/>
      </c>
      <c r="C16" s="32"/>
      <c r="D16" s="16"/>
      <c r="E16" s="16"/>
      <c r="F16" s="24">
        <f>tblOperatingExpenses7[[#This Row],[ACTUAL]]-tblOperatingExpenses7[[#This Row],[BUDGET]]</f>
        <v>0</v>
      </c>
      <c r="G16" s="18" t="str">
        <f>IFERROR(tblOperatingExpenses7[[#This Row],[DIFFERENCE ($)]]/tblOperatingExpenses7[[#This Row],[BUDGET]],"")</f>
        <v/>
      </c>
    </row>
    <row r="17" spans="2:7" s="13" customFormat="1" ht="19.5" customHeight="1" x14ac:dyDescent="0.3">
      <c r="B17" s="14" t="str">
        <f>IFERROR(tblOperatingExpenses7[[#This Row],[ACTUAL]]/tblOperatingExpenses7[[#This Row],[BUDGET]],"")</f>
        <v/>
      </c>
      <c r="C17" s="19"/>
      <c r="D17" s="16"/>
      <c r="E17" s="16"/>
      <c r="F17" s="24">
        <f>tblOperatingExpenses7[[#This Row],[ACTUAL]]-tblOperatingExpenses7[[#This Row],[BUDGET]]</f>
        <v>0</v>
      </c>
      <c r="G17" s="18" t="str">
        <f>IFERROR(tblOperatingExpenses7[[#This Row],[DIFFERENCE ($)]]/tblOperatingExpenses7[[#This Row],[BUDGET]],"")</f>
        <v/>
      </c>
    </row>
    <row r="18" spans="2:7" s="13" customFormat="1" ht="19.5" customHeight="1" x14ac:dyDescent="0.3">
      <c r="B18" s="14" t="str">
        <f>IFERROR(tblOperatingExpenses7[[#This Row],[ACTUAL]]/tblOperatingExpenses7[[#This Row],[BUDGET]],"")</f>
        <v/>
      </c>
      <c r="C18" s="31"/>
      <c r="D18" s="16"/>
      <c r="E18" s="16"/>
      <c r="F18" s="24">
        <f>tblOperatingExpenses7[[#This Row],[ACTUAL]]-tblOperatingExpenses7[[#This Row],[BUDGET]]</f>
        <v>0</v>
      </c>
      <c r="G18" s="18" t="str">
        <f>IFERROR(tblOperatingExpenses7[[#This Row],[DIFFERENCE ($)]]/tblOperatingExpenses7[[#This Row],[BUDGET]],"")</f>
        <v/>
      </c>
    </row>
    <row r="19" spans="2:7" s="13" customFormat="1" ht="19.5" customHeight="1" x14ac:dyDescent="0.3">
      <c r="B19" s="14" t="str">
        <f>IFERROR(tblOperatingExpenses7[[#This Row],[ACTUAL]]/tblOperatingExpenses7[[#This Row],[BUDGET]],"")</f>
        <v/>
      </c>
      <c r="C19" s="31"/>
      <c r="D19" s="16"/>
      <c r="E19" s="16"/>
      <c r="F19" s="24">
        <f>tblOperatingExpenses7[[#This Row],[ACTUAL]]-tblOperatingExpenses7[[#This Row],[BUDGET]]</f>
        <v>0</v>
      </c>
      <c r="G19" s="18" t="str">
        <f>IFERROR(tblOperatingExpenses7[[#This Row],[DIFFERENCE ($)]]/tblOperatingExpenses7[[#This Row],[BUDGET]],"")</f>
        <v/>
      </c>
    </row>
    <row r="20" spans="2:7" s="13" customFormat="1" ht="19.5" customHeight="1" x14ac:dyDescent="0.3">
      <c r="B20" s="14" t="str">
        <f>IFERROR(tblOperatingExpenses7[[#This Row],[ACTUAL]]/tblOperatingExpenses7[[#This Row],[BUDGET]],"")</f>
        <v/>
      </c>
      <c r="C20" s="19"/>
      <c r="D20" s="16"/>
      <c r="E20" s="16"/>
      <c r="F20" s="24">
        <f>tblOperatingExpenses7[[#This Row],[ACTUAL]]-tblOperatingExpenses7[[#This Row],[BUDGET]]</f>
        <v>0</v>
      </c>
      <c r="G20" s="18" t="str">
        <f>IFERROR(tblOperatingExpenses7[[#This Row],[DIFFERENCE ($)]]/tblOperatingExpenses7[[#This Row],[BUDGET]],"")</f>
        <v/>
      </c>
    </row>
    <row r="21" spans="2:7" s="13" customFormat="1" ht="19.5" customHeight="1" x14ac:dyDescent="0.3">
      <c r="B21" s="14" t="str">
        <f>IFERROR(tblOperatingExpenses7[[#This Row],[ACTUAL]]/tblOperatingExpenses7[[#This Row],[BUDGET]],"")</f>
        <v/>
      </c>
      <c r="C21" s="19"/>
      <c r="D21" s="16"/>
      <c r="E21" s="16"/>
      <c r="F21" s="24">
        <f>tblOperatingExpenses7[[#This Row],[ACTUAL]]-tblOperatingExpenses7[[#This Row],[BUDGET]]</f>
        <v>0</v>
      </c>
      <c r="G21" s="18" t="str">
        <f>IFERROR(tblOperatingExpenses7[[#This Row],[DIFFERENCE ($)]]/tblOperatingExpenses7[[#This Row],[BUDGET]],"")</f>
        <v/>
      </c>
    </row>
    <row r="22" spans="2:7" s="13" customFormat="1" ht="19.5" customHeight="1" x14ac:dyDescent="0.3">
      <c r="B22" s="14" t="str">
        <f>IFERROR(tblOperatingExpenses7[[#This Row],[ACTUAL]]/tblOperatingExpenses7[[#This Row],[BUDGET]],"")</f>
        <v/>
      </c>
      <c r="C22" s="32"/>
      <c r="D22" s="16"/>
      <c r="E22" s="16"/>
      <c r="F22" s="24">
        <f>tblOperatingExpenses7[[#This Row],[ACTUAL]]-tblOperatingExpenses7[[#This Row],[BUDGET]]</f>
        <v>0</v>
      </c>
      <c r="G22" s="18" t="str">
        <f>IFERROR(tblOperatingExpenses7[[#This Row],[DIFFERENCE ($)]]/tblOperatingExpenses7[[#This Row],[BUDGET]],"")</f>
        <v/>
      </c>
    </row>
    <row r="23" spans="2:7" s="13" customFormat="1" ht="19.5" customHeight="1" x14ac:dyDescent="0.3">
      <c r="B23" s="14" t="str">
        <f>IFERROR(tblOperatingExpenses7[[#This Row],[ACTUAL]]/tblOperatingExpenses7[[#This Row],[BUDGET]],"")</f>
        <v/>
      </c>
      <c r="C23" s="19"/>
      <c r="D23" s="16"/>
      <c r="E23" s="16"/>
      <c r="F23" s="24">
        <f>tblOperatingExpenses7[[#This Row],[ACTUAL]]-tblOperatingExpenses7[[#This Row],[BUDGET]]</f>
        <v>0</v>
      </c>
      <c r="G23" s="18" t="str">
        <f>IFERROR(tblOperatingExpenses7[[#This Row],[DIFFERENCE ($)]]/tblOperatingExpenses7[[#This Row],[BUDGET]],"")</f>
        <v/>
      </c>
    </row>
    <row r="24" spans="2:7" s="13" customFormat="1" ht="19.5" customHeight="1" x14ac:dyDescent="0.3">
      <c r="B24" s="14" t="str">
        <f>IFERROR(tblOperatingExpenses7[[#This Row],[ACTUAL]]/tblOperatingExpenses7[[#This Row],[BUDGET]],"")</f>
        <v/>
      </c>
      <c r="C24" s="19"/>
      <c r="D24" s="16"/>
      <c r="E24" s="16"/>
      <c r="F24" s="24">
        <f>tblOperatingExpenses7[[#This Row],[ACTUAL]]-tblOperatingExpenses7[[#This Row],[BUDGET]]</f>
        <v>0</v>
      </c>
      <c r="G24" s="18" t="str">
        <f>IFERROR(tblOperatingExpenses7[[#This Row],[DIFFERENCE ($)]]/tblOperatingExpenses7[[#This Row],[BUDGET]],"")</f>
        <v/>
      </c>
    </row>
    <row r="25" spans="2:7" s="13" customFormat="1" ht="19.5" customHeight="1" x14ac:dyDescent="0.3">
      <c r="B25" s="14" t="str">
        <f>IFERROR(tblOperatingExpenses7[[#This Row],[ACTUAL]]/tblOperatingExpenses7[[#This Row],[BUDGET]],"")</f>
        <v/>
      </c>
      <c r="C25" s="32"/>
      <c r="D25" s="16"/>
      <c r="E25" s="16"/>
      <c r="F25" s="24">
        <f>tblOperatingExpenses7[[#This Row],[ACTUAL]]-tblOperatingExpenses7[[#This Row],[BUDGET]]</f>
        <v>0</v>
      </c>
      <c r="G25" s="18" t="str">
        <f>IFERROR(tblOperatingExpenses7[[#This Row],[DIFFERENCE ($)]]/tblOperatingExpenses7[[#This Row],[BUDGET]],"")</f>
        <v/>
      </c>
    </row>
    <row r="26" spans="2:7" s="13" customFormat="1" ht="19.5" customHeight="1" x14ac:dyDescent="0.3">
      <c r="B26" s="14" t="str">
        <f>IFERROR(tblOperatingExpenses7[[#This Row],[ACTUAL]]/tblOperatingExpenses7[[#This Row],[BUDGET]],"")</f>
        <v/>
      </c>
      <c r="C26" s="31"/>
      <c r="D26" s="16"/>
      <c r="E26" s="16"/>
      <c r="F26" s="24">
        <f>tblOperatingExpenses7[[#This Row],[ACTUAL]]-tblOperatingExpenses7[[#This Row],[BUDGET]]</f>
        <v>0</v>
      </c>
      <c r="G26" s="18" t="str">
        <f>IFERROR(tblOperatingExpenses7[[#This Row],[DIFFERENCE ($)]]/tblOperatingExpenses7[[#This Row],[BUDGET]],"")</f>
        <v/>
      </c>
    </row>
    <row r="27" spans="2:7" s="13" customFormat="1" ht="19.5" customHeight="1" x14ac:dyDescent="0.3">
      <c r="B27" s="14" t="str">
        <f>IFERROR(tblOperatingExpenses7[[#This Row],[ACTUAL]]/tblOperatingExpenses7[[#This Row],[BUDGET]],"")</f>
        <v/>
      </c>
      <c r="C27" s="19"/>
      <c r="D27" s="16"/>
      <c r="E27" s="16"/>
      <c r="F27" s="24">
        <f>tblOperatingExpenses7[[#This Row],[ACTUAL]]-tblOperatingExpenses7[[#This Row],[BUDGET]]</f>
        <v>0</v>
      </c>
      <c r="G27" s="18" t="str">
        <f>IFERROR(tblOperatingExpenses7[[#This Row],[DIFFERENCE ($)]]/tblOperatingExpenses7[[#This Row],[BUDGET]],"")</f>
        <v/>
      </c>
    </row>
    <row r="28" spans="2:7" s="13" customFormat="1" ht="19.5" customHeight="1" x14ac:dyDescent="0.3">
      <c r="B28" s="33" t="str">
        <f>IFERROR(tblOperatingExpenses7[[#This Row],[ACTUAL]]/tblOperatingExpenses7[[#This Row],[BUDGET]],"")</f>
        <v/>
      </c>
      <c r="C28" s="34"/>
      <c r="D28" s="16"/>
      <c r="E28" s="16"/>
      <c r="F28" s="24">
        <f>tblOperatingExpenses7[[#This Row],[ACTUAL]]-tblOperatingExpenses7[[#This Row],[BUDGET]]</f>
        <v>0</v>
      </c>
      <c r="G28" s="35" t="str">
        <f>IFERROR(tblOperatingExpenses7[[#This Row],[DIFFERENCE ($)]]/tblOperatingExpenses7[[#This Row],[BUDGET]],"")</f>
        <v/>
      </c>
    </row>
    <row r="29" spans="2:7" s="13" customFormat="1" ht="19.5" customHeight="1" x14ac:dyDescent="0.3">
      <c r="B29" s="33" t="str">
        <f>IFERROR(tblOperatingExpenses7[[#This Row],[ACTUAL]]/tblOperatingExpenses7[[#This Row],[BUDGET]],"")</f>
        <v/>
      </c>
      <c r="C29" s="34"/>
      <c r="D29" s="16"/>
      <c r="E29" s="16"/>
      <c r="F29" s="24">
        <f>tblOperatingExpenses7[[#This Row],[ACTUAL]]-tblOperatingExpenses7[[#This Row],[BUDGET]]</f>
        <v>0</v>
      </c>
      <c r="G29" s="35" t="str">
        <f>IFERROR(tblOperatingExpenses7[[#This Row],[DIFFERENCE ($)]]/tblOperatingExpenses7[[#This Row],[BUDGET]],"")</f>
        <v/>
      </c>
    </row>
    <row r="30" spans="2:7" s="13" customFormat="1" ht="19.5" customHeight="1" x14ac:dyDescent="0.3">
      <c r="B30" s="33" t="str">
        <f>IFERROR(tblOperatingExpenses7[[#This Row],[ACTUAL]]/tblOperatingExpenses7[[#This Row],[BUDGET]],"")</f>
        <v/>
      </c>
      <c r="C30" s="34"/>
      <c r="D30" s="16"/>
      <c r="E30" s="16"/>
      <c r="F30" s="24">
        <f>tblOperatingExpenses7[[#This Row],[ACTUAL]]-tblOperatingExpenses7[[#This Row],[BUDGET]]</f>
        <v>0</v>
      </c>
      <c r="G30" s="35" t="str">
        <f>IFERROR(tblOperatingExpenses7[[#This Row],[DIFFERENCE ($)]]/tblOperatingExpenses7[[#This Row],[BUDGET]],"")</f>
        <v/>
      </c>
    </row>
    <row r="31" spans="2:7" s="13" customFormat="1" ht="19.5" customHeight="1" x14ac:dyDescent="0.3">
      <c r="B31" s="33" t="str">
        <f>IFERROR(tblOperatingExpenses7[[#This Row],[ACTUAL]]/tblOperatingExpenses7[[#This Row],[BUDGET]],"")</f>
        <v/>
      </c>
      <c r="C31" s="34"/>
      <c r="D31" s="16"/>
      <c r="E31" s="16"/>
      <c r="F31" s="24">
        <f>tblOperatingExpenses7[[#This Row],[ACTUAL]]-tblOperatingExpenses7[[#This Row],[BUDGET]]</f>
        <v>0</v>
      </c>
      <c r="G31" s="35" t="str">
        <f>IFERROR(tblOperatingExpenses7[[#This Row],[DIFFERENCE ($)]]/tblOperatingExpenses7[[#This Row],[BUDGET]],"")</f>
        <v/>
      </c>
    </row>
    <row r="32" spans="2:7" s="13" customFormat="1" ht="19.5" customHeight="1" x14ac:dyDescent="0.3">
      <c r="B32" s="28" t="str">
        <f>IFERROR(tblOperatingExpenses7[[#This Row],[ACTUAL]]/tblOperatingExpenses7[[#This Row],[BUDGET]],"")</f>
        <v/>
      </c>
      <c r="C32" s="19"/>
      <c r="D32" s="16"/>
      <c r="E32" s="16"/>
      <c r="F32" s="24">
        <f>tblOperatingExpenses7[[#This Row],[ACTUAL]]-tblOperatingExpenses7[[#This Row],[BUDGET]]</f>
        <v>0</v>
      </c>
      <c r="G32" s="29" t="str">
        <f>IFERROR(tblOperatingExpenses7[[#This Row],[DIFFERENCE ($)]]/tblOperatingExpenses7[[#This Row],[BUDGET]],"")</f>
        <v/>
      </c>
    </row>
    <row r="33" spans="2:7" s="13" customFormat="1" ht="19.5" customHeight="1" x14ac:dyDescent="0.3">
      <c r="B33" s="28" t="str">
        <f>IFERROR(tblOperatingExpenses7[[#This Row],[ACTUAL]]/tblOperatingExpenses7[[#This Row],[BUDGET]],"")</f>
        <v/>
      </c>
      <c r="C33" s="19"/>
      <c r="D33" s="16"/>
      <c r="E33" s="16"/>
      <c r="F33" s="24">
        <f>tblOperatingExpenses7[[#This Row],[ACTUAL]]-tblOperatingExpenses7[[#This Row],[BUDGET]]</f>
        <v>0</v>
      </c>
      <c r="G33" s="29" t="str">
        <f>IFERROR(tblOperatingExpenses7[[#This Row],[DIFFERENCE ($)]]/tblOperatingExpenses7[[#This Row],[BUDGET]],"")</f>
        <v/>
      </c>
    </row>
    <row r="34" spans="2:7" s="13" customFormat="1" ht="19.5" customHeight="1" x14ac:dyDescent="0.3">
      <c r="B34" s="33" t="str">
        <f>IFERROR(tblOperatingExpenses7[[#This Row],[ACTUAL]]/tblOperatingExpenses7[[#This Row],[BUDGET]],"")</f>
        <v/>
      </c>
      <c r="C34" s="34"/>
      <c r="D34" s="16"/>
      <c r="E34" s="16"/>
      <c r="F34" s="24">
        <f>tblOperatingExpenses7[[#This Row],[ACTUAL]]-tblOperatingExpenses7[[#This Row],[BUDGET]]</f>
        <v>0</v>
      </c>
      <c r="G34" s="35" t="str">
        <f>IFERROR(tblOperatingExpenses7[[#This Row],[DIFFERENCE ($)]]/tblOperatingExpenses7[[#This Row],[BUDGET]],"")</f>
        <v/>
      </c>
    </row>
    <row r="35" spans="2:7" s="13" customFormat="1" ht="19.5" customHeight="1" x14ac:dyDescent="0.3">
      <c r="B35" s="33" t="str">
        <f>IFERROR(tblOperatingExpenses7[[#This Row],[ACTUAL]]/tblOperatingExpenses7[[#This Row],[BUDGET]],"")</f>
        <v/>
      </c>
      <c r="C35" s="34"/>
      <c r="D35" s="16"/>
      <c r="E35" s="16"/>
      <c r="F35" s="24">
        <f>tblOperatingExpenses7[[#This Row],[ACTUAL]]-tblOperatingExpenses7[[#This Row],[BUDGET]]</f>
        <v>0</v>
      </c>
      <c r="G35" s="35" t="str">
        <f>IFERROR(tblOperatingExpenses7[[#This Row],[DIFFERENCE ($)]]/tblOperatingExpenses7[[#This Row],[BUDGET]],"")</f>
        <v/>
      </c>
    </row>
    <row r="36" spans="2:7" s="13" customFormat="1" ht="19.5" customHeight="1" x14ac:dyDescent="0.3">
      <c r="B36" s="33" t="str">
        <f>IFERROR(tblOperatingExpenses7[[#This Row],[ACTUAL]]/tblOperatingExpenses7[[#This Row],[BUDGET]],"")</f>
        <v/>
      </c>
      <c r="C36" s="34"/>
      <c r="D36" s="16"/>
      <c r="E36" s="16"/>
      <c r="F36" s="24">
        <f>tblOperatingExpenses7[[#This Row],[ACTUAL]]-tblOperatingExpenses7[[#This Row],[BUDGET]]</f>
        <v>0</v>
      </c>
      <c r="G36" s="35" t="str">
        <f>IFERROR(tblOperatingExpenses7[[#This Row],[DIFFERENCE ($)]]/tblOperatingExpenses7[[#This Row],[BUDGET]],"")</f>
        <v/>
      </c>
    </row>
    <row r="37" spans="2:7" s="13" customFormat="1" ht="19.5" customHeight="1" x14ac:dyDescent="0.3">
      <c r="B37" s="14" t="str">
        <f>IFERROR(tblOperatingExpenses7[[#This Row],[ACTUAL]]/tblOperatingExpenses7[[#This Row],[BUDGET]],"")</f>
        <v/>
      </c>
      <c r="C37" s="19"/>
      <c r="D37" s="16"/>
      <c r="E37" s="16"/>
      <c r="F37" s="24">
        <f>tblOperatingExpenses7[[#This Row],[ACTUAL]]-tblOperatingExpenses7[[#This Row],[BUDGET]]</f>
        <v>0</v>
      </c>
      <c r="G37" s="18" t="str">
        <f>IFERROR(tblOperatingExpenses7[[#This Row],[DIFFERENCE ($)]]/tblOperatingExpenses7[[#This Row],[BUDGET]],"")</f>
        <v/>
      </c>
    </row>
    <row r="38" spans="2:7" s="13" customFormat="1" ht="19.5" customHeight="1" x14ac:dyDescent="0.3">
      <c r="B38" s="14"/>
      <c r="C38" s="19"/>
      <c r="D38" s="17">
        <f>SUBTOTAL(109,tblOperatingExpenses7[BUDGET])</f>
        <v>0</v>
      </c>
      <c r="E38" s="17">
        <f>SUBTOTAL(109,tblOperatingExpenses7[ACTUAL])</f>
        <v>0</v>
      </c>
      <c r="F38" s="24">
        <f>SUBTOTAL(109,tblOperatingExpenses7[DIFFERENCE ($)])</f>
        <v>0</v>
      </c>
      <c r="G38" s="25" t="str">
        <f>IFERROR(SUM(tblOperatingExpenses7[[#Totals],[DIFFERENCE ($)]]/tblOperatingExpenses7[[#Totals],[BUDGET]]),"")</f>
        <v/>
      </c>
    </row>
    <row r="39" spans="2:7" ht="19.5" customHeight="1" x14ac:dyDescent="0.3">
      <c r="B39" s="80"/>
      <c r="C39" s="80"/>
      <c r="D39" s="80"/>
      <c r="E39" s="80"/>
      <c r="F39" s="80"/>
      <c r="G39" s="80"/>
    </row>
  </sheetData>
  <mergeCells count="2">
    <mergeCell ref="B1:E1"/>
    <mergeCell ref="B39:G39"/>
  </mergeCells>
  <conditionalFormatting sqref="G12:G37"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{527F324A-174E-4340-B84B-7C244291A538}</x14:id>
        </ext>
      </extLst>
    </cfRule>
  </conditionalFormatting>
  <printOptions horizontalCentered="1"/>
  <pageMargins left="0.6" right="0.6" top="0.75" bottom="0.75" header="0.25" footer="0.25"/>
  <pageSetup scale="86" fitToHeight="0" orientation="portrait" horizontalDpi="300" verticalDpi="300" r:id="rId1"/>
  <ignoredErrors>
    <ignoredError sqref="F12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7F324A-174E-4340-B84B-7C244291A538}">
            <x14:dataBar minLength="0" maxLength="100" border="1" negativeBarBorderColorSameAsPositive="0" axisPosition="middle">
              <x14:cfvo type="min"/>
              <x14:cfvo type="max"/>
              <x14:borderColor theme="4"/>
              <x14:negativeFillColor theme="5"/>
              <x14:negativeBorderColor theme="5"/>
              <x14:axisColor theme="0" tint="-0.499984740745262"/>
            </x14:dataBar>
          </x14:cfRule>
          <xm:sqref>G12:G37</xm:sqref>
        </x14:conditionalFormatting>
        <x14:conditionalFormatting xmlns:xm="http://schemas.microsoft.com/office/excel/2006/main">
          <x14:cfRule type="iconSet" priority="14" id="{F997D18B-179C-4F1D-B9E3-8E03E0DE1492}">
            <x14:iconSet iconSet="3Triangles" showValue="0" reverse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</x14:iconSet>
          </x14:cfRule>
          <xm:sqref>B12:B38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'Expenses details'!$B$6:$B$17</xm:f>
          </x14:formula1>
          <xm:sqref>G1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3:AL36"/>
  <sheetViews>
    <sheetView tabSelected="1" topLeftCell="A5" workbookViewId="0">
      <selection activeCell="J19" sqref="J19"/>
    </sheetView>
  </sheetViews>
  <sheetFormatPr defaultRowHeight="16.5" x14ac:dyDescent="0.3"/>
  <cols>
    <col min="1" max="1" width="9" style="39" customWidth="1"/>
    <col min="2" max="2" width="13.75" style="39" customWidth="1"/>
    <col min="3" max="3" width="11.875" style="39" bestFit="1" customWidth="1"/>
    <col min="4" max="4" width="14.625" style="39" customWidth="1"/>
    <col min="5" max="5" width="10.125" style="39" bestFit="1" customWidth="1"/>
    <col min="6" max="6" width="12.625" style="39" customWidth="1"/>
    <col min="7" max="7" width="14.375" style="39" bestFit="1" customWidth="1"/>
    <col min="8" max="8" width="10.125" style="39" bestFit="1" customWidth="1"/>
    <col min="9" max="9" width="11.875" style="39" bestFit="1" customWidth="1"/>
    <col min="10" max="10" width="9" style="39" customWidth="1"/>
    <col min="11" max="11" width="12.75" style="39" bestFit="1" customWidth="1"/>
    <col min="12" max="12" width="12.875" style="39" customWidth="1"/>
    <col min="13" max="13" width="15.25" style="39" customWidth="1"/>
    <col min="14" max="14" width="8.75" style="39" bestFit="1" customWidth="1"/>
    <col min="15" max="15" width="9.875" style="39" bestFit="1" customWidth="1"/>
    <col min="16" max="16" width="11.875" style="39" customWidth="1"/>
    <col min="17" max="17" width="8.75" style="39" bestFit="1" customWidth="1"/>
    <col min="18" max="18" width="11.75" style="39" customWidth="1"/>
    <col min="19" max="19" width="13" style="39" bestFit="1" customWidth="1"/>
    <col min="20" max="20" width="11" style="39" bestFit="1" customWidth="1"/>
    <col min="21" max="21" width="12.75" style="39" bestFit="1" customWidth="1"/>
    <col min="22" max="22" width="15.25" style="39" customWidth="1"/>
    <col min="23" max="23" width="14.625" style="39" customWidth="1"/>
    <col min="24" max="24" width="12.625" style="39" customWidth="1"/>
    <col min="25" max="25" width="13" style="39" bestFit="1" customWidth="1"/>
    <col min="26" max="30" width="11.125" style="39" customWidth="1"/>
    <col min="31" max="32" width="9.75" style="39" bestFit="1" customWidth="1"/>
    <col min="33" max="34" width="10.25" style="39" bestFit="1" customWidth="1"/>
    <col min="35" max="16384" width="9" style="39"/>
  </cols>
  <sheetData>
    <row r="3" spans="2:38" ht="17.25" thickBot="1" x14ac:dyDescent="0.35">
      <c r="B3" s="36"/>
      <c r="C3" s="37">
        <f>AVERAGE(C6:C17)</f>
        <v>28792.545454545456</v>
      </c>
      <c r="D3" s="37"/>
      <c r="E3" s="37"/>
      <c r="F3" s="37" t="e">
        <f>AVERAGE(#REF!)</f>
        <v>#REF!</v>
      </c>
      <c r="G3" s="37">
        <f>AVERAGE(G6:G17)</f>
        <v>33979.117272727271</v>
      </c>
      <c r="H3" s="37">
        <f>AVERAGE(K6:K17)</f>
        <v>7000</v>
      </c>
      <c r="I3" s="37">
        <f>AVERAGE(L6:L17)</f>
        <v>1042.5</v>
      </c>
      <c r="J3" s="38"/>
      <c r="K3" s="38"/>
      <c r="L3" s="38"/>
      <c r="M3" s="38"/>
      <c r="N3" s="38"/>
      <c r="O3" s="38"/>
      <c r="Q3" s="38"/>
      <c r="R3" s="38"/>
      <c r="S3" s="38"/>
      <c r="T3" s="37"/>
      <c r="U3" s="40"/>
      <c r="V3" s="40"/>
      <c r="W3" s="40"/>
    </row>
    <row r="4" spans="2:38" x14ac:dyDescent="0.3">
      <c r="B4" s="36"/>
      <c r="C4" s="74" t="s">
        <v>23</v>
      </c>
      <c r="D4" s="71"/>
      <c r="E4" s="41"/>
      <c r="F4" s="38"/>
      <c r="G4" s="38"/>
      <c r="H4" s="38"/>
      <c r="I4" s="38"/>
      <c r="J4" s="38"/>
      <c r="K4" s="38"/>
      <c r="L4" s="38"/>
      <c r="N4" s="38"/>
      <c r="O4" s="38"/>
      <c r="P4" s="38"/>
      <c r="Q4" s="37"/>
      <c r="R4" s="40"/>
      <c r="S4" s="40"/>
      <c r="T4" s="40"/>
    </row>
    <row r="5" spans="2:38" ht="17.25" thickBot="1" x14ac:dyDescent="0.35">
      <c r="B5" s="42"/>
      <c r="C5" s="75" t="s">
        <v>24</v>
      </c>
      <c r="D5" s="72"/>
      <c r="E5" s="43" t="s">
        <v>44</v>
      </c>
      <c r="F5" s="86" t="s">
        <v>61</v>
      </c>
      <c r="G5" s="72" t="s">
        <v>19</v>
      </c>
      <c r="H5" s="87" t="s">
        <v>22</v>
      </c>
      <c r="I5" s="87" t="s">
        <v>24</v>
      </c>
      <c r="J5" s="87" t="s">
        <v>19</v>
      </c>
      <c r="K5" s="43" t="s">
        <v>37</v>
      </c>
      <c r="L5" s="44" t="s">
        <v>38</v>
      </c>
      <c r="M5" s="45"/>
      <c r="AL5" s="46"/>
    </row>
    <row r="6" spans="2:38" x14ac:dyDescent="0.3">
      <c r="B6" s="77">
        <v>42736</v>
      </c>
      <c r="C6" s="73">
        <v>23121</v>
      </c>
      <c r="D6" s="73"/>
      <c r="E6" s="48">
        <v>1940</v>
      </c>
      <c r="F6" s="73">
        <f>SUM(C6:E6)</f>
        <v>25061</v>
      </c>
      <c r="G6" s="47">
        <v>26900.17</v>
      </c>
      <c r="H6" s="48">
        <f>+G6+F6</f>
        <v>51961.17</v>
      </c>
      <c r="I6" s="88">
        <f>+(F6*100%)/H6</f>
        <v>0.48230245777760589</v>
      </c>
      <c r="J6" s="89">
        <f>+(G6*100%)/H6</f>
        <v>0.51769754222239417</v>
      </c>
      <c r="K6" s="47">
        <v>7000</v>
      </c>
      <c r="L6" s="49">
        <v>3228</v>
      </c>
      <c r="N6" s="37"/>
      <c r="O6" s="37"/>
      <c r="P6" s="85"/>
      <c r="AL6" s="38"/>
    </row>
    <row r="7" spans="2:38" x14ac:dyDescent="0.3">
      <c r="B7" s="77">
        <v>42767</v>
      </c>
      <c r="C7" s="48">
        <v>24994</v>
      </c>
      <c r="D7" s="48"/>
      <c r="E7" s="48">
        <v>1940</v>
      </c>
      <c r="F7" s="73">
        <f t="shared" ref="F7:F16" si="0">SUM(C7:E7)</f>
        <v>26934</v>
      </c>
      <c r="G7" s="48">
        <v>29321.83</v>
      </c>
      <c r="H7" s="48">
        <f t="shared" ref="H7:H16" si="1">+G7+F7</f>
        <v>56255.83</v>
      </c>
      <c r="I7" s="88">
        <f t="shared" ref="I7:I16" si="2">+(F7*100%)/H7</f>
        <v>0.47877704408591959</v>
      </c>
      <c r="J7" s="89">
        <f t="shared" ref="J7:J16" si="3">+(G7*100%)/H7</f>
        <v>0.52122295591408041</v>
      </c>
      <c r="K7" s="48">
        <v>7000</v>
      </c>
      <c r="L7" s="50">
        <v>0</v>
      </c>
      <c r="O7" s="37"/>
      <c r="P7" s="85"/>
      <c r="AL7" s="38"/>
    </row>
    <row r="8" spans="2:38" x14ac:dyDescent="0.3">
      <c r="B8" s="77">
        <v>42795</v>
      </c>
      <c r="C8" s="48">
        <v>20608</v>
      </c>
      <c r="D8" s="48">
        <f>5724+2387</f>
        <v>8111</v>
      </c>
      <c r="E8" s="48">
        <v>2108</v>
      </c>
      <c r="F8" s="73">
        <f t="shared" si="0"/>
        <v>30827</v>
      </c>
      <c r="G8" s="48">
        <v>28371</v>
      </c>
      <c r="H8" s="48">
        <f t="shared" si="1"/>
        <v>59198</v>
      </c>
      <c r="I8" s="88">
        <f t="shared" si="2"/>
        <v>0.52074394405216395</v>
      </c>
      <c r="J8" s="89">
        <f t="shared" si="3"/>
        <v>0.4792560559478361</v>
      </c>
      <c r="K8" s="48">
        <v>7000</v>
      </c>
      <c r="L8" s="50">
        <v>3253</v>
      </c>
      <c r="AL8" s="38"/>
    </row>
    <row r="9" spans="2:38" x14ac:dyDescent="0.3">
      <c r="B9" s="77">
        <v>42826</v>
      </c>
      <c r="C9" s="48">
        <v>23487</v>
      </c>
      <c r="D9" s="48"/>
      <c r="E9" s="48">
        <v>2108</v>
      </c>
      <c r="F9" s="73">
        <f t="shared" si="0"/>
        <v>25595</v>
      </c>
      <c r="G9" s="48">
        <v>28588</v>
      </c>
      <c r="H9" s="48">
        <f t="shared" si="1"/>
        <v>54183</v>
      </c>
      <c r="I9" s="88">
        <f t="shared" si="2"/>
        <v>0.47238063599283908</v>
      </c>
      <c r="J9" s="89">
        <f t="shared" si="3"/>
        <v>0.52761936400716092</v>
      </c>
      <c r="K9" s="48">
        <v>7000</v>
      </c>
      <c r="L9" s="50">
        <v>0</v>
      </c>
      <c r="AL9" s="38"/>
    </row>
    <row r="10" spans="2:38" x14ac:dyDescent="0.3">
      <c r="B10" s="77">
        <v>42856</v>
      </c>
      <c r="C10" s="48">
        <v>25470</v>
      </c>
      <c r="D10" s="48"/>
      <c r="E10" s="48">
        <v>2108</v>
      </c>
      <c r="F10" s="73">
        <f t="shared" si="0"/>
        <v>27578</v>
      </c>
      <c r="G10" s="48">
        <v>35820</v>
      </c>
      <c r="H10" s="48">
        <f t="shared" si="1"/>
        <v>63398</v>
      </c>
      <c r="I10" s="88">
        <f t="shared" si="2"/>
        <v>0.43499794946212816</v>
      </c>
      <c r="J10" s="89">
        <f t="shared" si="3"/>
        <v>0.56500205053787189</v>
      </c>
      <c r="K10" s="48">
        <v>7000</v>
      </c>
      <c r="L10" s="50">
        <v>1803</v>
      </c>
      <c r="AL10" s="38"/>
    </row>
    <row r="11" spans="2:38" x14ac:dyDescent="0.3">
      <c r="B11" s="77">
        <v>42887</v>
      </c>
      <c r="C11" s="48">
        <v>46008</v>
      </c>
      <c r="D11" s="48">
        <f>7490+3975+1299</f>
        <v>12764</v>
      </c>
      <c r="E11" s="48">
        <v>2108</v>
      </c>
      <c r="F11" s="73">
        <f t="shared" si="0"/>
        <v>60880</v>
      </c>
      <c r="G11" s="48">
        <v>43965.05</v>
      </c>
      <c r="H11" s="48">
        <f t="shared" si="1"/>
        <v>104845.05</v>
      </c>
      <c r="I11" s="88">
        <f t="shared" si="2"/>
        <v>0.58066642154302939</v>
      </c>
      <c r="J11" s="89">
        <f t="shared" si="3"/>
        <v>0.41933357845697056</v>
      </c>
      <c r="K11" s="48">
        <v>7000</v>
      </c>
      <c r="L11" s="50">
        <v>0</v>
      </c>
      <c r="AL11" s="38"/>
    </row>
    <row r="12" spans="2:38" x14ac:dyDescent="0.3">
      <c r="B12" s="77">
        <v>42917</v>
      </c>
      <c r="C12" s="48">
        <v>27588</v>
      </c>
      <c r="D12" s="48"/>
      <c r="E12" s="48">
        <v>2108</v>
      </c>
      <c r="F12" s="73">
        <f t="shared" si="0"/>
        <v>29696</v>
      </c>
      <c r="G12" s="48">
        <v>29025</v>
      </c>
      <c r="H12" s="48">
        <f t="shared" si="1"/>
        <v>58721</v>
      </c>
      <c r="I12" s="88">
        <f t="shared" si="2"/>
        <v>0.5057134585582671</v>
      </c>
      <c r="J12" s="89">
        <f t="shared" si="3"/>
        <v>0.49428654144173295</v>
      </c>
      <c r="K12" s="48">
        <v>7000</v>
      </c>
      <c r="L12" s="50">
        <v>646</v>
      </c>
      <c r="AL12" s="38"/>
    </row>
    <row r="13" spans="2:38" x14ac:dyDescent="0.3">
      <c r="B13" s="77">
        <v>42948</v>
      </c>
      <c r="C13" s="48">
        <v>24657</v>
      </c>
      <c r="D13" s="48"/>
      <c r="E13" s="48">
        <v>2108</v>
      </c>
      <c r="F13" s="73">
        <f t="shared" si="0"/>
        <v>26765</v>
      </c>
      <c r="G13" s="48">
        <v>42453.61</v>
      </c>
      <c r="H13" s="48">
        <f t="shared" si="1"/>
        <v>69218.61</v>
      </c>
      <c r="I13" s="88">
        <f t="shared" si="2"/>
        <v>0.38667346830570565</v>
      </c>
      <c r="J13" s="89">
        <f t="shared" si="3"/>
        <v>0.61332653169429441</v>
      </c>
      <c r="K13" s="48">
        <v>7000</v>
      </c>
      <c r="L13" s="50">
        <v>0</v>
      </c>
      <c r="AL13" s="38"/>
    </row>
    <row r="14" spans="2:38" x14ac:dyDescent="0.3">
      <c r="B14" s="77">
        <v>42979</v>
      </c>
      <c r="C14" s="48">
        <v>33365</v>
      </c>
      <c r="D14" s="48"/>
      <c r="E14" s="48">
        <v>2108</v>
      </c>
      <c r="F14" s="73">
        <f t="shared" si="0"/>
        <v>35473</v>
      </c>
      <c r="G14" s="48">
        <v>32787.01</v>
      </c>
      <c r="H14" s="48">
        <f t="shared" si="1"/>
        <v>68260.010000000009</v>
      </c>
      <c r="I14" s="88">
        <f t="shared" si="2"/>
        <v>0.51967469679538569</v>
      </c>
      <c r="J14" s="89">
        <f t="shared" si="3"/>
        <v>0.4803253032046142</v>
      </c>
      <c r="K14" s="48">
        <v>7000</v>
      </c>
      <c r="L14" s="50">
        <v>540</v>
      </c>
      <c r="AL14" s="38"/>
    </row>
    <row r="15" spans="2:38" x14ac:dyDescent="0.3">
      <c r="B15" s="77">
        <v>43009</v>
      </c>
      <c r="C15" s="48">
        <v>32760</v>
      </c>
      <c r="D15" s="48"/>
      <c r="E15" s="48">
        <v>2108</v>
      </c>
      <c r="F15" s="73">
        <f t="shared" si="0"/>
        <v>34868</v>
      </c>
      <c r="G15" s="48">
        <v>41239.620000000003</v>
      </c>
      <c r="H15" s="48">
        <f t="shared" si="1"/>
        <v>76107.62</v>
      </c>
      <c r="I15" s="88">
        <f t="shared" si="2"/>
        <v>0.45814072230875175</v>
      </c>
      <c r="J15" s="89">
        <f t="shared" si="3"/>
        <v>0.54185927769124831</v>
      </c>
      <c r="K15" s="48">
        <v>7000</v>
      </c>
      <c r="L15" s="50">
        <v>0</v>
      </c>
      <c r="M15" s="37"/>
      <c r="AL15" s="38"/>
    </row>
    <row r="16" spans="2:38" x14ac:dyDescent="0.3">
      <c r="B16" s="77">
        <v>43040</v>
      </c>
      <c r="C16" s="48">
        <v>34660</v>
      </c>
      <c r="D16" s="48">
        <v>3644</v>
      </c>
      <c r="E16" s="48">
        <v>2108</v>
      </c>
      <c r="F16" s="73">
        <f t="shared" si="0"/>
        <v>40412</v>
      </c>
      <c r="G16" s="48">
        <v>35299</v>
      </c>
      <c r="H16" s="48">
        <f t="shared" si="1"/>
        <v>75711</v>
      </c>
      <c r="I16" s="88">
        <f t="shared" si="2"/>
        <v>0.53376655968089182</v>
      </c>
      <c r="J16" s="89">
        <f t="shared" si="3"/>
        <v>0.46623344031910818</v>
      </c>
      <c r="K16" s="48">
        <v>7000</v>
      </c>
      <c r="L16" s="50">
        <v>3040</v>
      </c>
      <c r="AL16" s="38"/>
    </row>
    <row r="17" spans="2:38" ht="17.25" thickBot="1" x14ac:dyDescent="0.35">
      <c r="B17" s="77">
        <v>43070</v>
      </c>
      <c r="C17" s="51"/>
      <c r="D17" s="51"/>
      <c r="E17" s="51"/>
      <c r="F17" s="51"/>
      <c r="G17" s="51"/>
      <c r="H17" s="51"/>
      <c r="I17" s="51"/>
      <c r="J17" s="51"/>
      <c r="K17" s="51">
        <v>7000</v>
      </c>
      <c r="L17" s="52">
        <v>0</v>
      </c>
      <c r="AL17" s="38"/>
    </row>
    <row r="18" spans="2:38" x14ac:dyDescent="0.3">
      <c r="B18" s="36"/>
      <c r="C18" s="36"/>
      <c r="D18" s="36"/>
    </row>
    <row r="19" spans="2:38" x14ac:dyDescent="0.3">
      <c r="B19" s="36"/>
      <c r="C19" s="36"/>
      <c r="D19" s="36"/>
    </row>
    <row r="20" spans="2:38" x14ac:dyDescent="0.3">
      <c r="B20" s="36"/>
      <c r="C20" s="36"/>
      <c r="D20" s="36"/>
    </row>
    <row r="21" spans="2:38" x14ac:dyDescent="0.3">
      <c r="B21" s="36"/>
      <c r="C21" s="36"/>
      <c r="D21" s="36"/>
    </row>
    <row r="22" spans="2:38" ht="17.25" thickBot="1" x14ac:dyDescent="0.35">
      <c r="B22" s="36"/>
      <c r="C22" s="53" t="s">
        <v>22</v>
      </c>
      <c r="D22" s="53" t="s">
        <v>46</v>
      </c>
      <c r="E22" s="53" t="s">
        <v>20</v>
      </c>
      <c r="F22" s="53" t="s">
        <v>21</v>
      </c>
      <c r="G22" s="53" t="s">
        <v>30</v>
      </c>
      <c r="H22" s="53" t="s">
        <v>39</v>
      </c>
      <c r="I22" s="53" t="s">
        <v>28</v>
      </c>
      <c r="J22" s="53" t="s">
        <v>29</v>
      </c>
      <c r="K22" s="53" t="s">
        <v>31</v>
      </c>
      <c r="L22" s="54" t="s">
        <v>52</v>
      </c>
      <c r="M22" s="53" t="s">
        <v>43</v>
      </c>
      <c r="N22" s="53" t="s">
        <v>40</v>
      </c>
      <c r="O22" s="54" t="s">
        <v>47</v>
      </c>
      <c r="P22" s="54" t="s">
        <v>45</v>
      </c>
      <c r="Q22" s="53" t="s">
        <v>42</v>
      </c>
      <c r="R22" s="53" t="s">
        <v>41</v>
      </c>
      <c r="S22" s="81" t="s">
        <v>57</v>
      </c>
      <c r="T22" s="81" t="s">
        <v>56</v>
      </c>
      <c r="U22" s="81" t="s">
        <v>55</v>
      </c>
      <c r="V22" s="81" t="s">
        <v>54</v>
      </c>
      <c r="W22" s="53" t="s">
        <v>34</v>
      </c>
      <c r="X22" s="53" t="s">
        <v>33</v>
      </c>
      <c r="Y22" s="53" t="s">
        <v>32</v>
      </c>
      <c r="Z22" s="81" t="s">
        <v>60</v>
      </c>
      <c r="AA22" s="53" t="s">
        <v>59</v>
      </c>
      <c r="AB22" s="53" t="s">
        <v>36</v>
      </c>
      <c r="AC22" s="53" t="s">
        <v>53</v>
      </c>
      <c r="AD22" s="53" t="s">
        <v>48</v>
      </c>
      <c r="AE22" s="53" t="s">
        <v>49</v>
      </c>
      <c r="AF22" s="53" t="s">
        <v>50</v>
      </c>
      <c r="AG22" s="53" t="s">
        <v>51</v>
      </c>
    </row>
    <row r="23" spans="2:38" x14ac:dyDescent="0.3">
      <c r="B23" s="77">
        <v>42736</v>
      </c>
      <c r="C23" s="55">
        <f>O23+P23+D23</f>
        <v>43670.997666666663</v>
      </c>
      <c r="D23" s="55">
        <f>SUM(E23:AG23)-K6-O23-P23</f>
        <v>37670.997666666663</v>
      </c>
      <c r="E23" s="56">
        <v>7000</v>
      </c>
      <c r="F23" s="57">
        <v>1200</v>
      </c>
      <c r="G23" s="57">
        <v>1E-3</v>
      </c>
      <c r="H23" s="57">
        <v>2000</v>
      </c>
      <c r="I23" s="57">
        <v>800</v>
      </c>
      <c r="J23" s="57">
        <v>1666.6666666666667</v>
      </c>
      <c r="K23" s="57">
        <v>1700</v>
      </c>
      <c r="L23" s="58">
        <v>2000</v>
      </c>
      <c r="M23" s="57">
        <v>800</v>
      </c>
      <c r="N23" s="57">
        <v>4500</v>
      </c>
      <c r="O23" s="58">
        <v>2000</v>
      </c>
      <c r="P23" s="58">
        <v>4000</v>
      </c>
      <c r="Q23" s="57">
        <v>5305</v>
      </c>
      <c r="R23" s="57">
        <v>11437.6</v>
      </c>
      <c r="S23" s="82" t="s">
        <v>58</v>
      </c>
      <c r="T23" s="83">
        <v>335.75</v>
      </c>
      <c r="U23" s="83">
        <v>308.70999999999998</v>
      </c>
      <c r="V23" s="83">
        <v>625.55999999999995</v>
      </c>
      <c r="W23" s="59">
        <v>1050</v>
      </c>
      <c r="X23" s="59">
        <v>3705.71</v>
      </c>
      <c r="Y23" s="59"/>
      <c r="Z23" s="59"/>
      <c r="AA23" s="59"/>
      <c r="AB23" s="59">
        <v>236</v>
      </c>
      <c r="AC23" s="59"/>
      <c r="AD23" s="59"/>
      <c r="AE23" s="59"/>
      <c r="AF23" s="59"/>
      <c r="AG23" s="60"/>
    </row>
    <row r="24" spans="2:38" x14ac:dyDescent="0.3">
      <c r="B24" s="77">
        <v>42767</v>
      </c>
      <c r="C24" s="55">
        <f t="shared" ref="C24:C34" si="4">O24+P24+D24</f>
        <v>42165.287666666663</v>
      </c>
      <c r="D24" s="55">
        <f>SUM(E24:AG24)-K7-O24-P24</f>
        <v>36165.287666666663</v>
      </c>
      <c r="E24" s="61">
        <v>9200</v>
      </c>
      <c r="F24" s="62">
        <v>1200</v>
      </c>
      <c r="G24" s="57">
        <v>1E-3</v>
      </c>
      <c r="H24" s="62">
        <v>2000</v>
      </c>
      <c r="I24" s="62">
        <v>800</v>
      </c>
      <c r="J24" s="62">
        <v>1666.6666666666667</v>
      </c>
      <c r="K24" s="62">
        <v>1700</v>
      </c>
      <c r="L24" s="63">
        <v>2000</v>
      </c>
      <c r="M24" s="62">
        <v>800</v>
      </c>
      <c r="N24" s="62">
        <v>4500</v>
      </c>
      <c r="O24" s="63">
        <v>2000</v>
      </c>
      <c r="P24" s="63">
        <v>4000</v>
      </c>
      <c r="Q24" s="62">
        <v>5305</v>
      </c>
      <c r="R24" s="57">
        <v>11437.6</v>
      </c>
      <c r="S24" s="57" t="s">
        <v>58</v>
      </c>
      <c r="T24" s="83">
        <v>335.75</v>
      </c>
      <c r="U24" s="83">
        <v>308.70999999999998</v>
      </c>
      <c r="V24" s="83">
        <v>625.55999999999995</v>
      </c>
      <c r="W24" s="62">
        <v>1050</v>
      </c>
      <c r="X24" s="62">
        <v>0</v>
      </c>
      <c r="Y24" s="62"/>
      <c r="Z24" s="62"/>
      <c r="AA24" s="62"/>
      <c r="AB24" s="62">
        <v>236</v>
      </c>
      <c r="AC24" s="62"/>
      <c r="AD24" s="62"/>
      <c r="AE24" s="62"/>
      <c r="AF24" s="62"/>
      <c r="AG24" s="64"/>
    </row>
    <row r="25" spans="2:38" x14ac:dyDescent="0.3">
      <c r="B25" s="77">
        <v>42795</v>
      </c>
      <c r="C25" s="55">
        <f t="shared" si="4"/>
        <v>58178.377666666667</v>
      </c>
      <c r="D25" s="55">
        <f>SUM(E25:AG25)-K8-O25-P25</f>
        <v>52178.377666666667</v>
      </c>
      <c r="E25" s="61">
        <v>9200</v>
      </c>
      <c r="F25" s="62">
        <v>1200</v>
      </c>
      <c r="G25" s="57">
        <v>1E-3</v>
      </c>
      <c r="H25" s="62">
        <v>2000</v>
      </c>
      <c r="I25" s="62">
        <v>800</v>
      </c>
      <c r="J25" s="62">
        <v>1666.6666666666667</v>
      </c>
      <c r="K25" s="62">
        <v>1700</v>
      </c>
      <c r="L25" s="63">
        <v>2000</v>
      </c>
      <c r="M25" s="62">
        <v>800</v>
      </c>
      <c r="N25" s="62">
        <v>4500</v>
      </c>
      <c r="O25" s="63">
        <v>2000</v>
      </c>
      <c r="P25" s="63">
        <v>4000</v>
      </c>
      <c r="Q25" s="62">
        <v>5305</v>
      </c>
      <c r="R25" s="57">
        <v>11437.6</v>
      </c>
      <c r="S25" s="57" t="s">
        <v>58</v>
      </c>
      <c r="T25" s="83">
        <v>335.75</v>
      </c>
      <c r="U25" s="83">
        <v>308.70999999999998</v>
      </c>
      <c r="V25" s="83">
        <v>625.55999999999995</v>
      </c>
      <c r="W25" s="62">
        <v>1050</v>
      </c>
      <c r="X25" s="62">
        <v>4715.09</v>
      </c>
      <c r="Y25" s="62">
        <v>5478</v>
      </c>
      <c r="Z25" s="62">
        <v>2910</v>
      </c>
      <c r="AA25" s="62">
        <v>2910</v>
      </c>
      <c r="AB25" s="62">
        <v>236</v>
      </c>
      <c r="AC25" s="62"/>
      <c r="AD25" s="62"/>
      <c r="AE25" s="62"/>
      <c r="AF25" s="62"/>
      <c r="AG25" s="64"/>
    </row>
    <row r="26" spans="2:38" x14ac:dyDescent="0.3">
      <c r="B26" s="77">
        <v>42826</v>
      </c>
      <c r="C26" s="55">
        <f t="shared" si="4"/>
        <v>37665.287666666663</v>
      </c>
      <c r="D26" s="55">
        <f>SUM(E26:AG26)-K9-O26-P26</f>
        <v>31665.287666666663</v>
      </c>
      <c r="E26" s="61">
        <v>9200</v>
      </c>
      <c r="F26" s="62">
        <v>1200</v>
      </c>
      <c r="G26" s="57">
        <v>1E-3</v>
      </c>
      <c r="H26" s="62">
        <v>2000</v>
      </c>
      <c r="I26" s="62">
        <v>800</v>
      </c>
      <c r="J26" s="62">
        <v>1666.6666666666667</v>
      </c>
      <c r="K26" s="62">
        <v>1700</v>
      </c>
      <c r="L26" s="63">
        <v>2000</v>
      </c>
      <c r="M26" s="62">
        <v>800</v>
      </c>
      <c r="N26" s="62"/>
      <c r="O26" s="63">
        <v>2000</v>
      </c>
      <c r="P26" s="63">
        <v>4000</v>
      </c>
      <c r="Q26" s="62">
        <v>5305</v>
      </c>
      <c r="R26" s="57">
        <v>11437.6</v>
      </c>
      <c r="S26" s="57" t="s">
        <v>58</v>
      </c>
      <c r="T26" s="83">
        <v>335.75</v>
      </c>
      <c r="U26" s="83">
        <v>308.70999999999998</v>
      </c>
      <c r="V26" s="83">
        <v>625.55999999999995</v>
      </c>
      <c r="W26" s="62">
        <v>1050</v>
      </c>
      <c r="X26" s="62">
        <v>0</v>
      </c>
      <c r="Y26" s="62"/>
      <c r="Z26" s="62"/>
      <c r="AA26" s="62"/>
      <c r="AB26" s="62">
        <v>236</v>
      </c>
      <c r="AC26" s="62"/>
      <c r="AD26" s="62"/>
      <c r="AE26" s="62"/>
      <c r="AF26" s="62"/>
      <c r="AG26" s="64"/>
    </row>
    <row r="27" spans="2:38" x14ac:dyDescent="0.3">
      <c r="B27" s="77">
        <v>42856</v>
      </c>
      <c r="C27" s="55">
        <f t="shared" si="4"/>
        <v>40825.417666666661</v>
      </c>
      <c r="D27" s="55">
        <f>SUM(E27:AG27)-K10-O27-P27</f>
        <v>34825.417666666661</v>
      </c>
      <c r="E27" s="61">
        <v>9200</v>
      </c>
      <c r="F27" s="62">
        <v>1200</v>
      </c>
      <c r="G27" s="57">
        <v>1E-3</v>
      </c>
      <c r="H27" s="62">
        <v>2000</v>
      </c>
      <c r="I27" s="62">
        <v>800</v>
      </c>
      <c r="J27" s="62">
        <v>1666.6666666666667</v>
      </c>
      <c r="K27" s="62">
        <v>1700</v>
      </c>
      <c r="L27" s="63">
        <v>2000</v>
      </c>
      <c r="M27" s="62">
        <v>800</v>
      </c>
      <c r="N27" s="62"/>
      <c r="O27" s="63">
        <v>2000</v>
      </c>
      <c r="P27" s="63">
        <v>4000</v>
      </c>
      <c r="Q27" s="62">
        <v>5305</v>
      </c>
      <c r="R27" s="57">
        <v>11437.6</v>
      </c>
      <c r="S27" s="57" t="s">
        <v>58</v>
      </c>
      <c r="T27" s="83">
        <v>335.75</v>
      </c>
      <c r="U27" s="83">
        <v>308.70999999999998</v>
      </c>
      <c r="V27" s="83">
        <v>625.55999999999995</v>
      </c>
      <c r="W27" s="62">
        <v>1050</v>
      </c>
      <c r="X27" s="62">
        <v>3160.13</v>
      </c>
      <c r="Y27" s="62"/>
      <c r="Z27" s="62"/>
      <c r="AA27" s="62"/>
      <c r="AB27" s="62">
        <v>236</v>
      </c>
      <c r="AC27" s="62"/>
      <c r="AD27" s="62"/>
      <c r="AE27" s="62"/>
      <c r="AF27" s="62"/>
      <c r="AG27" s="64"/>
    </row>
    <row r="28" spans="2:38" x14ac:dyDescent="0.3">
      <c r="B28" s="77">
        <v>42887</v>
      </c>
      <c r="C28" s="55">
        <f>O28+P28+D28-H11-L11</f>
        <v>-57664.762333333339</v>
      </c>
      <c r="D28" s="55">
        <f>SUM(E28:AG28)-K11-O28-P28</f>
        <v>41180.287666666663</v>
      </c>
      <c r="E28" s="61">
        <v>9200</v>
      </c>
      <c r="F28" s="62">
        <v>1200</v>
      </c>
      <c r="G28" s="57">
        <v>1E-3</v>
      </c>
      <c r="H28" s="62">
        <v>2000</v>
      </c>
      <c r="I28" s="62">
        <v>800</v>
      </c>
      <c r="J28" s="62">
        <v>1666.6666666666667</v>
      </c>
      <c r="K28" s="62">
        <v>1700</v>
      </c>
      <c r="L28" s="63">
        <v>2000</v>
      </c>
      <c r="M28" s="62">
        <v>800</v>
      </c>
      <c r="N28" s="62">
        <v>5000</v>
      </c>
      <c r="O28" s="63">
        <v>2000</v>
      </c>
      <c r="P28" s="63">
        <v>4000</v>
      </c>
      <c r="Q28" s="62">
        <v>5305</v>
      </c>
      <c r="R28" s="57">
        <v>11437.6</v>
      </c>
      <c r="S28" s="57" t="s">
        <v>58</v>
      </c>
      <c r="T28" s="83">
        <v>335.75</v>
      </c>
      <c r="U28" s="83">
        <v>308.70999999999998</v>
      </c>
      <c r="V28" s="83">
        <v>625.55999999999995</v>
      </c>
      <c r="W28" s="62">
        <v>1050</v>
      </c>
      <c r="X28" s="62">
        <v>0</v>
      </c>
      <c r="Y28" s="62">
        <v>4515</v>
      </c>
      <c r="Z28" s="62"/>
      <c r="AA28" s="62"/>
      <c r="AB28" s="62">
        <v>236</v>
      </c>
      <c r="AC28" s="62"/>
      <c r="AD28" s="62"/>
      <c r="AE28" s="62"/>
      <c r="AF28" s="62"/>
      <c r="AG28" s="64"/>
    </row>
    <row r="29" spans="2:38" x14ac:dyDescent="0.3">
      <c r="B29" s="77">
        <v>42917</v>
      </c>
      <c r="C29" s="55">
        <f t="shared" si="4"/>
        <v>50368.647666666664</v>
      </c>
      <c r="D29" s="55">
        <f>SUM(E29:AG29)-K12-O29-P29</f>
        <v>44368.647666666664</v>
      </c>
      <c r="E29" s="61">
        <v>9200</v>
      </c>
      <c r="F29" s="62">
        <v>1200</v>
      </c>
      <c r="G29" s="57">
        <v>1E-3</v>
      </c>
      <c r="H29" s="62">
        <v>2000</v>
      </c>
      <c r="I29" s="62">
        <v>800</v>
      </c>
      <c r="J29" s="62">
        <v>1666.6666666666667</v>
      </c>
      <c r="K29" s="62">
        <v>1700</v>
      </c>
      <c r="L29" s="63">
        <v>2000</v>
      </c>
      <c r="M29" s="62">
        <v>800</v>
      </c>
      <c r="N29" s="62">
        <v>10000</v>
      </c>
      <c r="O29" s="63">
        <v>2000</v>
      </c>
      <c r="P29" s="63">
        <v>4000</v>
      </c>
      <c r="Q29" s="62">
        <v>5305</v>
      </c>
      <c r="R29" s="57">
        <v>11437.6</v>
      </c>
      <c r="S29" s="57" t="s">
        <v>58</v>
      </c>
      <c r="T29" s="83">
        <v>335.75</v>
      </c>
      <c r="U29" s="83">
        <v>308.70999999999998</v>
      </c>
      <c r="V29" s="83">
        <v>625.55999999999995</v>
      </c>
      <c r="W29" s="62">
        <v>1050</v>
      </c>
      <c r="X29" s="62">
        <v>2703.36</v>
      </c>
      <c r="Y29" s="62"/>
      <c r="Z29" s="62"/>
      <c r="AA29" s="62"/>
      <c r="AB29" s="62">
        <v>236</v>
      </c>
      <c r="AC29" s="62"/>
      <c r="AD29" s="62"/>
      <c r="AE29" s="62"/>
      <c r="AF29" s="62"/>
      <c r="AG29" s="64"/>
    </row>
    <row r="30" spans="2:38" x14ac:dyDescent="0.3">
      <c r="B30" s="77">
        <v>42948</v>
      </c>
      <c r="C30" s="55">
        <f t="shared" si="4"/>
        <v>37665.287666666663</v>
      </c>
      <c r="D30" s="55">
        <f>SUM(E30:AG30)-K13-O30-P30</f>
        <v>31665.287666666663</v>
      </c>
      <c r="E30" s="61">
        <v>9200</v>
      </c>
      <c r="F30" s="62">
        <v>1200</v>
      </c>
      <c r="G30" s="57">
        <v>1E-3</v>
      </c>
      <c r="H30" s="62">
        <v>2000</v>
      </c>
      <c r="I30" s="62">
        <v>800</v>
      </c>
      <c r="J30" s="62">
        <v>1666.6666666666667</v>
      </c>
      <c r="K30" s="62">
        <v>1700</v>
      </c>
      <c r="L30" s="63">
        <v>2000</v>
      </c>
      <c r="M30" s="62">
        <v>800</v>
      </c>
      <c r="N30" s="62"/>
      <c r="O30" s="63">
        <v>2000</v>
      </c>
      <c r="P30" s="63">
        <v>4000</v>
      </c>
      <c r="Q30" s="62">
        <v>5305</v>
      </c>
      <c r="R30" s="57">
        <v>11437.6</v>
      </c>
      <c r="S30" s="57" t="s">
        <v>58</v>
      </c>
      <c r="T30" s="83">
        <v>335.75</v>
      </c>
      <c r="U30" s="83">
        <v>308.70999999999998</v>
      </c>
      <c r="V30" s="83">
        <v>625.55999999999995</v>
      </c>
      <c r="W30" s="62">
        <v>1050</v>
      </c>
      <c r="X30" s="62">
        <v>0</v>
      </c>
      <c r="Y30" s="62"/>
      <c r="Z30" s="62"/>
      <c r="AA30" s="62"/>
      <c r="AB30" s="62">
        <v>236</v>
      </c>
      <c r="AC30" s="62"/>
      <c r="AD30" s="62"/>
      <c r="AE30" s="62"/>
      <c r="AF30" s="62"/>
      <c r="AG30" s="64"/>
    </row>
    <row r="31" spans="2:38" x14ac:dyDescent="0.3">
      <c r="B31" s="77">
        <v>42979</v>
      </c>
      <c r="C31" s="55">
        <f t="shared" si="4"/>
        <v>62591.297666666665</v>
      </c>
      <c r="D31" s="55">
        <f>SUM(E31:AG31)-K14-O31-P31</f>
        <v>56591.297666666665</v>
      </c>
      <c r="E31" s="61">
        <v>9200</v>
      </c>
      <c r="F31" s="62">
        <v>1200</v>
      </c>
      <c r="G31" s="57">
        <v>1E-3</v>
      </c>
      <c r="H31" s="62">
        <v>2000</v>
      </c>
      <c r="I31" s="62">
        <f>800+16000</f>
        <v>16800</v>
      </c>
      <c r="J31" s="62">
        <v>1666.6666666666667</v>
      </c>
      <c r="K31" s="62">
        <v>1700</v>
      </c>
      <c r="L31" s="63">
        <v>2000</v>
      </c>
      <c r="M31" s="62">
        <v>800</v>
      </c>
      <c r="N31" s="62"/>
      <c r="O31" s="63">
        <v>2000</v>
      </c>
      <c r="P31" s="63">
        <v>4000</v>
      </c>
      <c r="Q31" s="62">
        <v>5305</v>
      </c>
      <c r="R31" s="57">
        <v>11437.6</v>
      </c>
      <c r="S31" s="57" t="s">
        <v>58</v>
      </c>
      <c r="T31" s="83">
        <v>335.75</v>
      </c>
      <c r="U31" s="83">
        <v>308.70999999999998</v>
      </c>
      <c r="V31" s="83">
        <v>625.55999999999995</v>
      </c>
      <c r="W31" s="62">
        <v>1050</v>
      </c>
      <c r="X31" s="62">
        <v>3448.01</v>
      </c>
      <c r="Y31" s="62">
        <v>5478</v>
      </c>
      <c r="Z31" s="62"/>
      <c r="AA31" s="62"/>
      <c r="AB31" s="62">
        <v>236</v>
      </c>
      <c r="AC31" s="62"/>
      <c r="AD31" s="62"/>
      <c r="AE31" s="62"/>
      <c r="AF31" s="62"/>
      <c r="AG31" s="64"/>
    </row>
    <row r="32" spans="2:38" x14ac:dyDescent="0.3">
      <c r="B32" s="77">
        <v>43009</v>
      </c>
      <c r="C32" s="55">
        <f t="shared" si="4"/>
        <v>37665.287666666663</v>
      </c>
      <c r="D32" s="55">
        <f>SUM(E32:AG32)-K15-O32-P32</f>
        <v>31665.287666666663</v>
      </c>
      <c r="E32" s="61">
        <v>9200</v>
      </c>
      <c r="F32" s="62">
        <v>1200</v>
      </c>
      <c r="G32" s="57">
        <v>1E-3</v>
      </c>
      <c r="H32" s="62">
        <v>2000</v>
      </c>
      <c r="I32" s="62">
        <v>800</v>
      </c>
      <c r="J32" s="62">
        <v>1666.6666666666667</v>
      </c>
      <c r="K32" s="62">
        <v>1700</v>
      </c>
      <c r="L32" s="63">
        <v>2000</v>
      </c>
      <c r="M32" s="62">
        <v>800</v>
      </c>
      <c r="N32" s="62"/>
      <c r="O32" s="63">
        <v>2000</v>
      </c>
      <c r="P32" s="63">
        <v>4000</v>
      </c>
      <c r="Q32" s="62">
        <v>5305</v>
      </c>
      <c r="R32" s="57">
        <v>11437.6</v>
      </c>
      <c r="S32" s="57" t="s">
        <v>58</v>
      </c>
      <c r="T32" s="83">
        <v>335.75</v>
      </c>
      <c r="U32" s="83">
        <v>308.70999999999998</v>
      </c>
      <c r="V32" s="83">
        <v>625.55999999999995</v>
      </c>
      <c r="W32" s="62">
        <v>1050</v>
      </c>
      <c r="X32" s="62">
        <v>0</v>
      </c>
      <c r="Y32" s="62"/>
      <c r="Z32" s="62"/>
      <c r="AA32" s="62"/>
      <c r="AB32" s="62">
        <v>236</v>
      </c>
      <c r="AC32" s="62"/>
      <c r="AD32" s="62"/>
      <c r="AE32" s="62"/>
      <c r="AF32" s="62"/>
      <c r="AG32" s="64"/>
    </row>
    <row r="33" spans="2:33" ht="17.25" thickBot="1" x14ac:dyDescent="0.35">
      <c r="B33" s="77">
        <v>43040</v>
      </c>
      <c r="C33" s="55">
        <f t="shared" si="4"/>
        <v>44508.167666666661</v>
      </c>
      <c r="D33" s="55">
        <f>SUM(E33:AG33)-K16-O33-P33</f>
        <v>38508.167666666661</v>
      </c>
      <c r="E33" s="61">
        <v>9200</v>
      </c>
      <c r="F33" s="62">
        <v>1200</v>
      </c>
      <c r="G33" s="57">
        <v>1E-3</v>
      </c>
      <c r="H33" s="62">
        <v>2000</v>
      </c>
      <c r="I33" s="62">
        <v>800</v>
      </c>
      <c r="J33" s="62">
        <v>1666.6666666666667</v>
      </c>
      <c r="K33" s="62">
        <v>1700</v>
      </c>
      <c r="L33" s="63">
        <v>2000</v>
      </c>
      <c r="M33" s="62">
        <v>800</v>
      </c>
      <c r="N33" s="62"/>
      <c r="O33" s="63">
        <v>2000</v>
      </c>
      <c r="P33" s="63">
        <v>4000</v>
      </c>
      <c r="Q33" s="62">
        <v>5305</v>
      </c>
      <c r="R33" s="57">
        <v>11437.6</v>
      </c>
      <c r="S33" s="57" t="s">
        <v>58</v>
      </c>
      <c r="T33" s="83">
        <v>335.75</v>
      </c>
      <c r="U33" s="83">
        <v>308.70999999999998</v>
      </c>
      <c r="V33" s="83">
        <v>625.55999999999995</v>
      </c>
      <c r="W33" s="62">
        <v>1050</v>
      </c>
      <c r="X33" s="62">
        <v>1364.88</v>
      </c>
      <c r="Y33" s="62">
        <v>5478</v>
      </c>
      <c r="Z33" s="62"/>
      <c r="AA33" s="62"/>
      <c r="AB33" s="62">
        <v>236</v>
      </c>
      <c r="AC33" s="62"/>
      <c r="AD33" s="62"/>
      <c r="AE33" s="62"/>
      <c r="AF33" s="62"/>
      <c r="AG33" s="64"/>
    </row>
    <row r="34" spans="2:33" x14ac:dyDescent="0.3">
      <c r="B34" s="77">
        <v>43070</v>
      </c>
      <c r="C34" s="65">
        <f t="shared" si="4"/>
        <v>42165.287666666663</v>
      </c>
      <c r="D34" s="65">
        <f>SUM(E34:AG34)-K17-O34-P34</f>
        <v>36165.287666666663</v>
      </c>
      <c r="E34" s="66">
        <v>9200</v>
      </c>
      <c r="F34" s="67">
        <v>1200</v>
      </c>
      <c r="G34" s="57">
        <v>1E-3</v>
      </c>
      <c r="H34" s="67">
        <v>2000</v>
      </c>
      <c r="I34" s="67">
        <v>800</v>
      </c>
      <c r="J34" s="67">
        <v>1666.6666666666667</v>
      </c>
      <c r="K34" s="67">
        <v>1700</v>
      </c>
      <c r="L34" s="68">
        <v>2000</v>
      </c>
      <c r="M34" s="67">
        <v>800</v>
      </c>
      <c r="N34" s="67">
        <v>4500</v>
      </c>
      <c r="O34" s="68">
        <v>2000</v>
      </c>
      <c r="P34" s="68">
        <v>4000</v>
      </c>
      <c r="Q34" s="67">
        <v>5305</v>
      </c>
      <c r="R34" s="57">
        <v>11437.6</v>
      </c>
      <c r="S34" s="57" t="s">
        <v>58</v>
      </c>
      <c r="T34" s="83">
        <v>335.75</v>
      </c>
      <c r="U34" s="83">
        <v>308.70999999999998</v>
      </c>
      <c r="V34" s="84">
        <v>625.55999999999995</v>
      </c>
      <c r="W34" s="67">
        <v>1050</v>
      </c>
      <c r="X34" s="67">
        <v>0</v>
      </c>
      <c r="Y34" s="67"/>
      <c r="Z34" s="67"/>
      <c r="AA34" s="67"/>
      <c r="AB34" s="67">
        <v>236</v>
      </c>
      <c r="AC34" s="67"/>
      <c r="AD34" s="67"/>
      <c r="AE34" s="67"/>
      <c r="AF34" s="67"/>
      <c r="AG34" s="69"/>
    </row>
    <row r="35" spans="2:33" x14ac:dyDescent="0.3">
      <c r="B35" s="36"/>
      <c r="C35" s="36"/>
      <c r="D35" s="36"/>
      <c r="E35" s="40">
        <f>AVERAGE(E23:E34)</f>
        <v>9016.6666666666661</v>
      </c>
      <c r="F35" s="40">
        <f t="shared" ref="F35:R35" si="5">AVERAGE(F23:F34)</f>
        <v>1200</v>
      </c>
      <c r="G35" s="40">
        <f t="shared" si="5"/>
        <v>1.0000000000000002E-3</v>
      </c>
      <c r="H35" s="40">
        <f t="shared" si="5"/>
        <v>2000</v>
      </c>
      <c r="I35" s="40">
        <f t="shared" si="5"/>
        <v>2133.3333333333335</v>
      </c>
      <c r="J35" s="40">
        <f t="shared" si="5"/>
        <v>1666.6666666666667</v>
      </c>
      <c r="K35" s="40">
        <f t="shared" si="5"/>
        <v>1700</v>
      </c>
      <c r="L35" s="40">
        <f t="shared" si="5"/>
        <v>2000</v>
      </c>
      <c r="M35" s="40">
        <f t="shared" si="5"/>
        <v>800</v>
      </c>
      <c r="N35" s="40">
        <f t="shared" si="5"/>
        <v>5500</v>
      </c>
      <c r="O35" s="70">
        <f t="shared" si="5"/>
        <v>2000</v>
      </c>
      <c r="P35" s="70">
        <f t="shared" si="5"/>
        <v>4000</v>
      </c>
      <c r="Q35" s="40">
        <f t="shared" si="5"/>
        <v>5305</v>
      </c>
      <c r="R35" s="40">
        <f t="shared" si="5"/>
        <v>11437.600000000004</v>
      </c>
      <c r="S35" s="40">
        <f>AVERAGE(V23:V34)</f>
        <v>625.55999999999983</v>
      </c>
      <c r="T35" s="40">
        <f>AVERAGE(W23:W34)</f>
        <v>1050</v>
      </c>
      <c r="U35" s="40">
        <f>AVERAGE(X23:X34)</f>
        <v>1591.4316666666671</v>
      </c>
      <c r="V35" s="40">
        <f>AVERAGE(Y23:Y34)</f>
        <v>5237.25</v>
      </c>
      <c r="W35" s="40">
        <f>AVERAGE(AA23:AA34)</f>
        <v>2910</v>
      </c>
      <c r="X35" s="40">
        <f>AVERAGE(AB23:AB34)</f>
        <v>236</v>
      </c>
    </row>
    <row r="36" spans="2:33" x14ac:dyDescent="0.3">
      <c r="B36" s="36"/>
      <c r="C36" s="36"/>
      <c r="D36" s="36"/>
      <c r="G36" s="38"/>
      <c r="H36" s="38"/>
      <c r="I36" s="38"/>
      <c r="J36" s="38"/>
      <c r="K36" s="38"/>
      <c r="L36" s="38"/>
      <c r="M36" s="38"/>
      <c r="O36" s="38"/>
      <c r="P36" s="38"/>
      <c r="Q36" s="38"/>
      <c r="R36" s="37"/>
      <c r="S36" s="40"/>
      <c r="T36" s="40"/>
      <c r="U36" s="40"/>
    </row>
  </sheetData>
  <phoneticPr fontId="5" type="noConversion"/>
  <pageMargins left="0.7" right="0.7" top="0.75" bottom="0.75" header="0.3" footer="0.3"/>
  <pageSetup orientation="portrait" r:id="rId1"/>
  <ignoredErrors>
    <ignoredError sqref="F6:F16" formulaRange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5 d 9 1 c 4 8 - e 9 5 b - 4 4 f d - a 8 6 5 - 8 f 9 b f 6 8 1 7 a 4 b " > < C u s t o m C o n t e n t > < ! [ C D A T A [ < ? x m l   v e r s i o n = " 1 . 0 "   e n c o d i n g = " u t f - 1 6 " ? > < S e t t i n g s > < C a l c u l a t e d F i e l d s > < i t e m > < M e a s u r e N a m e > T o t a l   C a s h f l o w < / M e a s u r e N a m e > < D i s p l a y N a m e > T o t a l   C a s h f l o w 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 T o t a l I n c o m e < / M e a s u r e N a m e > < D i s p l a y N a m e > T o t a l I n c o m e 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8 6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 / & g t ; & l t ; C o l u m n W i d t h s & g t ; & l t ; i t e m & g t ; & l t ; k e y & g t ; & l t ; s t r i n g & g t ; T R A N S A C T I O N   T Y P E & l t ; / s t r i n g & g t ; & l t ; / k e y & g t ; & l t ; v a l u e & g t ; & l t ; i n t & g t ; 4 7 9 & l t ; / i n t & g t ; & l t ; / v a l u e & g t ; & l t ; / i t e m & g t ; & l t ; i t e m & g t ; & l t ; k e y & g t ; & l t ; s t r i n g & g t ; D A T E & l t ; / s t r i n g & g t ; & l t ; / k e y & g t ; & l t ; v a l u e & g t ; & l t ; i n t & g t ; 6 7 & l t ; / i n t & g t ; & l t ; / v a l u e & g t ; & l t ; / i t e m & g t ; & l t ; i t e m & g t ; & l t ; k e y & g t ; & l t ; s t r i n g & g t ; C A T E G O R Y & l t ; / s t r i n g & g t ; & l t ; / k e y & g t ; & l t ; v a l u e & g t ; & l t ; i n t & g t ; 1 0 0 & l t ; / i n t & g t ; & l t ; / v a l u e & g t ; & l t ; / i t e m & g t ; & l t ; i t e m & g t ; & l t ; k e y & g t ; & l t ; s t r i n g & g t ; A M O U N T & l t ; / s t r i n g & g t ; & l t ; / k e y & g t ; & l t ; v a l u e & g t ; & l t ; i n t & g t ; 9 3 & l t ; / i n t & g t ; & l t ; / v a l u e & g t ; & l t ; / i t e m & g t ; & l t ; i t e m & g t ; & l t ; k e y & g t ; & l t ; s t r i n g & g t ; D A T E   ( Y e a r ) & l t ; / s t r i n g & g t ; & l t ; / k e y & g t ; & l t ; v a l u e & g t ; & l t ; i n t & g t ; 1 0 6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2 8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5 9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2 1 & l t ; / i n t & g t ; & l t ; / v a l u e & g t ; & l t ; / i t e m & g t ; & l t ; / C o l u m n W i d t h s & g t ; & l t ; C o l u m n D i s p l a y I n d e x & g t ; & l t ; i t e m & g t ; & l t ; k e y & g t ; & l t ; s t r i n g & g t ; T R A N S A C T I O N   T Y P E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C A T E G O R Y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3 & l t ; / i n t & g t ; & l t ; / v a l u e & g t ; & l t ; / i t e m & g t ; & l t ; i t e m & g t ; & l t ; k e y & g t ; & l t ; s t r i n g & g t ; D A T E   ( Y e a r ) & l t ; / s t r i n g & g t ; & l t ; / k e y & g t ; & l t ; v a l u e & g t ; & l t ; i n t & g t ; 4 & l t ; / i n t & g t ; & l t ; / v a l u e & g t ; & l t ; / i t e m & g t ; & l t ; i t e m & g t ; & l t ; k e y & g t ; & l t ; s t r i n g & g t ; D A T E 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5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 I n d e x ) & l t ; / s t r i n g & g t ; & l t ; / k e y & g t ; & l t ; v a l u e & g t ; & l t ; i n t & g t ; 6 & l t ; / i n t & g t ; & l t ; / v a l u e & g t ; & l t ; / i t e m & g t ; & l t ; i t e m & g t ; & l t ; k e y & g t ; & l t ; s t r i n g & g t ; D A T E   ( M o n t h )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8 e c a b 3 6 - d a 3 4 - 4 a 2 5 - a 9 a d - a 4 8 e c 5 2 1 4 f e 8 " > < C u s t o m C o n t e n t > < ! [ C D A T A [ < ? x m l   v e r s i o n = " 1 . 0 "   e n c o d i n g = " u t f - 1 6 " ? > < S e t t i n g s > < C a l c u l a t e d F i e l d s > < i t e m > < M e a s u r e N a m e > T o t a l   C a s h f l o w < / M e a s u r e N a m e > < D i s p l a y N a m e > T o t a l   C a s h f l o w < / D i s p l a y N a m e > < V i s i b l e > F a l s e < / V i s i b l e > < / i t e m > < i t e m > < M e a s u r e N a m e > T o t a l E x p e n s e s < / M e a s u r e N a m e > < D i s p l a y N a m e > T o t a l E x p e n s e s < / D i s p l a y N a m e > < V i s i b l e > F a l s e < / V i s i b l e > < / i t e m > < i t e m > < M e a s u r e N a m e > T o t a l I n c o m e < / M e a s u r e N a m e > < D i s p l a y N a m e > T o t a l I n c o m e < / D i s p l a y N a m e > < V i s i b l e > F a l s e < / V i s i b l e > < / i t e m > < i t e m > < M e a s u r e N a m e > P r e v i o u s Y e a r C a s h f l o w < / M e a s u r e N a m e > < D i s p l a y N a m e > P r e v i o u s Y e a r C a s h f l o w < / D i s p l a y N a m e > < V i s i b l e > F a l s e < / V i s i b l e > < / i t e m > < i t e m > < M e a s u r e N a m e > Y e a r O v e r Y e a r < / M e a s u r e N a m e > < D i s p l a y N a m e > Y e a r O v e r Y e a r 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-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m p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 i : t y p e = " S a n d b o x E d i t o r T a b l e W i d g e t V i e w M o d e l K e y " & g t ; & l t ; T a b l e N a m e & g t ; S a m p l e & l t ; / T a b l e N a m e & g t ; & l t ; / K e y & g t ; & l t ; M a i n t a i n e r 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 T a b l e 4 , C a l e n d a r 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 S a m p l e < / E x c e l T a b l e N a m e > < G e m i n i T a b l e I d > T a b l e 4 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Y Y Y Y - M M & l t ; / s t r i n g & g t ; & l t ; / k e y & g t ; & l t ; v a l u e & g t ; & l t ; i n t & g t ; 9 2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o n t h & l t ; / s t r i n g & g t ; & l t ; / k e y & g t ; & l t ; v a l u e & g t ; & l t ; i n t & g t ; 3 & l t ; / i n t & g t ; & l t ; / v a l u e & g t ; & l t ; / i t e m & g t ; & l t ; i t e m & g t ; & l t ; k e y & g t ; & l t ; s t r i n g & g t ; Y Y Y Y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Y Y Y Y - M M & l t ; / K e y & g t ; & l t ; / D i a g r a m O b j e c t K e y & g t ; & l t ; D i a g r a m O b j e c t K e y & g t ; & l t ; K e y & g t ; C o l u m n s \ D a y O f W e e k N u m b e r & l t ; / K e y & g t ; & l t ; / D i a g r a m O b j e c t K e y & g t ; & l t ; D i a g r a m O b j e c t K e y & g t ; & l t ; K e y & g t ; C o l u m n s \ D a y O f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- M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m p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 i : t y p e = " S a n d b o x E d i t o r M e a s u r e G r i d K e y " & g t ; & l t ; T a b l e N a m e & g t ; S a m p l e & l t ; / T a b l e N a m e & g t ; & l t ; / K e y & g t ; & l t ; M a i n t a i n e r 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 C a s h f l o w & l t ; / K e y & g t ; & l t ; / D i a g r a m O b j e c t K e y & g t ; & l t ; D i a g r a m O b j e c t K e y & g t ; & l t ; K e y & g t ; M e a s u r e s \ T o t a l   C a s h f l o w \ T a g I n f o \ F o r m u l a & l t ; / K e y & g t ; & l t ; / D i a g r a m O b j e c t K e y & g t ; & l t ; D i a g r a m O b j e c t K e y & g t ; & l t ; K e y & g t ; M e a s u r e s \ T o t a l   C a s h f l o w \ T a g I n f o \ V a l u e & l t ; / K e y & g t ; & l t ; / D i a g r a m O b j e c t K e y & g t ; & l t ; D i a g r a m O b j e c t K e y & g t ; & l t ; K e y & g t ; M e a s u r e s \ T o t a l E x p e n s e s & l t ; / K e y & g t ; & l t ; / D i a g r a m O b j e c t K e y & g t ; & l t ; D i a g r a m O b j e c t K e y & g t ; & l t ; K e y & g t ; M e a s u r e s \ T o t a l E x p e n s e s \ T a g I n f o \ F o r m u l a & l t ; / K e y & g t ; & l t ; / D i a g r a m O b j e c t K e y & g t ; & l t ; D i a g r a m O b j e c t K e y & g t ; & l t ; K e y & g t ; M e a s u r e s \ T o t a l E x p e n s e s \ T a g I n f o \ V a l u e & l t ; / K e y & g t ; & l t ; / D i a g r a m O b j e c t K e y & g t ; & l t ; D i a g r a m O b j e c t K e y & g t ; & l t ; K e y & g t ; M e a s u r e s \ T o t a l I n c o m e & l t ; / K e y & g t ; & l t ; / D i a g r a m O b j e c t K e y & g t ; & l t ; D i a g r a m O b j e c t K e y & g t ; & l t ; K e y & g t ; M e a s u r e s \ T o t a l I n c o m e \ T a g I n f o \ F o r m u l a & l t ; / K e y & g t ; & l t ; / D i a g r a m O b j e c t K e y & g t ; & l t ; D i a g r a m O b j e c t K e y & g t ; & l t ; K e y & g t ; M e a s u r e s \ T o t a l I n c o m e \ T a g I n f o \ V a l u e & l t ; / K e y & g t ; & l t ; / D i a g r a m O b j e c t K e y & g t ; & l t ; D i a g r a m O b j e c t K e y & g t ; & l t ; K e y & g t ; M e a s u r e s \ P r e v i o u s Y e a r C a s h f l o w & l t ; / K e y & g t ; & l t ; / D i a g r a m O b j e c t K e y & g t ; & l t ; D i a g r a m O b j e c t K e y & g t ; & l t ; K e y & g t ; M e a s u r e s \ P r e v i o u s Y e a r C a s h f l o w \ T a g I n f o \ F o r m u l a & l t ; / K e y & g t ; & l t ; / D i a g r a m O b j e c t K e y & g t ; & l t ; D i a g r a m O b j e c t K e y & g t ; & l t ; K e y & g t ; M e a s u r e s \ P r e v i o u s Y e a r C a s h f l o w \ T a g I n f o \ V a l u e & l t ; / K e y & g t ; & l t ; / D i a g r a m O b j e c t K e y & g t ; & l t ; D i a g r a m O b j e c t K e y & g t ; & l t ; K e y & g t ; M e a s u r e s \ Y e a r O v e r Y e a r & l t ; / K e y & g t ; & l t ; / D i a g r a m O b j e c t K e y & g t ; & l t ; D i a g r a m O b j e c t K e y & g t ; & l t ; K e y & g t ; M e a s u r e s \ Y e a r O v e r Y e a r \ T a g I n f o \ F o r m u l a & l t ; / K e y & g t ; & l t ; / D i a g r a m O b j e c t K e y & g t ; & l t ; D i a g r a m O b j e c t K e y & g t ; & l t ; K e y & g t ; M e a s u r e s \ Y e a r O v e r Y e a r \ T a g I n f o \ V a l u e & l t ; / K e y & g t ; & l t ; / D i a g r a m O b j e c t K e y & g t ; & l t ; D i a g r a m O b j e c t K e y & g t ; & l t ; K e y & g t ; C o l u m n s \ T R A N S A C T I O N   T Y P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D A T E   ( Y e a r ) & l t ; / K e y & g t ; & l t ; / D i a g r a m O b j e c t K e y & g t ; & l t ; D i a g r a m O b j e c t K e y & g t ; & l t ; K e y & g t ; C o l u m n s \ D A T E   ( Q u a r t e r ) & l t ; / K e y & g t ; & l t ; / D i a g r a m O b j e c t K e y & g t ; & l t ; D i a g r a m O b j e c t K e y & g t ; & l t ; K e y & g t ; C o l u m n s \ D A T E 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3 & l t ; / F o c u s R o w & g t ; & l t ; S e l e c t i o n E n d R o w & g t ; 3 & l t ; / S e l e c t i o n E n d R o w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 C a s h f l o w & l t ; / K e y & g t ; & l t ; / a : K e y & g t ; & l t ; a : V a l u e 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 C a s h f l o w \ T a g I n f o \ F o r m u l a & l t ; / K e y & g t ; & l t ; / a : K e y & g t ; & l t ; a : V a l u e 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 C a s h f l o w \ T a g I n f o \ V a l u e & l t ; / K e y & g t ; & l t ; / a : K e y & g t ; & l t ; a : V a l u e 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x p e n s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x p e n s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x p e n s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I n c o m e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I n c o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I n c o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C a s h f l o w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C a s h f l o w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C a s h f l o w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v e r Y e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v e r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v e r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Y D A A B Q S w M E F A A C A A g A Z a e q S v f p Z l S m A A A A + A A A A B I A H A B D b 2 5 m a W c v U G F j a 2 F n Z S 5 4 b W w g o h g A K K A U A A A A A A A A A A A A A A A A A A A A A A A A A A A A h Y + x D o I w F E V / h X S n L b V G Q x 5 l c B U 1 M T G u B C o 0 w s N A s f y b g 5 / k L 0 i i q J v j P T n D u Y / b H e K h r r y r b j v T Y E Q C y o m n M W t y g 0 V E e n v y l y R W s E u z c 1 p o b 5 S x C 4 c u j 0 h p 7 S V k z D l H 3 Y w 2 b c E E 5 w E 7 J u t 9 V u o 6 J R / Z / J d 9 g 5 1 N M d N E w e E V o w S V c y o X X F I h B b A J Q 2 L w q 4 i x m H J g P x B W f W X 7 V i t E f 7 M F N k 1 g 7 x f q C V B L A w Q U A A I A C A B l p 6 p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a e q S i i K R 7 g O A A A A E Q A A A B M A H A B G b 3 J t d W x h c y 9 T Z W N 0 a W 9 u M S 5 t I K I Y A C i g F A A A A A A A A A A A A A A A A A A A A A A A A A A A A C t O T S 7 J z M 9 T C I b Q h t Y A U E s B A i 0 A F A A C A A g A Z a e q S v f p Z l S m A A A A + A A A A B I A A A A A A A A A A A A A A A A A A A A A A E N v b m Z p Z y 9 Q Y W N r Y W d l L n h t b F B L A Q I t A B Q A A g A I A G W n q k o P y u m r p A A A A O k A A A A T A A A A A A A A A A A A A A A A A P I A A A B b Q 2 9 u d G V u d F 9 U e X B l c 1 0 u e G 1 s U E s B A i 0 A F A A C A A g A Z a e q S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t K t C n h 1 p N N h d i R N U w k W r c A A A A A A g A A A A A A E G Y A A A A B A A A g A A A A 8 E P + j / s s z G T s X V H n U 4 6 4 2 0 o X V d O 3 F a G + r b P C T 2 4 2 / W k A A A A A D o A A A A A C A A A g A A A A C C Y t J k s P P V Z 4 r 5 E q 7 Z D U h g K G m p G 3 I Z n q L / t z K H 7 b L m F Q A A A A g / u k B 2 g x F q b P u E G s W s L e f s b n f E n q S / + t I s R G f q O k t T c + L V 4 U p Q h 6 8 / 8 x m 0 7 P j b F g o Y t x d z z G 3 f D Z 3 n 3 c w 0 c v 9 x P 0 4 c + c T q y c P v I x w g q 3 t 6 9 A A A A A F V w M a T D h L p O g 8 C 8 d 1 k 3 L c k V q 4 n S R F I V t i e 0 R T y T R g O k L r K k 8 3 F p t J J D Z p W L p q 3 4 X 6 y R H 6 4 T f W W 4 + w x e s U W s E D w = = < / D a t a M a s h u p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 2 0 1 6 - 0 1 - 2 4 T 0 9 : 4 7 : 1 8 . 9 7 0 2 2 8 3 + 0 2 : 0 0 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C197BB2B-B82F-4663-9558-680EE5E31BA6}">
  <ds:schemaRefs/>
</ds:datastoreItem>
</file>

<file path=customXml/itemProps10.xml><?xml version="1.0" encoding="utf-8"?>
<ds:datastoreItem xmlns:ds="http://schemas.openxmlformats.org/officeDocument/2006/customXml" ds:itemID="{0B6200C4-7110-4168-AA00-ED194CFBF632}">
  <ds:schemaRefs/>
</ds:datastoreItem>
</file>

<file path=customXml/itemProps11.xml><?xml version="1.0" encoding="utf-8"?>
<ds:datastoreItem xmlns:ds="http://schemas.openxmlformats.org/officeDocument/2006/customXml" ds:itemID="{FF96B8C6-22F1-44EC-9BF4-CE6BE9A1DF51}">
  <ds:schemaRefs/>
</ds:datastoreItem>
</file>

<file path=customXml/itemProps12.xml><?xml version="1.0" encoding="utf-8"?>
<ds:datastoreItem xmlns:ds="http://schemas.openxmlformats.org/officeDocument/2006/customXml" ds:itemID="{F1CFC62B-6364-472D-80B9-39BF7D6A3127}">
  <ds:schemaRefs/>
</ds:datastoreItem>
</file>

<file path=customXml/itemProps13.xml><?xml version="1.0" encoding="utf-8"?>
<ds:datastoreItem xmlns:ds="http://schemas.openxmlformats.org/officeDocument/2006/customXml" ds:itemID="{BE0C9CB5-76EA-42F5-ACFC-E5BF59E1F523}">
  <ds:schemaRefs/>
</ds:datastoreItem>
</file>

<file path=customXml/itemProps14.xml><?xml version="1.0" encoding="utf-8"?>
<ds:datastoreItem xmlns:ds="http://schemas.openxmlformats.org/officeDocument/2006/customXml" ds:itemID="{83B6188A-07D8-43C0-8731-3A0ACAC5C18F}">
  <ds:schemaRefs/>
</ds:datastoreItem>
</file>

<file path=customXml/itemProps15.xml><?xml version="1.0" encoding="utf-8"?>
<ds:datastoreItem xmlns:ds="http://schemas.openxmlformats.org/officeDocument/2006/customXml" ds:itemID="{8306C556-9BD3-4C97-973C-29BF2C95E6FB}">
  <ds:schemaRefs/>
</ds:datastoreItem>
</file>

<file path=customXml/itemProps16.xml><?xml version="1.0" encoding="utf-8"?>
<ds:datastoreItem xmlns:ds="http://schemas.openxmlformats.org/officeDocument/2006/customXml" ds:itemID="{174779A8-457E-49FA-A4A6-2ADFD4104CCE}">
  <ds:schemaRefs/>
</ds:datastoreItem>
</file>

<file path=customXml/itemProps17.xml><?xml version="1.0" encoding="utf-8"?>
<ds:datastoreItem xmlns:ds="http://schemas.openxmlformats.org/officeDocument/2006/customXml" ds:itemID="{64DFA6AF-C40E-4593-A612-E979A431CB35}">
  <ds:schemaRefs/>
</ds:datastoreItem>
</file>

<file path=customXml/itemProps18.xml><?xml version="1.0" encoding="utf-8"?>
<ds:datastoreItem xmlns:ds="http://schemas.openxmlformats.org/officeDocument/2006/customXml" ds:itemID="{C8DD2ADB-0F74-49F3-9729-201E39044AAA}">
  <ds:schemaRefs/>
</ds:datastoreItem>
</file>

<file path=customXml/itemProps19.xml><?xml version="1.0" encoding="utf-8"?>
<ds:datastoreItem xmlns:ds="http://schemas.openxmlformats.org/officeDocument/2006/customXml" ds:itemID="{5D80AF67-20CD-4138-93EF-BA5EBC0D8AD1}">
  <ds:schemaRefs/>
</ds:datastoreItem>
</file>

<file path=customXml/itemProps2.xml><?xml version="1.0" encoding="utf-8"?>
<ds:datastoreItem xmlns:ds="http://schemas.openxmlformats.org/officeDocument/2006/customXml" ds:itemID="{90C1B072-6633-4458-97EE-CE7359C12A3F}">
  <ds:schemaRefs/>
</ds:datastoreItem>
</file>

<file path=customXml/itemProps20.xml><?xml version="1.0" encoding="utf-8"?>
<ds:datastoreItem xmlns:ds="http://schemas.openxmlformats.org/officeDocument/2006/customXml" ds:itemID="{98F27530-7DEE-4732-BF4E-AC6A65D4193E}">
  <ds:schemaRefs/>
</ds:datastoreItem>
</file>

<file path=customXml/itemProps21.xml><?xml version="1.0" encoding="utf-8"?>
<ds:datastoreItem xmlns:ds="http://schemas.openxmlformats.org/officeDocument/2006/customXml" ds:itemID="{DB184588-655A-44B1-B942-929A8EEFD5A6}">
  <ds:schemaRefs/>
</ds:datastoreItem>
</file>

<file path=customXml/itemProps22.xml><?xml version="1.0" encoding="utf-8"?>
<ds:datastoreItem xmlns:ds="http://schemas.openxmlformats.org/officeDocument/2006/customXml" ds:itemID="{6A2526ED-55D3-49F4-8DC0-471F3CB6EEDF}">
  <ds:schemaRefs/>
</ds:datastoreItem>
</file>

<file path=customXml/itemProps3.xml><?xml version="1.0" encoding="utf-8"?>
<ds:datastoreItem xmlns:ds="http://schemas.openxmlformats.org/officeDocument/2006/customXml" ds:itemID="{82E81510-E447-4DC5-B149-A1C593CB5586}">
  <ds:schemaRefs/>
</ds:datastoreItem>
</file>

<file path=customXml/itemProps4.xml><?xml version="1.0" encoding="utf-8"?>
<ds:datastoreItem xmlns:ds="http://schemas.openxmlformats.org/officeDocument/2006/customXml" ds:itemID="{6EF26290-FEB4-4FD4-9521-96BC7139FA90}">
  <ds:schemaRefs/>
</ds:datastoreItem>
</file>

<file path=customXml/itemProps5.xml><?xml version="1.0" encoding="utf-8"?>
<ds:datastoreItem xmlns:ds="http://schemas.openxmlformats.org/officeDocument/2006/customXml" ds:itemID="{956EFBEC-ADA9-4999-9FF2-6BF4E41DF59F}">
  <ds:schemaRefs/>
</ds:datastoreItem>
</file>

<file path=customXml/itemProps6.xml><?xml version="1.0" encoding="utf-8"?>
<ds:datastoreItem xmlns:ds="http://schemas.openxmlformats.org/officeDocument/2006/customXml" ds:itemID="{D20C94A0-C3C5-4D85-92C2-6828630A0235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0AB24D82-F161-4043-8A61-7BA326410337}">
  <ds:schemaRefs/>
</ds:datastoreItem>
</file>

<file path=customXml/itemProps8.xml><?xml version="1.0" encoding="utf-8"?>
<ds:datastoreItem xmlns:ds="http://schemas.openxmlformats.org/officeDocument/2006/customXml" ds:itemID="{AF5770D3-E8DB-4FF2-988E-81E47146FE1D}">
  <ds:schemaRefs/>
</ds:datastoreItem>
</file>

<file path=customXml/itemProps9.xml><?xml version="1.0" encoding="utf-8"?>
<ds:datastoreItem xmlns:ds="http://schemas.openxmlformats.org/officeDocument/2006/customXml" ds:itemID="{050F48B9-4468-463B-8185-87602B0C3E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Year summary</vt:lpstr>
      <vt:lpstr>Monthly summary</vt:lpstr>
      <vt:lpstr>Expenses details</vt:lpstr>
      <vt:lpstr>asas</vt:lpstr>
      <vt:lpstr>'Monthly summary'!Print_Titles</vt:lpstr>
      <vt:lpstr>'Year summary'!Print_Titles</vt:lpstr>
      <vt:lpstr>YearBudjet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 Tognoni</dc:creator>
  <cp:lastModifiedBy>Matias Gonzalez Tognoni</cp:lastModifiedBy>
  <dcterms:created xsi:type="dcterms:W3CDTF">2016-11-16T22:43:58Z</dcterms:created>
  <dcterms:modified xsi:type="dcterms:W3CDTF">2019-12-02T22:50:13Z</dcterms:modified>
</cp:coreProperties>
</file>