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lsanghvi/Downloads/"/>
    </mc:Choice>
  </mc:AlternateContent>
  <xr:revisionPtr revIDLastSave="0" documentId="13_ncr:1_{78AE8242-3992-9A46-A9EA-360889000AEE}" xr6:coauthVersionLast="47" xr6:coauthVersionMax="47" xr10:uidLastSave="{00000000-0000-0000-0000-000000000000}"/>
  <bookViews>
    <workbookView xWindow="0" yWindow="480" windowWidth="28800" windowHeight="17520" tabRatio="697" activeTab="7" xr2:uid="{00000000-000D-0000-FFFF-FFFF00000000}"/>
  </bookViews>
  <sheets>
    <sheet name="Copyright" sheetId="13" r:id="rId1"/>
    <sheet name="Instructions" sheetId="14" r:id="rId2"/>
    <sheet name="Raw Data" sheetId="1" r:id="rId3"/>
    <sheet name="One-time Purchase" sheetId="2" r:id="rId4"/>
    <sheet name="One-time Purchase Leaders" sheetId="3" r:id="rId5"/>
    <sheet name="LTV" sheetId="7" r:id="rId6"/>
    <sheet name="LTV Leaders" sheetId="8" r:id="rId7"/>
    <sheet name="Output" sheetId="5" r:id="rId8"/>
  </sheets>
  <definedNames>
    <definedName name="_xlnm._FilterDatabase" localSheetId="3" hidden="1">'One-time Purchase'!$B$2:$E$2</definedName>
    <definedName name="Exhibit_01">#REF!</definedName>
    <definedName name="Exhibit_02">#REF!</definedName>
    <definedName name="Exhibit_03">#REF!</definedName>
    <definedName name="Exhibit_04">#REF!</definedName>
    <definedName name="Exhibit_05">#REF!</definedName>
    <definedName name="Exhibit_06">#REF!</definedName>
    <definedName name="Exhibit_07">#REF!</definedName>
    <definedName name="Exhibit_08">#REF!</definedName>
    <definedName name="Exhibit_0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3" i="8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3" i="7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" i="2"/>
  <c r="C4" i="2"/>
  <c r="E4" i="2" s="1"/>
  <c r="C5" i="2"/>
  <c r="C6" i="2"/>
  <c r="C7" i="2"/>
  <c r="C8" i="2"/>
  <c r="C9" i="2"/>
  <c r="C10" i="2"/>
  <c r="E10" i="2" s="1"/>
  <c r="C11" i="2"/>
  <c r="C12" i="2"/>
  <c r="E12" i="2" s="1"/>
  <c r="C13" i="2"/>
  <c r="C14" i="2"/>
  <c r="C15" i="2"/>
  <c r="C16" i="2"/>
  <c r="C17" i="2"/>
  <c r="C18" i="2"/>
  <c r="E18" i="2" s="1"/>
  <c r="C19" i="2"/>
  <c r="C20" i="2"/>
  <c r="E20" i="2" s="1"/>
  <c r="C21" i="2"/>
  <c r="C22" i="2"/>
  <c r="C23" i="2"/>
  <c r="C24" i="2"/>
  <c r="C25" i="2"/>
  <c r="C26" i="2"/>
  <c r="E26" i="2" s="1"/>
  <c r="C27" i="2"/>
  <c r="C28" i="2"/>
  <c r="E28" i="2" s="1"/>
  <c r="C29" i="2"/>
  <c r="C30" i="2"/>
  <c r="C31" i="2"/>
  <c r="C32" i="2"/>
  <c r="C33" i="2"/>
  <c r="C34" i="2"/>
  <c r="E34" i="2" s="1"/>
  <c r="C35" i="2"/>
  <c r="C36" i="2"/>
  <c r="E36" i="2" s="1"/>
  <c r="C37" i="2"/>
  <c r="C38" i="2"/>
  <c r="C39" i="2"/>
  <c r="C40" i="2"/>
  <c r="C41" i="2"/>
  <c r="C42" i="2"/>
  <c r="E42" i="2" s="1"/>
  <c r="C43" i="2"/>
  <c r="C44" i="2"/>
  <c r="E44" i="2" s="1"/>
  <c r="C45" i="2"/>
  <c r="C46" i="2"/>
  <c r="C47" i="2"/>
  <c r="C48" i="2"/>
  <c r="C49" i="2"/>
  <c r="E49" i="2" s="1"/>
  <c r="C50" i="2"/>
  <c r="E50" i="2" s="1"/>
  <c r="C51" i="2"/>
  <c r="C52" i="2"/>
  <c r="E52" i="2" s="1"/>
  <c r="C3" i="2"/>
  <c r="E41" i="2" l="1"/>
  <c r="E33" i="2"/>
  <c r="E25" i="2"/>
  <c r="E17" i="2"/>
  <c r="E51" i="2"/>
  <c r="E43" i="2"/>
  <c r="E35" i="2"/>
  <c r="E27" i="2"/>
  <c r="E19" i="2"/>
  <c r="E11" i="2"/>
  <c r="E3" i="2"/>
  <c r="E45" i="2"/>
  <c r="E37" i="2"/>
  <c r="E29" i="2"/>
  <c r="E21" i="2"/>
  <c r="E13" i="2"/>
  <c r="E5" i="2"/>
  <c r="E46" i="2"/>
  <c r="E38" i="2"/>
  <c r="E22" i="2"/>
  <c r="E14" i="2"/>
  <c r="E6" i="2"/>
  <c r="E48" i="2"/>
  <c r="E40" i="2"/>
  <c r="E32" i="2"/>
  <c r="E24" i="2"/>
  <c r="E16" i="2"/>
  <c r="E15" i="2"/>
  <c r="E7" i="2"/>
  <c r="E47" i="2"/>
  <c r="E23" i="2"/>
  <c r="E31" i="2"/>
  <c r="E9" i="2"/>
  <c r="E39" i="2"/>
  <c r="E8" i="2"/>
  <c r="E30" i="2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3" i="7"/>
  <c r="I4" i="3" l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B4" i="8"/>
  <c r="B5" i="8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B4" i="3"/>
  <c r="B5" i="3" s="1"/>
  <c r="B6" i="3" s="1"/>
  <c r="D4" i="7"/>
  <c r="D3" i="7"/>
  <c r="H23" i="3" l="1"/>
  <c r="I3" i="3"/>
  <c r="C3" i="7"/>
  <c r="B6" i="8"/>
  <c r="C22" i="7"/>
  <c r="C49" i="7"/>
  <c r="D10" i="7"/>
  <c r="D18" i="7"/>
  <c r="D22" i="7"/>
  <c r="D26" i="7"/>
  <c r="C18" i="7"/>
  <c r="C41" i="7"/>
  <c r="C7" i="7"/>
  <c r="D14" i="7"/>
  <c r="D7" i="7"/>
  <c r="C8" i="7"/>
  <c r="C11" i="7"/>
  <c r="C15" i="7"/>
  <c r="C19" i="7"/>
  <c r="C23" i="7"/>
  <c r="C30" i="7"/>
  <c r="C34" i="7"/>
  <c r="C38" i="7"/>
  <c r="C42" i="7"/>
  <c r="C46" i="7"/>
  <c r="C50" i="7"/>
  <c r="D9" i="7"/>
  <c r="C26" i="7"/>
  <c r="D11" i="7"/>
  <c r="D15" i="7"/>
  <c r="D19" i="7"/>
  <c r="D23" i="7"/>
  <c r="C27" i="7"/>
  <c r="C14" i="7"/>
  <c r="C37" i="7"/>
  <c r="D6" i="7"/>
  <c r="C9" i="7"/>
  <c r="D5" i="7"/>
  <c r="C12" i="7"/>
  <c r="C16" i="7"/>
  <c r="C20" i="7"/>
  <c r="C24" i="7"/>
  <c r="C31" i="7"/>
  <c r="C35" i="7"/>
  <c r="C39" i="7"/>
  <c r="C43" i="7"/>
  <c r="C47" i="7"/>
  <c r="C51" i="7"/>
  <c r="C6" i="7"/>
  <c r="C29" i="7"/>
  <c r="C45" i="7"/>
  <c r="D16" i="7"/>
  <c r="D24" i="7"/>
  <c r="C10" i="7"/>
  <c r="C33" i="7"/>
  <c r="D8" i="7"/>
  <c r="D12" i="7"/>
  <c r="D20" i="7"/>
  <c r="C4" i="7"/>
  <c r="C13" i="7"/>
  <c r="C17" i="7"/>
  <c r="C21" i="7"/>
  <c r="C25" i="7"/>
  <c r="C28" i="7"/>
  <c r="C32" i="7"/>
  <c r="C36" i="7"/>
  <c r="C40" i="7"/>
  <c r="C44" i="7"/>
  <c r="C48" i="7"/>
  <c r="C5" i="7"/>
  <c r="D13" i="7"/>
  <c r="D17" i="7"/>
  <c r="D21" i="7"/>
  <c r="D25" i="7"/>
  <c r="C52" i="7"/>
  <c r="B7" i="3"/>
  <c r="B40" i="5" l="1"/>
  <c r="D7" i="3"/>
  <c r="D5" i="3"/>
  <c r="D6" i="3"/>
  <c r="E3" i="7"/>
  <c r="D4" i="3"/>
  <c r="B7" i="8"/>
  <c r="E4" i="7"/>
  <c r="E5" i="7"/>
  <c r="E12" i="7"/>
  <c r="E23" i="7"/>
  <c r="E9" i="7"/>
  <c r="E20" i="7"/>
  <c r="E10" i="7"/>
  <c r="E17" i="7"/>
  <c r="E16" i="7"/>
  <c r="E7" i="7"/>
  <c r="E19" i="7"/>
  <c r="E25" i="7"/>
  <c r="E21" i="7"/>
  <c r="E15" i="7"/>
  <c r="E11" i="7"/>
  <c r="E22" i="7"/>
  <c r="E13" i="7"/>
  <c r="E6" i="7"/>
  <c r="E14" i="7"/>
  <c r="E26" i="7"/>
  <c r="E8" i="7"/>
  <c r="E18" i="7"/>
  <c r="E24" i="7"/>
  <c r="B8" i="3"/>
  <c r="C23" i="8" l="1"/>
  <c r="B19" i="5"/>
  <c r="B16" i="5"/>
  <c r="B17" i="5"/>
  <c r="B18" i="5"/>
  <c r="E31" i="7"/>
  <c r="D31" i="7"/>
  <c r="E41" i="7"/>
  <c r="D41" i="7"/>
  <c r="E27" i="7"/>
  <c r="D27" i="7"/>
  <c r="E47" i="7"/>
  <c r="D47" i="7"/>
  <c r="E49" i="7"/>
  <c r="D49" i="7"/>
  <c r="E36" i="7"/>
  <c r="D36" i="7"/>
  <c r="E33" i="7"/>
  <c r="D33" i="7"/>
  <c r="E45" i="7"/>
  <c r="D45" i="7"/>
  <c r="E44" i="7"/>
  <c r="D44" i="7"/>
  <c r="E28" i="7"/>
  <c r="D28" i="7"/>
  <c r="E34" i="7"/>
  <c r="D34" i="7"/>
  <c r="E43" i="7"/>
  <c r="D43" i="7"/>
  <c r="E37" i="7"/>
  <c r="D37" i="7"/>
  <c r="E51" i="7"/>
  <c r="D51" i="7"/>
  <c r="E39" i="7"/>
  <c r="D39" i="7"/>
  <c r="E42" i="7"/>
  <c r="D42" i="7"/>
  <c r="E29" i="7"/>
  <c r="D29" i="7"/>
  <c r="E30" i="7"/>
  <c r="D30" i="7"/>
  <c r="E32" i="7"/>
  <c r="D32" i="7"/>
  <c r="E38" i="7"/>
  <c r="D38" i="7"/>
  <c r="E40" i="7"/>
  <c r="D40" i="7"/>
  <c r="E50" i="7"/>
  <c r="D50" i="7"/>
  <c r="E52" i="7"/>
  <c r="D52" i="7"/>
  <c r="E46" i="7"/>
  <c r="D46" i="7"/>
  <c r="E48" i="7"/>
  <c r="D48" i="7"/>
  <c r="E35" i="7"/>
  <c r="D35" i="7"/>
  <c r="D8" i="3"/>
  <c r="B8" i="8"/>
  <c r="B9" i="3"/>
  <c r="D9" i="3" s="1"/>
  <c r="C18" i="5" l="1"/>
  <c r="C16" i="5"/>
  <c r="C17" i="5"/>
  <c r="C19" i="5"/>
  <c r="B21" i="5"/>
  <c r="B20" i="5"/>
  <c r="I6" i="3"/>
  <c r="I8" i="3"/>
  <c r="I9" i="3"/>
  <c r="I5" i="3"/>
  <c r="I7" i="3"/>
  <c r="B9" i="8"/>
  <c r="B10" i="3"/>
  <c r="D10" i="3" s="1"/>
  <c r="C21" i="5" l="1"/>
  <c r="H23" i="8"/>
  <c r="B22" i="5"/>
  <c r="C20" i="5"/>
  <c r="I10" i="3"/>
  <c r="C40" i="5"/>
  <c r="B42" i="5"/>
  <c r="B41" i="5"/>
  <c r="B43" i="5"/>
  <c r="B44" i="5"/>
  <c r="B45" i="5"/>
  <c r="B46" i="5"/>
  <c r="B10" i="8"/>
  <c r="B11" i="3"/>
  <c r="C43" i="5" l="1"/>
  <c r="C22" i="5"/>
  <c r="I11" i="3"/>
  <c r="B47" i="5"/>
  <c r="B11" i="8"/>
  <c r="B12" i="3"/>
  <c r="D12" i="3" l="1"/>
  <c r="I12" i="3"/>
  <c r="D11" i="3"/>
  <c r="B48" i="5"/>
  <c r="B12" i="8"/>
  <c r="B13" i="3"/>
  <c r="B24" i="5" l="1"/>
  <c r="B23" i="5"/>
  <c r="D13" i="3"/>
  <c r="I13" i="3"/>
  <c r="B49" i="5"/>
  <c r="B13" i="8"/>
  <c r="C46" i="5"/>
  <c r="B14" i="3"/>
  <c r="C23" i="5" l="1"/>
  <c r="C24" i="5"/>
  <c r="B25" i="5"/>
  <c r="D14" i="3"/>
  <c r="I14" i="3"/>
  <c r="B50" i="5"/>
  <c r="B14" i="8"/>
  <c r="C44" i="5"/>
  <c r="B15" i="3"/>
  <c r="C25" i="5" l="1"/>
  <c r="B26" i="5"/>
  <c r="D15" i="3"/>
  <c r="I15" i="3"/>
  <c r="B51" i="5"/>
  <c r="B15" i="8"/>
  <c r="B16" i="3"/>
  <c r="B27" i="5" l="1"/>
  <c r="C26" i="5"/>
  <c r="D16" i="3"/>
  <c r="I16" i="3"/>
  <c r="B52" i="5"/>
  <c r="B16" i="8"/>
  <c r="C42" i="5"/>
  <c r="B17" i="3"/>
  <c r="B28" i="5" l="1"/>
  <c r="C27" i="5"/>
  <c r="D17" i="3"/>
  <c r="I17" i="3"/>
  <c r="B53" i="5"/>
  <c r="B17" i="8"/>
  <c r="B18" i="3"/>
  <c r="B29" i="5" l="1"/>
  <c r="C28" i="5"/>
  <c r="D18" i="3"/>
  <c r="I18" i="3"/>
  <c r="B54" i="5"/>
  <c r="B18" i="8"/>
  <c r="B19" i="3"/>
  <c r="B30" i="5" l="1"/>
  <c r="C29" i="5"/>
  <c r="D19" i="3"/>
  <c r="I19" i="3"/>
  <c r="B55" i="5"/>
  <c r="B19" i="8"/>
  <c r="B20" i="3"/>
  <c r="C55" i="5" l="1"/>
  <c r="B31" i="5"/>
  <c r="C30" i="5"/>
  <c r="D20" i="3"/>
  <c r="I20" i="3"/>
  <c r="B56" i="5"/>
  <c r="B20" i="8"/>
  <c r="B21" i="3"/>
  <c r="B32" i="5" l="1"/>
  <c r="C31" i="5"/>
  <c r="C56" i="5"/>
  <c r="D21" i="3"/>
  <c r="I21" i="3"/>
  <c r="B57" i="5"/>
  <c r="B21" i="8"/>
  <c r="B22" i="3"/>
  <c r="C32" i="5" l="1"/>
  <c r="B33" i="5"/>
  <c r="B58" i="5"/>
  <c r="B22" i="8"/>
  <c r="C49" i="5"/>
  <c r="C58" i="5" l="1"/>
  <c r="C33" i="5"/>
  <c r="I22" i="3"/>
  <c r="J23" i="3" s="1"/>
  <c r="N4" i="3"/>
  <c r="D22" i="3"/>
  <c r="E23" i="3" l="1"/>
  <c r="M4" i="3" s="1"/>
  <c r="C7" i="5" s="1"/>
  <c r="B34" i="5"/>
  <c r="D7" i="5"/>
  <c r="N3" i="3"/>
  <c r="B59" i="5"/>
  <c r="C34" i="5" l="1"/>
  <c r="E7" i="5"/>
  <c r="O4" i="3"/>
  <c r="D6" i="5"/>
  <c r="C50" i="5" l="1"/>
  <c r="C57" i="5" l="1"/>
  <c r="C54" i="5" l="1"/>
  <c r="C48" i="5" l="1"/>
  <c r="C47" i="5" l="1"/>
  <c r="C45" i="5" l="1"/>
  <c r="C53" i="5" l="1"/>
  <c r="C41" i="5" l="1"/>
  <c r="C59" i="5" l="1"/>
  <c r="C51" i="5" l="1"/>
  <c r="C52" i="5" l="1"/>
  <c r="D6" i="8" l="1"/>
  <c r="D18" i="8"/>
  <c r="D4" i="8"/>
  <c r="D15" i="8"/>
  <c r="D12" i="8"/>
  <c r="D16" i="8"/>
  <c r="D5" i="8"/>
  <c r="D17" i="8"/>
  <c r="D3" i="8"/>
  <c r="G15" i="5" s="1"/>
  <c r="D11" i="8"/>
  <c r="G17" i="5" l="1"/>
  <c r="H17" i="5" s="1"/>
  <c r="G27" i="5"/>
  <c r="H27" i="5" s="1"/>
  <c r="G28" i="5"/>
  <c r="H28" i="5" s="1"/>
  <c r="G16" i="5"/>
  <c r="H16" i="5" s="1"/>
  <c r="G29" i="5"/>
  <c r="H29" i="5" s="1"/>
  <c r="G23" i="5"/>
  <c r="H23" i="5" s="1"/>
  <c r="G30" i="5"/>
  <c r="H30" i="5" s="1"/>
  <c r="G24" i="5"/>
  <c r="H24" i="5" s="1"/>
  <c r="G18" i="5"/>
  <c r="H18" i="5" s="1"/>
  <c r="D19" i="8"/>
  <c r="D9" i="8"/>
  <c r="D13" i="8"/>
  <c r="D20" i="8"/>
  <c r="D14" i="8"/>
  <c r="D21" i="8"/>
  <c r="D8" i="8"/>
  <c r="D10" i="8"/>
  <c r="D7" i="8"/>
  <c r="D22" i="8"/>
  <c r="I7" i="8"/>
  <c r="M3" i="8"/>
  <c r="C9" i="5" s="1"/>
  <c r="G32" i="5" l="1"/>
  <c r="H32" i="5" s="1"/>
  <c r="G21" i="5"/>
  <c r="H21" i="5" s="1"/>
  <c r="G19" i="5"/>
  <c r="H19" i="5" s="1"/>
  <c r="E23" i="8"/>
  <c r="M4" i="8" s="1"/>
  <c r="C10" i="5" s="1"/>
  <c r="G44" i="5"/>
  <c r="H44" i="5" s="1"/>
  <c r="G34" i="5"/>
  <c r="H34" i="5" s="1"/>
  <c r="G31" i="5"/>
  <c r="H31" i="5" s="1"/>
  <c r="G20" i="5"/>
  <c r="H20" i="5" s="1"/>
  <c r="G25" i="5"/>
  <c r="H25" i="5" s="1"/>
  <c r="G22" i="5"/>
  <c r="H22" i="5" s="1"/>
  <c r="G33" i="5"/>
  <c r="H33" i="5" s="1"/>
  <c r="G26" i="5"/>
  <c r="H26" i="5" s="1"/>
  <c r="H15" i="5"/>
  <c r="I15" i="8"/>
  <c r="I8" i="8"/>
  <c r="I18" i="8"/>
  <c r="I17" i="8"/>
  <c r="I11" i="8"/>
  <c r="I13" i="8"/>
  <c r="I20" i="8"/>
  <c r="I14" i="8"/>
  <c r="I10" i="8"/>
  <c r="I9" i="8"/>
  <c r="I12" i="8"/>
  <c r="I16" i="8"/>
  <c r="I22" i="8"/>
  <c r="I6" i="8"/>
  <c r="I4" i="8"/>
  <c r="I21" i="8"/>
  <c r="I5" i="8"/>
  <c r="I19" i="8"/>
  <c r="I3" i="8"/>
  <c r="C60" i="5"/>
  <c r="N4" i="8"/>
  <c r="J54" i="5" l="1"/>
  <c r="J51" i="5"/>
  <c r="J21" i="5"/>
  <c r="J34" i="5"/>
  <c r="J20" i="5"/>
  <c r="J59" i="5"/>
  <c r="J19" i="5"/>
  <c r="J58" i="5"/>
  <c r="J50" i="5"/>
  <c r="J47" i="5"/>
  <c r="J26" i="5"/>
  <c r="J33" i="5"/>
  <c r="J25" i="5"/>
  <c r="J30" i="5"/>
  <c r="J55" i="5"/>
  <c r="J41" i="5"/>
  <c r="J29" i="5"/>
  <c r="J43" i="5"/>
  <c r="H35" i="5"/>
  <c r="G58" i="5"/>
  <c r="H58" i="5" s="1"/>
  <c r="G57" i="5"/>
  <c r="H57" i="5" s="1"/>
  <c r="J46" i="5"/>
  <c r="J18" i="5"/>
  <c r="G51" i="5"/>
  <c r="H51" i="5" s="1"/>
  <c r="G41" i="5"/>
  <c r="H41" i="5" s="1"/>
  <c r="G59" i="5"/>
  <c r="H59" i="5" s="1"/>
  <c r="G50" i="5"/>
  <c r="H50" i="5" s="1"/>
  <c r="G54" i="5"/>
  <c r="H54" i="5" s="1"/>
  <c r="J57" i="5"/>
  <c r="J28" i="5"/>
  <c r="J23" i="5"/>
  <c r="J42" i="5"/>
  <c r="J16" i="5"/>
  <c r="G49" i="5"/>
  <c r="H49" i="5" s="1"/>
  <c r="G55" i="5"/>
  <c r="H55" i="5" s="1"/>
  <c r="J32" i="5"/>
  <c r="J53" i="5"/>
  <c r="J24" i="5"/>
  <c r="J22" i="5"/>
  <c r="J17" i="5"/>
  <c r="G43" i="5"/>
  <c r="H43" i="5" s="1"/>
  <c r="G40" i="5"/>
  <c r="H40" i="5" s="1"/>
  <c r="G56" i="5"/>
  <c r="H56" i="5" s="1"/>
  <c r="G46" i="5"/>
  <c r="H46" i="5" s="1"/>
  <c r="G45" i="5"/>
  <c r="H45" i="5" s="1"/>
  <c r="J56" i="5"/>
  <c r="J27" i="5"/>
  <c r="J49" i="5"/>
  <c r="J44" i="5"/>
  <c r="J40" i="5"/>
  <c r="G48" i="5"/>
  <c r="H48" i="5" s="1"/>
  <c r="G53" i="5"/>
  <c r="H53" i="5" s="1"/>
  <c r="G42" i="5"/>
  <c r="H42" i="5" s="1"/>
  <c r="G47" i="5"/>
  <c r="H47" i="5" s="1"/>
  <c r="G52" i="5"/>
  <c r="H52" i="5" s="1"/>
  <c r="J31" i="5"/>
  <c r="J52" i="5"/>
  <c r="J48" i="5"/>
  <c r="J45" i="5"/>
  <c r="D10" i="5"/>
  <c r="O4" i="8"/>
  <c r="H60" i="5" l="1"/>
  <c r="D60" i="5" s="1"/>
  <c r="J23" i="8"/>
  <c r="N3" i="8" s="1"/>
  <c r="E10" i="5"/>
  <c r="O3" i="8" l="1"/>
  <c r="D9" i="5"/>
  <c r="E9" i="5" s="1"/>
  <c r="C23" i="3" l="1"/>
  <c r="M3" i="3" s="1"/>
  <c r="D3" i="3"/>
  <c r="B15" i="5" s="1"/>
  <c r="C15" i="5" l="1"/>
  <c r="C35" i="5" s="1"/>
  <c r="D35" i="5" s="1"/>
  <c r="J15" i="5"/>
  <c r="O3" i="3"/>
  <c r="C6" i="5"/>
  <c r="E6" i="5" s="1"/>
</calcChain>
</file>

<file path=xl/sharedStrings.xml><?xml version="1.0" encoding="utf-8"?>
<sst xmlns="http://schemas.openxmlformats.org/spreadsheetml/2006/main" count="121" uniqueCount="69">
  <si>
    <t>SKU</t>
  </si>
  <si>
    <t>Margin</t>
  </si>
  <si>
    <t>Profit</t>
  </si>
  <si>
    <t>Loyalty</t>
  </si>
  <si>
    <t>Profit LTV</t>
  </si>
  <si>
    <t>Revenue LTV</t>
  </si>
  <si>
    <t>Revenue Leaders</t>
  </si>
  <si>
    <t>Profit Leaders</t>
  </si>
  <si>
    <t>LTV</t>
  </si>
  <si>
    <t>Total</t>
  </si>
  <si>
    <t>SKU Profit</t>
  </si>
  <si>
    <t>Revenue</t>
  </si>
  <si>
    <t>#</t>
  </si>
  <si>
    <t>Total:</t>
  </si>
  <si>
    <t>SKU Revenue</t>
  </si>
  <si>
    <t>Don’t Change</t>
  </si>
  <si>
    <t>For Calculation</t>
  </si>
  <si>
    <t>Key Output</t>
  </si>
  <si>
    <t>One Purchase</t>
  </si>
  <si>
    <t>Delta</t>
  </si>
  <si>
    <t>LTV Profit</t>
  </si>
  <si>
    <t>discount rate</t>
  </si>
  <si>
    <t>LTV Profit Leaders</t>
  </si>
  <si>
    <t>This courseware  was prepared solely as the basis for class discussion. Copyright © 2021 President and Fellows of Harvard College. To order copies or request permission to reproduce materials, call 1-800-545-7685, write Harvard Business School Publishing, Boston, MA 02163, or go to www.hbsp.harvard.edu/educators. This publication may not be digitized, photocopied, or otherwise reproduced, posted, or transmitted, without the permission of Harvard Business School.</t>
  </si>
  <si>
    <t>ASSIGNMENT INSTRUCTIONS:</t>
  </si>
  <si>
    <t>In this exercise, you will examine revenue and profit forecasts for 50 SKUs, both for one-time purchases and lifetime value (LTV). Based on the calculations you will come up with 20 SKUs that should be included on the digital shelf.</t>
  </si>
  <si>
    <t>1. The "One-time Purchase" tab will allow you to caluclate profits and revenues for each SKU</t>
  </si>
  <si>
    <t>2. The "One-time Purchase Leaders" tab allows you to identify the top 20 SKUs in terms of revenue and profit based on your calculations in the "One-time Purchase" tab</t>
  </si>
  <si>
    <r>
      <t xml:space="preserve">1.a. In cells </t>
    </r>
    <r>
      <rPr>
        <b/>
        <sz val="12"/>
        <color theme="1"/>
        <rFont val="Calibri"/>
        <family val="2"/>
        <scheme val="minor"/>
      </rPr>
      <t>C3:C52</t>
    </r>
    <r>
      <rPr>
        <sz val="12"/>
        <color theme="1"/>
        <rFont val="Calibri"/>
        <family val="2"/>
        <scheme val="minor"/>
      </rPr>
      <t xml:space="preserve"> import the revenues for each SKU from the "Raw Data" tab. You can use the excel built-in VLOOKUP function, or a combination of the INDEX and MATCH functions.</t>
    </r>
  </si>
  <si>
    <r>
      <t xml:space="preserve">1.c. In cells </t>
    </r>
    <r>
      <rPr>
        <b/>
        <sz val="12"/>
        <color theme="1"/>
        <rFont val="Calibri"/>
        <family val="2"/>
        <scheme val="minor"/>
      </rPr>
      <t>E3:E52</t>
    </r>
    <r>
      <rPr>
        <sz val="12"/>
        <color theme="1"/>
        <rFont val="Calibri"/>
        <family val="2"/>
        <scheme val="minor"/>
      </rPr>
      <t>, calculate the profit as a product of revenue and margins for each SKU.</t>
    </r>
  </si>
  <si>
    <r>
      <t xml:space="preserve">2.a.In cell </t>
    </r>
    <r>
      <rPr>
        <b/>
        <sz val="12"/>
        <color theme="1"/>
        <rFont val="Calibri"/>
        <family val="2"/>
        <scheme val="minor"/>
      </rPr>
      <t>C3:C22</t>
    </r>
    <r>
      <rPr>
        <sz val="12"/>
        <color theme="1"/>
        <rFont val="Calibri"/>
        <family val="2"/>
        <scheme val="minor"/>
      </rPr>
      <t>, list the top 20 revenues frm the "One-time Purchase" tab. To do so, you can use the excel built-in function LARGE which identifies the n largest item in an array.</t>
    </r>
  </si>
  <si>
    <r>
      <t xml:space="preserve">2.b.Once you identified the largest revenues, cells </t>
    </r>
    <r>
      <rPr>
        <b/>
        <sz val="12"/>
        <color theme="1"/>
        <rFont val="Calibri"/>
        <family val="2"/>
        <scheme val="minor"/>
      </rPr>
      <t>D3:D22</t>
    </r>
    <r>
      <rPr>
        <sz val="12"/>
        <color theme="1"/>
        <rFont val="Calibri"/>
        <family val="2"/>
        <scheme val="minor"/>
      </rPr>
      <t xml:space="preserve"> will be populated with the corresponding SKUs, the revenue leaders.</t>
    </r>
  </si>
  <si>
    <r>
      <t xml:space="preserve">2.d. Similarly, cells </t>
    </r>
    <r>
      <rPr>
        <b/>
        <sz val="12"/>
        <color theme="1"/>
        <rFont val="Calibri"/>
        <family val="2"/>
        <scheme val="minor"/>
      </rPr>
      <t>I3:I22</t>
    </r>
    <r>
      <rPr>
        <sz val="12"/>
        <color theme="1"/>
        <rFont val="Calibri"/>
        <family val="2"/>
        <scheme val="minor"/>
      </rPr>
      <t xml:space="preserve"> will be populated with the profit leading SKUs.</t>
    </r>
  </si>
  <si>
    <r>
      <t xml:space="preserve">2.e. In cells </t>
    </r>
    <r>
      <rPr>
        <b/>
        <sz val="12"/>
        <color theme="1"/>
        <rFont val="Calibri"/>
        <family val="2"/>
        <scheme val="minor"/>
      </rPr>
      <t>C23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H23</t>
    </r>
    <r>
      <rPr>
        <sz val="12"/>
        <color theme="1"/>
        <rFont val="Calibri"/>
        <family val="2"/>
        <scheme val="minor"/>
      </rPr>
      <t>, add the "total" which is the sum of the top 20 revenues/profits, respectively.</t>
    </r>
  </si>
  <si>
    <r>
      <t xml:space="preserve">2.f. In cells </t>
    </r>
    <r>
      <rPr>
        <b/>
        <sz val="12"/>
        <color theme="1"/>
        <rFont val="Calibri"/>
        <family val="2"/>
        <scheme val="minor"/>
      </rPr>
      <t>E3:E22</t>
    </r>
    <r>
      <rPr>
        <sz val="12"/>
        <color theme="1"/>
        <rFont val="Calibri"/>
        <family val="2"/>
        <scheme val="minor"/>
      </rPr>
      <t xml:space="preserve">, for each SKU identified in </t>
    </r>
    <r>
      <rPr>
        <b/>
        <sz val="12"/>
        <color theme="1"/>
        <rFont val="Calibri"/>
        <family val="2"/>
        <scheme val="minor"/>
      </rPr>
      <t>D3:D22</t>
    </r>
    <r>
      <rPr>
        <sz val="12"/>
        <color theme="1"/>
        <rFont val="Calibri"/>
        <family val="2"/>
        <scheme val="minor"/>
      </rPr>
      <t xml:space="preserve">, find the corresponding profit. Cell </t>
    </r>
    <r>
      <rPr>
        <b/>
        <sz val="12"/>
        <color theme="1"/>
        <rFont val="Calibri"/>
        <family val="2"/>
        <scheme val="minor"/>
      </rPr>
      <t>E23</t>
    </r>
    <r>
      <rPr>
        <sz val="12"/>
        <color theme="1"/>
        <rFont val="Calibri"/>
        <family val="2"/>
        <scheme val="minor"/>
      </rPr>
      <t xml:space="preserve"> should have the total profit for the revenue leading SKUs.</t>
    </r>
  </si>
  <si>
    <r>
      <t xml:space="preserve">2.g. Repeat 2.f for the profit leading SKUs, by identifying the corresponding profits in cells </t>
    </r>
    <r>
      <rPr>
        <b/>
        <sz val="12"/>
        <color theme="1"/>
        <rFont val="Calibri"/>
        <family val="2"/>
        <scheme val="minor"/>
      </rPr>
      <t>J3:J22</t>
    </r>
    <r>
      <rPr>
        <sz val="12"/>
        <color theme="1"/>
        <rFont val="Calibri"/>
        <family val="2"/>
        <scheme val="minor"/>
      </rPr>
      <t xml:space="preserve">, and the total in </t>
    </r>
    <r>
      <rPr>
        <b/>
        <sz val="12"/>
        <color theme="1"/>
        <rFont val="Calibri"/>
        <family val="2"/>
        <scheme val="minor"/>
      </rPr>
      <t>J23</t>
    </r>
    <r>
      <rPr>
        <sz val="12"/>
        <color theme="1"/>
        <rFont val="Calibri"/>
        <family val="2"/>
        <scheme val="minor"/>
      </rPr>
      <t>.</t>
    </r>
  </si>
  <si>
    <r>
      <t xml:space="preserve">2.h. Once the above steps are completed, the table in the top right of the spreadsheet (cells </t>
    </r>
    <r>
      <rPr>
        <b/>
        <sz val="12"/>
        <color theme="1"/>
        <rFont val="Calibri"/>
        <family val="2"/>
        <scheme val="minor"/>
      </rPr>
      <t>L2:O4</t>
    </r>
    <r>
      <rPr>
        <sz val="12"/>
        <color theme="1"/>
        <rFont val="Calibri"/>
        <family val="2"/>
        <scheme val="minor"/>
      </rPr>
      <t>) will be populated with comparison of both lists using your calculations. What do you learn from this comparison?</t>
    </r>
  </si>
  <si>
    <t xml:space="preserve">3. The "LTV" tab imports the information you created in the "One-time Purchase" tab, and allows calculation of lotaly based LTV metrics. </t>
  </si>
  <si>
    <r>
      <t xml:space="preserve">3.a. In cells </t>
    </r>
    <r>
      <rPr>
        <b/>
        <sz val="12"/>
        <color theme="1"/>
        <rFont val="Calibri"/>
        <family val="2"/>
        <scheme val="minor"/>
      </rPr>
      <t>F3:F52</t>
    </r>
    <r>
      <rPr>
        <sz val="12"/>
        <color theme="1"/>
        <rFont val="Calibri"/>
        <family val="2"/>
        <scheme val="minor"/>
      </rPr>
      <t xml:space="preserve"> import the average loyalty for each SKU from the "Raw Data" tab. You can use the excel built-in VLOOKUP function, or a combination of the INDEX and MATCH functions.</t>
    </r>
  </si>
  <si>
    <r>
      <t xml:space="preserve">3.b. In cells </t>
    </r>
    <r>
      <rPr>
        <b/>
        <sz val="12"/>
        <color theme="1"/>
        <rFont val="Calibri"/>
        <family val="2"/>
        <scheme val="minor"/>
      </rPr>
      <t>G3:G22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H3:H22</t>
    </r>
    <r>
      <rPr>
        <sz val="12"/>
        <color theme="1"/>
        <rFont val="Calibri"/>
        <family val="2"/>
        <scheme val="minor"/>
      </rPr>
      <t>, calculate the LTV for each SKU using either revenue or profit as payment, and the discount rate given in the tab. The equation for LTV is given below:</t>
    </r>
  </si>
  <si>
    <t>4. The "LTV Leaders" tab allows you to identify the top 20 SKUs in terms of revenue and profit based on your calculations in the "LTV" tab</t>
  </si>
  <si>
    <r>
      <t xml:space="preserve">4.h. Once the above steps are completed, the table in the top right of the spreadsheet (cells </t>
    </r>
    <r>
      <rPr>
        <b/>
        <sz val="12"/>
        <color theme="1"/>
        <rFont val="Calibri"/>
        <family val="2"/>
        <scheme val="minor"/>
      </rPr>
      <t>L2:O4</t>
    </r>
    <r>
      <rPr>
        <sz val="12"/>
        <color theme="1"/>
        <rFont val="Calibri"/>
        <family val="2"/>
        <scheme val="minor"/>
      </rPr>
      <t>) will be populated with comparison of both lists using your calculations. What do you learn from this comparison?</t>
    </r>
  </si>
  <si>
    <t>Revenue LTV Leaders</t>
  </si>
  <si>
    <t>SKU LTV Profit</t>
  </si>
  <si>
    <t>Profit LTV Leaders</t>
  </si>
  <si>
    <t>SKU LTV Revenue</t>
  </si>
  <si>
    <r>
      <t xml:space="preserve">4.a.In cell </t>
    </r>
    <r>
      <rPr>
        <b/>
        <sz val="12"/>
        <color theme="1"/>
        <rFont val="Calibri"/>
        <family val="2"/>
        <scheme val="minor"/>
      </rPr>
      <t>C3:C22</t>
    </r>
    <r>
      <rPr>
        <sz val="12"/>
        <color theme="1"/>
        <rFont val="Calibri"/>
        <family val="2"/>
        <scheme val="minor"/>
      </rPr>
      <t>, list the top 20 LTV revenues frm the "LTV" tab. To do so, you can use the excel built-in function LARGE which identifies the n largest item in an array.</t>
    </r>
  </si>
  <si>
    <r>
      <t xml:space="preserve">4.b.Once you identified the largest revenues, cells </t>
    </r>
    <r>
      <rPr>
        <b/>
        <sz val="12"/>
        <color theme="1"/>
        <rFont val="Calibri"/>
        <family val="2"/>
        <scheme val="minor"/>
      </rPr>
      <t>D3:D22</t>
    </r>
    <r>
      <rPr>
        <sz val="12"/>
        <color theme="1"/>
        <rFont val="Calibri"/>
        <family val="2"/>
        <scheme val="minor"/>
      </rPr>
      <t xml:space="preserve"> will be populated with the corresponding SKUs, the LTV-revenue leaders.</t>
    </r>
  </si>
  <si>
    <r>
      <t xml:space="preserve">4.c. In cell </t>
    </r>
    <r>
      <rPr>
        <b/>
        <sz val="12"/>
        <color theme="1"/>
        <rFont val="Calibri"/>
        <family val="2"/>
        <scheme val="minor"/>
      </rPr>
      <t>H3:H22</t>
    </r>
    <r>
      <rPr>
        <sz val="12"/>
        <color theme="1"/>
        <rFont val="Calibri"/>
        <family val="2"/>
        <scheme val="minor"/>
      </rPr>
      <t>, define the LTV-profit leaders, i.e. the SKUs with the highest LTV-profits. Again, you can use the LARGE function.</t>
    </r>
  </si>
  <si>
    <r>
      <t xml:space="preserve">2.c. In cell </t>
    </r>
    <r>
      <rPr>
        <b/>
        <sz val="12"/>
        <color theme="1"/>
        <rFont val="Calibri"/>
        <family val="2"/>
        <scheme val="minor"/>
      </rPr>
      <t>H3:H22</t>
    </r>
    <r>
      <rPr>
        <sz val="12"/>
        <color theme="1"/>
        <rFont val="Calibri"/>
        <family val="2"/>
        <scheme val="minor"/>
      </rPr>
      <t>, define the profit leaders, i.e. the SKUs with the highest profits. Again, you can use the LARGE function.</t>
    </r>
  </si>
  <si>
    <r>
      <t xml:space="preserve">4.d. Similarly, cells </t>
    </r>
    <r>
      <rPr>
        <b/>
        <sz val="12"/>
        <color theme="1"/>
        <rFont val="Calibri"/>
        <family val="2"/>
        <scheme val="minor"/>
      </rPr>
      <t>I3:I22</t>
    </r>
    <r>
      <rPr>
        <sz val="12"/>
        <color theme="1"/>
        <rFont val="Calibri"/>
        <family val="2"/>
        <scheme val="minor"/>
      </rPr>
      <t xml:space="preserve"> will be populated with the LTV-profit leading SKUs.</t>
    </r>
  </si>
  <si>
    <r>
      <t xml:space="preserve">4.e. In cells </t>
    </r>
    <r>
      <rPr>
        <b/>
        <sz val="12"/>
        <color theme="1"/>
        <rFont val="Calibri"/>
        <family val="2"/>
        <scheme val="minor"/>
      </rPr>
      <t>C23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H23</t>
    </r>
    <r>
      <rPr>
        <sz val="12"/>
        <color theme="1"/>
        <rFont val="Calibri"/>
        <family val="2"/>
        <scheme val="minor"/>
      </rPr>
      <t>, add the "total" which is the sum of the top 20 LTV-revenues/profits, respectively.</t>
    </r>
  </si>
  <si>
    <r>
      <t xml:space="preserve">4.f. In cells </t>
    </r>
    <r>
      <rPr>
        <b/>
        <sz val="12"/>
        <color theme="1"/>
        <rFont val="Calibri"/>
        <family val="2"/>
        <scheme val="minor"/>
      </rPr>
      <t>E3:E22</t>
    </r>
    <r>
      <rPr>
        <sz val="12"/>
        <color theme="1"/>
        <rFont val="Calibri"/>
        <family val="2"/>
        <scheme val="minor"/>
      </rPr>
      <t xml:space="preserve">, for each SKU identified in </t>
    </r>
    <r>
      <rPr>
        <b/>
        <sz val="12"/>
        <color theme="1"/>
        <rFont val="Calibri"/>
        <family val="2"/>
        <scheme val="minor"/>
      </rPr>
      <t>D3:D22</t>
    </r>
    <r>
      <rPr>
        <sz val="12"/>
        <color theme="1"/>
        <rFont val="Calibri"/>
        <family val="2"/>
        <scheme val="minor"/>
      </rPr>
      <t xml:space="preserve">, find the corresponding LTV-profit. Cell </t>
    </r>
    <r>
      <rPr>
        <b/>
        <sz val="12"/>
        <color theme="1"/>
        <rFont val="Calibri"/>
        <family val="2"/>
        <scheme val="minor"/>
      </rPr>
      <t>E23</t>
    </r>
    <r>
      <rPr>
        <sz val="12"/>
        <color theme="1"/>
        <rFont val="Calibri"/>
        <family val="2"/>
        <scheme val="minor"/>
      </rPr>
      <t xml:space="preserve"> should have the total LTV-profit for the LTV-revenue leading SKUs.</t>
    </r>
  </si>
  <si>
    <r>
      <t xml:space="preserve">4.g. Repeat 4.f for the LTV-profit leading SKUs, by identifying the corresponding profits in cells </t>
    </r>
    <r>
      <rPr>
        <b/>
        <sz val="12"/>
        <color theme="1"/>
        <rFont val="Calibri"/>
        <family val="2"/>
        <scheme val="minor"/>
      </rPr>
      <t>J3:J22</t>
    </r>
    <r>
      <rPr>
        <sz val="12"/>
        <color theme="1"/>
        <rFont val="Calibri"/>
        <family val="2"/>
        <scheme val="minor"/>
      </rPr>
      <t xml:space="preserve">, and the total in </t>
    </r>
    <r>
      <rPr>
        <b/>
        <sz val="12"/>
        <color theme="1"/>
        <rFont val="Calibri"/>
        <family val="2"/>
        <scheme val="minor"/>
      </rPr>
      <t>J23</t>
    </r>
    <r>
      <rPr>
        <sz val="12"/>
        <color theme="1"/>
        <rFont val="Calibri"/>
        <family val="2"/>
        <scheme val="minor"/>
      </rPr>
      <t>.</t>
    </r>
  </si>
  <si>
    <t>Optimizing Assortment for a New Retailer</t>
  </si>
  <si>
    <t xml:space="preserve">5. Once all the above calculations are completed, the "Output" tab will include a comparison of the top 20 SKUs using the different methodoligies. </t>
  </si>
  <si>
    <t>Profit-based top-20:</t>
  </si>
  <si>
    <t>Revenue-based top-20:</t>
  </si>
  <si>
    <t>One-time Purchase Revenue Leaders</t>
  </si>
  <si>
    <t>One-time Purchase Profit Leaders</t>
  </si>
  <si>
    <t>LTV Revnue Leaders</t>
  </si>
  <si>
    <t>LTV Revenue</t>
  </si>
  <si>
    <t>SKUs in both lists:</t>
  </si>
  <si>
    <t xml:space="preserve">5.a. Which Criteria should be used to choose the optimal assortment? Which additional data should the manager request? How confident should the manager be in the selection of assortment? </t>
  </si>
  <si>
    <t>5.b. What is your recommendation to the account manager?</t>
  </si>
  <si>
    <t>E-Commerce Analytics for CPG Firms (B): Optimizing Assortment for a New Retailer</t>
  </si>
  <si>
    <r>
      <t xml:space="preserve">1.b. In cells </t>
    </r>
    <r>
      <rPr>
        <b/>
        <sz val="12"/>
        <color theme="1"/>
        <rFont val="Calibri"/>
        <family val="2"/>
        <scheme val="minor"/>
      </rPr>
      <t>D3:D52</t>
    </r>
    <r>
      <rPr>
        <sz val="12"/>
        <color theme="1"/>
        <rFont val="Calibri"/>
        <family val="2"/>
        <scheme val="minor"/>
      </rPr>
      <t xml:space="preserve"> import the margins for each SKU from the "Raw Data" tab as you did in part 1.a.</t>
    </r>
  </si>
  <si>
    <t>Courseware #521-713</t>
  </si>
  <si>
    <t>Harvard Business School Exercise #521-079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</si>
</sst>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%"/>
    <numFmt numFmtId="166" formatCode="_(&quot;$&quot;* #,##0.0_);_(&quot;$&quot;* \(#,##0.0\);_(&quot;$&quot;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Helvetica"/>
      <family val="2"/>
    </font>
    <font>
      <b/>
      <sz val="1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3" fillId="0" borderId="0"/>
  </cellStyleXfs>
  <cellXfs count="39">
    <xf numFmtId="0" fontId="0" fillId="0" borderId="0" xfId="0"/>
    <xf numFmtId="9" fontId="0" fillId="0" borderId="0" xfId="0" applyNumberFormat="1"/>
    <xf numFmtId="9" fontId="0" fillId="0" borderId="0" xfId="3" applyFont="1"/>
    <xf numFmtId="164" fontId="0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7" fillId="5" borderId="0" xfId="1" applyNumberFormat="1" applyFont="1" applyFill="1" applyAlignment="1">
      <alignment horizontal="left"/>
    </xf>
    <xf numFmtId="164" fontId="0" fillId="2" borderId="0" xfId="2" applyFont="1" applyFill="1"/>
    <xf numFmtId="9" fontId="0" fillId="2" borderId="0" xfId="3" applyFont="1" applyFill="1"/>
    <xf numFmtId="164" fontId="0" fillId="2" borderId="0" xfId="0" applyNumberFormat="1" applyFill="1"/>
    <xf numFmtId="0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6" fontId="0" fillId="4" borderId="0" xfId="2" applyNumberFormat="1" applyFont="1" applyFill="1"/>
    <xf numFmtId="165" fontId="0" fillId="4" borderId="0" xfId="3" applyNumberFormat="1" applyFont="1" applyFill="1"/>
    <xf numFmtId="164" fontId="0" fillId="4" borderId="0" xfId="2" applyFont="1" applyFill="1"/>
    <xf numFmtId="9" fontId="0" fillId="4" borderId="0" xfId="0" applyNumberFormat="1" applyFill="1"/>
    <xf numFmtId="166" fontId="5" fillId="5" borderId="0" xfId="2" applyNumberFormat="1" applyFont="1" applyFill="1" applyAlignment="1">
      <alignment horizontal="left"/>
    </xf>
    <xf numFmtId="0" fontId="5" fillId="5" borderId="0" xfId="1" applyNumberFormat="1" applyFont="1" applyFill="1" applyAlignment="1">
      <alignment horizontal="left"/>
    </xf>
    <xf numFmtId="164" fontId="6" fillId="2" borderId="0" xfId="0" applyNumberFormat="1" applyFont="1" applyFill="1"/>
    <xf numFmtId="0" fontId="0" fillId="4" borderId="0" xfId="0" applyFill="1" applyAlignment="1">
      <alignment horizontal="center"/>
    </xf>
    <xf numFmtId="9" fontId="5" fillId="6" borderId="0" xfId="3" applyFont="1" applyFill="1"/>
    <xf numFmtId="9" fontId="5" fillId="5" borderId="0" xfId="3" applyFont="1" applyFill="1" applyAlignment="1">
      <alignment horizontal="center"/>
    </xf>
    <xf numFmtId="166" fontId="5" fillId="5" borderId="0" xfId="0" applyNumberFormat="1" applyFont="1" applyFill="1"/>
    <xf numFmtId="0" fontId="10" fillId="0" borderId="0" xfId="4"/>
    <xf numFmtId="0" fontId="9" fillId="0" borderId="0" xfId="5" applyFont="1"/>
    <xf numFmtId="0" fontId="3" fillId="0" borderId="0" xfId="5"/>
    <xf numFmtId="165" fontId="0" fillId="2" borderId="0" xfId="3" applyNumberFormat="1" applyFont="1" applyFill="1"/>
    <xf numFmtId="0" fontId="2" fillId="0" borderId="0" xfId="5" applyFont="1"/>
    <xf numFmtId="0" fontId="11" fillId="0" borderId="0" xfId="4" applyFont="1" applyAlignment="1">
      <alignment horizontal="left"/>
    </xf>
    <xf numFmtId="0" fontId="10" fillId="0" borderId="0" xfId="4" applyAlignment="1">
      <alignment horizontal="left"/>
    </xf>
    <xf numFmtId="0" fontId="10" fillId="0" borderId="0" xfId="4" applyAlignment="1">
      <alignment horizontal="justify" vertical="top" wrapText="1"/>
    </xf>
    <xf numFmtId="0" fontId="3" fillId="0" borderId="0" xfId="5" applyAlignment="1">
      <alignment horizontal="center"/>
    </xf>
    <xf numFmtId="0" fontId="5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3" xfId="5" xr:uid="{00000000-0005-0000-0000-000004000000}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328083</xdr:colOff>
      <xdr:row>23</xdr:row>
      <xdr:rowOff>31750</xdr:rowOff>
    </xdr:from>
    <xdr:ext cx="2668872" cy="325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BF2309-BB02-FA45-8247-546DABC61CE8}"/>
                </a:ext>
              </a:extLst>
            </xdr:cNvPr>
            <xdr:cNvSpPr txBox="1"/>
          </xdr:nvSpPr>
          <xdr:spPr>
            <a:xfrm>
              <a:off x="2000250" y="4656667"/>
              <a:ext cx="2668872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𝐿𝑇𝑉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𝑃𝑎𝑦𝑚𝑒𝑛𝑡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𝑟𝑒𝑡𝑒𝑛𝑡𝑖𝑜𝑛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4BF2309-BB02-FA45-8247-546DABC61CE8}"/>
                </a:ext>
              </a:extLst>
            </xdr:cNvPr>
            <xdr:cNvSpPr txBox="1"/>
          </xdr:nvSpPr>
          <xdr:spPr>
            <a:xfrm>
              <a:off x="2000250" y="4656667"/>
              <a:ext cx="2668872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𝐿𝑇𝑉=(𝑃𝑎𝑦𝑚𝑒𝑛𝑡(1+𝑑𝑖𝑠𝑐𝑜𝑢𝑛𝑡_𝑟𝑎𝑡𝑒))/(1+𝑑𝑖𝑠𝑐𝑜𝑢𝑛𝑡 𝑟𝑎𝑡𝑒−𝑟𝑒𝑡𝑒𝑛𝑡𝑖𝑜𝑛_𝑟𝑎𝑡𝑒)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668872" cy="3252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FB6001-9625-5A4F-AA8D-97D7C36EBC0C}"/>
                </a:ext>
              </a:extLst>
            </xdr:cNvPr>
            <xdr:cNvSpPr txBox="1"/>
          </xdr:nvSpPr>
          <xdr:spPr>
            <a:xfrm>
              <a:off x="8966200" y="1524000"/>
              <a:ext cx="2668872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𝐿𝑇𝑉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𝑃𝑎𝑦𝑚𝑒𝑛𝑡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𝑑𝑖𝑠𝑐𝑜𝑢𝑛𝑡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𝑟𝑒𝑡𝑒𝑛𝑡𝑖𝑜𝑛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𝑟𝑎𝑡𝑒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0FB6001-9625-5A4F-AA8D-97D7C36EBC0C}"/>
                </a:ext>
              </a:extLst>
            </xdr:cNvPr>
            <xdr:cNvSpPr txBox="1"/>
          </xdr:nvSpPr>
          <xdr:spPr>
            <a:xfrm>
              <a:off x="8966200" y="1524000"/>
              <a:ext cx="2668872" cy="325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𝐿𝑇𝑉=(𝑃𝑎𝑦𝑚𝑒𝑛𝑡(1+𝑑𝑖𝑠𝑐𝑜𝑢𝑛𝑡_𝑟𝑎𝑡𝑒))/(1+𝑑𝑖𝑠𝑐𝑜𝑢𝑛𝑡 𝑟𝑎𝑡𝑒−𝑟𝑒𝑡𝑒𝑛𝑡𝑖𝑜𝑛_𝑟𝑎𝑡𝑒)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"/>
  <sheetViews>
    <sheetView topLeftCell="A5" zoomScale="130" zoomScaleNormal="130" workbookViewId="0">
      <selection activeCell="G9" sqref="G9"/>
    </sheetView>
  </sheetViews>
  <sheetFormatPr baseColWidth="10" defaultColWidth="10.83203125" defaultRowHeight="13" x14ac:dyDescent="0.15"/>
  <cols>
    <col min="1" max="256" width="8.83203125" style="28" customWidth="1"/>
    <col min="257" max="16384" width="10.83203125" style="28"/>
  </cols>
  <sheetData>
    <row r="1" spans="1:9" x14ac:dyDescent="0.15">
      <c r="A1" s="33" t="s">
        <v>65</v>
      </c>
      <c r="B1" s="33"/>
      <c r="C1" s="33"/>
      <c r="D1" s="33"/>
      <c r="E1" s="33"/>
      <c r="F1" s="33"/>
      <c r="G1" s="33"/>
      <c r="H1" s="33"/>
      <c r="I1" s="33"/>
    </row>
    <row r="2" spans="1:9" x14ac:dyDescent="0.15">
      <c r="A2" s="34" t="s">
        <v>68</v>
      </c>
      <c r="B2" s="34"/>
      <c r="C2" s="34"/>
      <c r="D2" s="34"/>
    </row>
    <row r="3" spans="1:9" x14ac:dyDescent="0.15">
      <c r="A3" s="34" t="s">
        <v>67</v>
      </c>
      <c r="B3" s="34"/>
      <c r="C3" s="34"/>
      <c r="D3" s="34"/>
    </row>
    <row r="5" spans="1:9" ht="94.5" customHeight="1" x14ac:dyDescent="0.15">
      <c r="A5" s="35" t="s">
        <v>23</v>
      </c>
      <c r="B5" s="35"/>
      <c r="C5" s="35"/>
      <c r="D5" s="35"/>
      <c r="E5" s="35"/>
      <c r="F5" s="35"/>
      <c r="G5" s="35"/>
      <c r="H5" s="35"/>
      <c r="I5" s="35"/>
    </row>
  </sheetData>
  <mergeCells count="4">
    <mergeCell ref="A1:I1"/>
    <mergeCell ref="A2:D2"/>
    <mergeCell ref="A3:D3"/>
    <mergeCell ref="A5:I5"/>
  </mergeCells>
  <pageMargins left="0.75" right="0.75" top="1" bottom="1" header="0.5" footer="0.5"/>
  <pageSetup orientation="portrait" r:id="rId1"/>
  <headerFooter alignWithMargins="0">
    <oddHeader>&amp;CCopyright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39"/>
  <sheetViews>
    <sheetView topLeftCell="A17" zoomScale="120" zoomScaleNormal="120" workbookViewId="0">
      <selection activeCell="G24" sqref="G24"/>
    </sheetView>
  </sheetViews>
  <sheetFormatPr baseColWidth="10" defaultColWidth="11" defaultRowHeight="16" x14ac:dyDescent="0.2"/>
  <cols>
    <col min="1" max="16384" width="11" style="30"/>
  </cols>
  <sheetData>
    <row r="2" spans="2:3" x14ac:dyDescent="0.2">
      <c r="B2" s="29" t="s">
        <v>24</v>
      </c>
    </row>
    <row r="3" spans="2:3" x14ac:dyDescent="0.2">
      <c r="B3" s="30" t="s">
        <v>25</v>
      </c>
    </row>
    <row r="5" spans="2:3" x14ac:dyDescent="0.2">
      <c r="B5" s="30" t="s">
        <v>26</v>
      </c>
    </row>
    <row r="6" spans="2:3" x14ac:dyDescent="0.2">
      <c r="C6" s="30" t="s">
        <v>28</v>
      </c>
    </row>
    <row r="7" spans="2:3" x14ac:dyDescent="0.2">
      <c r="C7" s="32" t="s">
        <v>66</v>
      </c>
    </row>
    <row r="8" spans="2:3" x14ac:dyDescent="0.2">
      <c r="C8" s="30" t="s">
        <v>29</v>
      </c>
    </row>
    <row r="10" spans="2:3" x14ac:dyDescent="0.2">
      <c r="B10" s="30" t="s">
        <v>27</v>
      </c>
    </row>
    <row r="11" spans="2:3" x14ac:dyDescent="0.2">
      <c r="C11" s="30" t="s">
        <v>30</v>
      </c>
    </row>
    <row r="12" spans="2:3" x14ac:dyDescent="0.2">
      <c r="C12" s="30" t="s">
        <v>31</v>
      </c>
    </row>
    <row r="13" spans="2:3" x14ac:dyDescent="0.2">
      <c r="C13" s="30" t="s">
        <v>49</v>
      </c>
    </row>
    <row r="14" spans="2:3" x14ac:dyDescent="0.2">
      <c r="C14" s="30" t="s">
        <v>32</v>
      </c>
    </row>
    <row r="15" spans="2:3" x14ac:dyDescent="0.2">
      <c r="C15" s="30" t="s">
        <v>33</v>
      </c>
    </row>
    <row r="16" spans="2:3" x14ac:dyDescent="0.2">
      <c r="C16" s="30" t="s">
        <v>34</v>
      </c>
    </row>
    <row r="17" spans="2:6" x14ac:dyDescent="0.2">
      <c r="C17" s="30" t="s">
        <v>35</v>
      </c>
    </row>
    <row r="18" spans="2:6" x14ac:dyDescent="0.2">
      <c r="C18" s="30" t="s">
        <v>36</v>
      </c>
    </row>
    <row r="20" spans="2:6" x14ac:dyDescent="0.2">
      <c r="B20" s="30" t="s">
        <v>37</v>
      </c>
    </row>
    <row r="21" spans="2:6" x14ac:dyDescent="0.2">
      <c r="C21" s="30" t="s">
        <v>38</v>
      </c>
    </row>
    <row r="22" spans="2:6" x14ac:dyDescent="0.2">
      <c r="C22" s="30" t="s">
        <v>39</v>
      </c>
    </row>
    <row r="24" spans="2:6" x14ac:dyDescent="0.2">
      <c r="C24" s="36"/>
      <c r="D24" s="36"/>
      <c r="E24" s="36"/>
      <c r="F24" s="36"/>
    </row>
    <row r="25" spans="2:6" x14ac:dyDescent="0.2">
      <c r="C25" s="36"/>
      <c r="D25" s="36"/>
      <c r="E25" s="36"/>
      <c r="F25" s="36"/>
    </row>
    <row r="27" spans="2:6" x14ac:dyDescent="0.2">
      <c r="B27" s="30" t="s">
        <v>40</v>
      </c>
    </row>
    <row r="28" spans="2:6" x14ac:dyDescent="0.2">
      <c r="C28" s="30" t="s">
        <v>46</v>
      </c>
    </row>
    <row r="29" spans="2:6" x14ac:dyDescent="0.2">
      <c r="C29" s="30" t="s">
        <v>47</v>
      </c>
    </row>
    <row r="30" spans="2:6" x14ac:dyDescent="0.2">
      <c r="C30" s="30" t="s">
        <v>48</v>
      </c>
    </row>
    <row r="31" spans="2:6" x14ac:dyDescent="0.2">
      <c r="C31" s="30" t="s">
        <v>50</v>
      </c>
    </row>
    <row r="32" spans="2:6" x14ac:dyDescent="0.2">
      <c r="C32" s="30" t="s">
        <v>51</v>
      </c>
    </row>
    <row r="33" spans="2:3" x14ac:dyDescent="0.2">
      <c r="C33" s="30" t="s">
        <v>52</v>
      </c>
    </row>
    <row r="34" spans="2:3" x14ac:dyDescent="0.2">
      <c r="C34" s="30" t="s">
        <v>53</v>
      </c>
    </row>
    <row r="35" spans="2:3" x14ac:dyDescent="0.2">
      <c r="C35" s="30" t="s">
        <v>41</v>
      </c>
    </row>
    <row r="37" spans="2:3" x14ac:dyDescent="0.2">
      <c r="B37" s="30" t="s">
        <v>55</v>
      </c>
    </row>
    <row r="38" spans="2:3" x14ac:dyDescent="0.2">
      <c r="C38" s="30" t="s">
        <v>63</v>
      </c>
    </row>
    <row r="39" spans="2:3" x14ac:dyDescent="0.2">
      <c r="C39" s="30" t="s">
        <v>64</v>
      </c>
    </row>
  </sheetData>
  <mergeCells count="1">
    <mergeCell ref="C24:F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1:F52"/>
  <sheetViews>
    <sheetView workbookViewId="0"/>
  </sheetViews>
  <sheetFormatPr baseColWidth="10" defaultColWidth="8.83203125" defaultRowHeight="15" x14ac:dyDescent="0.2"/>
  <sheetData>
    <row r="1" spans="2:6" x14ac:dyDescent="0.2">
      <c r="F1" s="1"/>
    </row>
    <row r="2" spans="2:6" x14ac:dyDescent="0.2">
      <c r="B2" s="8" t="s">
        <v>0</v>
      </c>
      <c r="C2" s="9" t="s">
        <v>11</v>
      </c>
      <c r="D2" s="9" t="s">
        <v>1</v>
      </c>
      <c r="E2" s="9" t="s">
        <v>3</v>
      </c>
    </row>
    <row r="3" spans="2:6" x14ac:dyDescent="0.2">
      <c r="B3" s="5">
        <v>6</v>
      </c>
      <c r="C3" s="3">
        <v>8.1</v>
      </c>
      <c r="D3" s="2">
        <v>0.10236009806217575</v>
      </c>
      <c r="E3" s="2">
        <v>0.28985801931199595</v>
      </c>
      <c r="F3" s="4"/>
    </row>
    <row r="4" spans="2:6" x14ac:dyDescent="0.2">
      <c r="B4" s="5">
        <v>27</v>
      </c>
      <c r="C4" s="3">
        <v>8.9</v>
      </c>
      <c r="D4" s="2">
        <v>7.8633135137934022E-3</v>
      </c>
      <c r="E4" s="2">
        <v>0.76789645686435737</v>
      </c>
      <c r="F4" s="4"/>
    </row>
    <row r="5" spans="2:6" x14ac:dyDescent="0.2">
      <c r="B5" s="5">
        <v>63</v>
      </c>
      <c r="C5" s="3">
        <v>18.7</v>
      </c>
      <c r="D5" s="2">
        <v>7.4583999711109253E-2</v>
      </c>
      <c r="E5" s="2">
        <v>0.72739717627288469</v>
      </c>
      <c r="F5" s="4"/>
    </row>
    <row r="6" spans="2:6" x14ac:dyDescent="0.2">
      <c r="B6" s="5">
        <v>69</v>
      </c>
      <c r="C6" s="3">
        <v>19.7</v>
      </c>
      <c r="D6" s="2">
        <v>8.669164327619143E-2</v>
      </c>
      <c r="E6" s="2">
        <v>0.67664681334413868</v>
      </c>
      <c r="F6" s="4"/>
    </row>
    <row r="7" spans="2:6" x14ac:dyDescent="0.2">
      <c r="B7" s="5">
        <v>78</v>
      </c>
      <c r="C7" s="3">
        <v>11.1</v>
      </c>
      <c r="D7" s="2">
        <v>2.2413307659676753E-3</v>
      </c>
      <c r="E7" s="2">
        <v>0.77443457766091572</v>
      </c>
      <c r="F7" s="4"/>
    </row>
    <row r="8" spans="2:6" x14ac:dyDescent="0.2">
      <c r="B8" s="5">
        <v>134</v>
      </c>
      <c r="C8" s="3">
        <v>14.9</v>
      </c>
      <c r="D8" s="2">
        <v>0.25337236855008949</v>
      </c>
      <c r="E8" s="2">
        <v>0.10178637953762565</v>
      </c>
      <c r="F8" s="4"/>
    </row>
    <row r="9" spans="2:6" x14ac:dyDescent="0.2">
      <c r="B9" s="5">
        <v>150</v>
      </c>
      <c r="C9" s="3">
        <v>16</v>
      </c>
      <c r="D9" s="2">
        <v>0.11409761790528677</v>
      </c>
      <c r="E9" s="2">
        <v>0.33106518127828755</v>
      </c>
      <c r="F9" s="4"/>
    </row>
    <row r="10" spans="2:6" x14ac:dyDescent="0.2">
      <c r="B10" s="5">
        <v>188</v>
      </c>
      <c r="C10" s="3">
        <v>18.3</v>
      </c>
      <c r="D10" s="2">
        <v>6.8608232474260442E-2</v>
      </c>
      <c r="E10" s="2">
        <v>0.76120774184561968</v>
      </c>
      <c r="F10" s="4"/>
    </row>
    <row r="11" spans="2:6" x14ac:dyDescent="0.2">
      <c r="B11" s="5">
        <v>216</v>
      </c>
      <c r="C11" s="3">
        <v>8.1999999999999993</v>
      </c>
      <c r="D11" s="2">
        <v>6.1894135216362903E-2</v>
      </c>
      <c r="E11" s="2">
        <v>0.66583235210522784</v>
      </c>
      <c r="F11" s="4"/>
    </row>
    <row r="12" spans="2:6" x14ac:dyDescent="0.2">
      <c r="B12" s="5">
        <v>237</v>
      </c>
      <c r="C12" s="3">
        <v>10.4</v>
      </c>
      <c r="D12" s="2">
        <v>1.2886832502462375E-2</v>
      </c>
      <c r="E12" s="2">
        <v>0.54579573347996269</v>
      </c>
      <c r="F12" s="4"/>
    </row>
    <row r="13" spans="2:6" x14ac:dyDescent="0.2">
      <c r="B13" s="5">
        <v>262</v>
      </c>
      <c r="C13" s="3">
        <v>20</v>
      </c>
      <c r="D13" s="2">
        <v>0.13414443561319364</v>
      </c>
      <c r="E13" s="2">
        <v>0.47390033259008452</v>
      </c>
      <c r="F13" s="4"/>
    </row>
    <row r="14" spans="2:6" x14ac:dyDescent="0.2">
      <c r="B14" s="5">
        <v>267</v>
      </c>
      <c r="C14" s="3">
        <v>18.899999999999999</v>
      </c>
      <c r="D14" s="2">
        <v>0.2754959083617497</v>
      </c>
      <c r="E14" s="2">
        <v>0.17441899646644868</v>
      </c>
      <c r="F14" s="4"/>
    </row>
    <row r="15" spans="2:6" x14ac:dyDescent="0.2">
      <c r="B15" s="5">
        <v>269</v>
      </c>
      <c r="C15" s="3">
        <v>8.9</v>
      </c>
      <c r="D15" s="2">
        <v>0.29126228948066646</v>
      </c>
      <c r="E15" s="2">
        <v>0.16626827435885302</v>
      </c>
      <c r="F15" s="4"/>
    </row>
    <row r="16" spans="2:6" x14ac:dyDescent="0.2">
      <c r="B16" s="5">
        <v>308</v>
      </c>
      <c r="C16" s="3">
        <v>16.899999999999999</v>
      </c>
      <c r="D16" s="2">
        <v>0.2464464332104338</v>
      </c>
      <c r="E16" s="2">
        <v>0.18755752950826854</v>
      </c>
      <c r="F16" s="4"/>
    </row>
    <row r="17" spans="2:6" x14ac:dyDescent="0.2">
      <c r="B17" s="5">
        <v>328</v>
      </c>
      <c r="C17" s="3">
        <v>12.7</v>
      </c>
      <c r="D17" s="2">
        <v>3.031552128712791E-2</v>
      </c>
      <c r="E17" s="2">
        <v>0.73123387284299857</v>
      </c>
      <c r="F17" s="4"/>
    </row>
    <row r="18" spans="2:6" x14ac:dyDescent="0.2">
      <c r="B18" s="5">
        <v>362</v>
      </c>
      <c r="C18" s="3">
        <v>18.8</v>
      </c>
      <c r="D18" s="2">
        <v>0.19127954158944538</v>
      </c>
      <c r="E18" s="2">
        <v>0.47752338984989251</v>
      </c>
      <c r="F18" s="4"/>
    </row>
    <row r="19" spans="2:6" x14ac:dyDescent="0.2">
      <c r="B19" s="5">
        <v>370</v>
      </c>
      <c r="C19" s="3">
        <v>16.100000000000001</v>
      </c>
      <c r="D19" s="2">
        <v>0.13065904908300094</v>
      </c>
      <c r="E19" s="2">
        <v>0.28491770468378286</v>
      </c>
      <c r="F19" s="4"/>
    </row>
    <row r="20" spans="2:6" x14ac:dyDescent="0.2">
      <c r="B20" s="5">
        <v>379</v>
      </c>
      <c r="C20" s="3">
        <v>13.8</v>
      </c>
      <c r="D20" s="2">
        <v>0.11330437887437128</v>
      </c>
      <c r="E20" s="2">
        <v>0.3868365485733245</v>
      </c>
      <c r="F20" s="4"/>
    </row>
    <row r="21" spans="2:6" x14ac:dyDescent="0.2">
      <c r="B21" s="5">
        <v>389</v>
      </c>
      <c r="C21" s="3">
        <v>6.8</v>
      </c>
      <c r="D21" s="2">
        <v>0.26622997371150298</v>
      </c>
      <c r="E21" s="2">
        <v>5.1499115603942408E-2</v>
      </c>
      <c r="F21" s="4"/>
    </row>
    <row r="22" spans="2:6" x14ac:dyDescent="0.2">
      <c r="B22" s="5">
        <v>399</v>
      </c>
      <c r="C22" s="3">
        <v>16.5</v>
      </c>
      <c r="D22" s="2">
        <v>9.8233832906814686E-2</v>
      </c>
      <c r="E22" s="2">
        <v>0.77222051718881968</v>
      </c>
      <c r="F22" s="4"/>
    </row>
    <row r="23" spans="2:6" x14ac:dyDescent="0.2">
      <c r="B23" s="5">
        <v>428</v>
      </c>
      <c r="C23" s="3">
        <v>12.2</v>
      </c>
      <c r="D23" s="2">
        <v>0.15273026177530968</v>
      </c>
      <c r="E23" s="2">
        <v>0.34714024028955132</v>
      </c>
      <c r="F23" s="4"/>
    </row>
    <row r="24" spans="2:6" x14ac:dyDescent="0.2">
      <c r="B24" s="5">
        <v>493</v>
      </c>
      <c r="C24" s="3">
        <v>7.8</v>
      </c>
      <c r="D24" s="2">
        <v>0.1070108279541407</v>
      </c>
      <c r="E24" s="2">
        <v>0.50900965855058322</v>
      </c>
      <c r="F24" s="4"/>
    </row>
    <row r="25" spans="2:6" x14ac:dyDescent="0.2">
      <c r="B25" s="5">
        <v>538</v>
      </c>
      <c r="C25" s="3">
        <v>8.5</v>
      </c>
      <c r="D25" s="2">
        <v>3.5221232245934916E-2</v>
      </c>
      <c r="E25" s="2">
        <v>0.75379785284010137</v>
      </c>
      <c r="F25" s="4"/>
    </row>
    <row r="26" spans="2:6" x14ac:dyDescent="0.2">
      <c r="B26" s="5">
        <v>541</v>
      </c>
      <c r="C26" s="3">
        <v>7.7</v>
      </c>
      <c r="D26" s="2">
        <v>0.21764643686280236</v>
      </c>
      <c r="E26" s="2">
        <v>0.23402447432368251</v>
      </c>
      <c r="F26" s="4"/>
    </row>
    <row r="27" spans="2:6" x14ac:dyDescent="0.2">
      <c r="B27" s="5">
        <v>553</v>
      </c>
      <c r="C27" s="3">
        <v>8.5</v>
      </c>
      <c r="D27" s="2">
        <v>0.28539833845013862</v>
      </c>
      <c r="E27" s="2">
        <v>3.666609706411688E-2</v>
      </c>
      <c r="F27" s="4"/>
    </row>
    <row r="28" spans="2:6" x14ac:dyDescent="0.2">
      <c r="B28" s="5">
        <v>558</v>
      </c>
      <c r="C28" s="3">
        <v>14.4</v>
      </c>
      <c r="D28" s="2">
        <v>7.8186078716615579E-2</v>
      </c>
      <c r="E28" s="2">
        <v>0.77219789632153968</v>
      </c>
      <c r="F28" s="4"/>
    </row>
    <row r="29" spans="2:6" x14ac:dyDescent="0.2">
      <c r="B29" s="5">
        <v>617</v>
      </c>
      <c r="C29" s="3">
        <v>11.2</v>
      </c>
      <c r="D29" s="2">
        <v>7.4819156797534814E-3</v>
      </c>
      <c r="E29" s="2">
        <v>0.7484369245675081</v>
      </c>
      <c r="F29" s="4"/>
    </row>
    <row r="30" spans="2:6" x14ac:dyDescent="0.2">
      <c r="B30" s="5">
        <v>650</v>
      </c>
      <c r="C30" s="3">
        <v>16.2</v>
      </c>
      <c r="D30" s="2">
        <v>0.23734085694550566</v>
      </c>
      <c r="E30" s="2">
        <v>7.9721295543312545E-2</v>
      </c>
      <c r="F30" s="4"/>
    </row>
    <row r="31" spans="2:6" x14ac:dyDescent="0.2">
      <c r="B31" s="5">
        <v>679</v>
      </c>
      <c r="C31" s="3">
        <v>9.3000000000000007</v>
      </c>
      <c r="D31" s="2">
        <v>0.16886080342920809</v>
      </c>
      <c r="E31" s="2">
        <v>0.39501021562022876</v>
      </c>
      <c r="F31" s="4"/>
    </row>
    <row r="32" spans="2:6" x14ac:dyDescent="0.2">
      <c r="B32" s="5">
        <v>692</v>
      </c>
      <c r="C32" s="3">
        <v>5.0999999999999996</v>
      </c>
      <c r="D32" s="2">
        <v>0.13154577829696612</v>
      </c>
      <c r="E32" s="2">
        <v>0.51084454593467488</v>
      </c>
      <c r="F32" s="4"/>
    </row>
    <row r="33" spans="2:6" x14ac:dyDescent="0.2">
      <c r="B33" s="5">
        <v>713</v>
      </c>
      <c r="C33" s="3">
        <v>12.1</v>
      </c>
      <c r="D33" s="2">
        <v>0.21640014474048253</v>
      </c>
      <c r="E33" s="2">
        <v>0.15765424656475452</v>
      </c>
      <c r="F33" s="4"/>
    </row>
    <row r="34" spans="2:6" x14ac:dyDescent="0.2">
      <c r="B34" s="5">
        <v>731</v>
      </c>
      <c r="C34" s="3">
        <v>6.4</v>
      </c>
      <c r="D34" s="2">
        <v>2.6353891537537623E-2</v>
      </c>
      <c r="E34" s="2">
        <v>0.57658603387955754</v>
      </c>
      <c r="F34" s="4"/>
    </row>
    <row r="35" spans="2:6" x14ac:dyDescent="0.2">
      <c r="B35" s="5">
        <v>743</v>
      </c>
      <c r="C35" s="3">
        <v>9.8000000000000007</v>
      </c>
      <c r="D35" s="2">
        <v>0.10736134795433473</v>
      </c>
      <c r="E35" s="2">
        <v>0.52232242867366785</v>
      </c>
      <c r="F35" s="4"/>
    </row>
    <row r="36" spans="2:6" x14ac:dyDescent="0.2">
      <c r="B36" s="5">
        <v>747</v>
      </c>
      <c r="C36" s="3">
        <v>14.5</v>
      </c>
      <c r="D36" s="2">
        <v>0.16582942100878378</v>
      </c>
      <c r="E36" s="2">
        <v>0.42144502135687756</v>
      </c>
      <c r="F36" s="4"/>
    </row>
    <row r="37" spans="2:6" x14ac:dyDescent="0.2">
      <c r="B37" s="5">
        <v>759</v>
      </c>
      <c r="C37" s="3">
        <v>19.8</v>
      </c>
      <c r="D37" s="2">
        <v>0.20018403393513862</v>
      </c>
      <c r="E37" s="2">
        <v>0.25622620776268112</v>
      </c>
      <c r="F37" s="4"/>
    </row>
    <row r="38" spans="2:6" x14ac:dyDescent="0.2">
      <c r="B38" s="5">
        <v>761</v>
      </c>
      <c r="C38" s="3">
        <v>15.8</v>
      </c>
      <c r="D38" s="2">
        <v>0.27989410727251929</v>
      </c>
      <c r="E38" s="2">
        <v>0.2233235151724238</v>
      </c>
      <c r="F38" s="4"/>
    </row>
    <row r="39" spans="2:6" x14ac:dyDescent="0.2">
      <c r="B39" s="5">
        <v>788</v>
      </c>
      <c r="C39" s="3">
        <v>5.3</v>
      </c>
      <c r="D39" s="2">
        <v>8.9496252013262917E-2</v>
      </c>
      <c r="E39" s="2">
        <v>0.54869580560958597</v>
      </c>
      <c r="F39" s="4"/>
    </row>
    <row r="40" spans="2:6" x14ac:dyDescent="0.2">
      <c r="B40" s="5">
        <v>798</v>
      </c>
      <c r="C40" s="3">
        <v>15.9</v>
      </c>
      <c r="D40" s="2">
        <v>0.27239949070749547</v>
      </c>
      <c r="E40" s="2">
        <v>0.25973097483388052</v>
      </c>
      <c r="F40" s="4"/>
    </row>
    <row r="41" spans="2:6" x14ac:dyDescent="0.2">
      <c r="B41" s="5">
        <v>831</v>
      </c>
      <c r="C41" s="3">
        <v>13.6</v>
      </c>
      <c r="D41" s="2">
        <v>2.2639296461636539E-3</v>
      </c>
      <c r="E41" s="2">
        <v>0.73103260599619946</v>
      </c>
      <c r="F41" s="4"/>
    </row>
    <row r="42" spans="2:6" x14ac:dyDescent="0.2">
      <c r="B42" s="5">
        <v>859</v>
      </c>
      <c r="C42" s="3">
        <v>14.8</v>
      </c>
      <c r="D42" s="2">
        <v>0.16617034105820172</v>
      </c>
      <c r="E42" s="2">
        <v>0.32707312114876347</v>
      </c>
      <c r="F42" s="4"/>
    </row>
    <row r="43" spans="2:6" x14ac:dyDescent="0.2">
      <c r="B43" s="5">
        <v>860</v>
      </c>
      <c r="C43" s="3">
        <v>5.9</v>
      </c>
      <c r="D43" s="2">
        <v>0.15212276340989728</v>
      </c>
      <c r="E43" s="2">
        <v>0.44193210905729008</v>
      </c>
      <c r="F43" s="4"/>
    </row>
    <row r="44" spans="2:6" x14ac:dyDescent="0.2">
      <c r="B44" s="5">
        <v>865</v>
      </c>
      <c r="C44" s="3">
        <v>11.5</v>
      </c>
      <c r="D44" s="2">
        <v>0.17275785995610143</v>
      </c>
      <c r="E44" s="2">
        <v>0.52640062164000867</v>
      </c>
      <c r="F44" s="4"/>
    </row>
    <row r="45" spans="2:6" x14ac:dyDescent="0.2">
      <c r="B45" s="5">
        <v>878</v>
      </c>
      <c r="C45" s="3">
        <v>16.8</v>
      </c>
      <c r="D45" s="2">
        <v>5.265968121169802E-2</v>
      </c>
      <c r="E45" s="2">
        <v>0.6400179767807892</v>
      </c>
      <c r="F45" s="4"/>
    </row>
    <row r="46" spans="2:6" x14ac:dyDescent="0.2">
      <c r="B46" s="5">
        <v>881</v>
      </c>
      <c r="C46" s="3">
        <v>8.8000000000000007</v>
      </c>
      <c r="D46" s="2">
        <v>0.20838288108508943</v>
      </c>
      <c r="E46" s="2">
        <v>0.23775385339082175</v>
      </c>
      <c r="F46" s="4"/>
    </row>
    <row r="47" spans="2:6" x14ac:dyDescent="0.2">
      <c r="B47" s="5">
        <v>900</v>
      </c>
      <c r="C47" s="3">
        <v>5.8</v>
      </c>
      <c r="D47" s="2">
        <v>8.8094059899673324E-2</v>
      </c>
      <c r="E47" s="2">
        <v>0.78982100364445473</v>
      </c>
      <c r="F47" s="4"/>
    </row>
    <row r="48" spans="2:6" x14ac:dyDescent="0.2">
      <c r="B48" s="5">
        <v>930</v>
      </c>
      <c r="C48" s="3">
        <v>6.5</v>
      </c>
      <c r="D48" s="2">
        <v>0.27934554799509426</v>
      </c>
      <c r="E48" s="2">
        <v>9.624123613287347E-2</v>
      </c>
      <c r="F48" s="4"/>
    </row>
    <row r="49" spans="2:6" x14ac:dyDescent="0.2">
      <c r="B49" s="5">
        <v>934</v>
      </c>
      <c r="C49" s="3">
        <v>18.399999999999999</v>
      </c>
      <c r="D49" s="2">
        <v>0.27600756638076085</v>
      </c>
      <c r="E49" s="2">
        <v>3.6772316108002238E-2</v>
      </c>
      <c r="F49" s="4"/>
    </row>
    <row r="50" spans="2:6" x14ac:dyDescent="0.2">
      <c r="B50" s="5">
        <v>949</v>
      </c>
      <c r="C50" s="3">
        <v>17.600000000000001</v>
      </c>
      <c r="D50" s="2">
        <v>0.10162160349220406</v>
      </c>
      <c r="E50" s="2">
        <v>0.34768638506467398</v>
      </c>
      <c r="F50" s="4"/>
    </row>
    <row r="51" spans="2:6" x14ac:dyDescent="0.2">
      <c r="B51" s="5">
        <v>968</v>
      </c>
      <c r="C51" s="3">
        <v>5.6</v>
      </c>
      <c r="D51" s="2">
        <v>0.12338514393920928</v>
      </c>
      <c r="E51" s="2">
        <v>0.31498460421637692</v>
      </c>
      <c r="F51" s="4"/>
    </row>
    <row r="52" spans="2:6" x14ac:dyDescent="0.2">
      <c r="B52" s="5">
        <v>978</v>
      </c>
      <c r="C52" s="3">
        <v>8.3000000000000007</v>
      </c>
      <c r="D52" s="2">
        <v>0.10645125492457064</v>
      </c>
      <c r="E52" s="2">
        <v>0.36886044713509436</v>
      </c>
      <c r="F52" s="4"/>
    </row>
  </sheetData>
  <sortState xmlns:xlrd2="http://schemas.microsoft.com/office/spreadsheetml/2017/richdata2" ref="B3:E52">
    <sortCondition ref="B3:B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O52"/>
  <sheetViews>
    <sheetView workbookViewId="0">
      <selection activeCell="H14" sqref="H14"/>
    </sheetView>
  </sheetViews>
  <sheetFormatPr baseColWidth="10" defaultColWidth="8.83203125" defaultRowHeight="15" x14ac:dyDescent="0.2"/>
  <cols>
    <col min="8" max="8" width="12" bestFit="1" customWidth="1"/>
    <col min="15" max="15" width="13.83203125" bestFit="1" customWidth="1"/>
  </cols>
  <sheetData>
    <row r="2" spans="2:15" x14ac:dyDescent="0.2">
      <c r="B2" s="9" t="s">
        <v>0</v>
      </c>
      <c r="C2" s="9" t="s">
        <v>11</v>
      </c>
      <c r="D2" s="9" t="s">
        <v>1</v>
      </c>
      <c r="E2" s="9" t="s">
        <v>2</v>
      </c>
      <c r="O2" s="10" t="s">
        <v>15</v>
      </c>
    </row>
    <row r="3" spans="2:15" x14ac:dyDescent="0.2">
      <c r="B3" s="5">
        <v>553</v>
      </c>
      <c r="C3" s="12">
        <f>VLOOKUP(B3,'Raw Data'!B:C,2,0)</f>
        <v>8.5</v>
      </c>
      <c r="D3" s="31">
        <f>VLOOKUP(B3,'Raw Data'!B:D,3,0)</f>
        <v>0.28539833845013862</v>
      </c>
      <c r="E3" s="12">
        <f>C3*D3</f>
        <v>2.4258858768261784</v>
      </c>
      <c r="O3" s="6" t="s">
        <v>16</v>
      </c>
    </row>
    <row r="4" spans="2:15" x14ac:dyDescent="0.2">
      <c r="B4" s="5">
        <v>934</v>
      </c>
      <c r="C4" s="12">
        <f>VLOOKUP(B4,'Raw Data'!B:C,2,0)</f>
        <v>18.399999999999999</v>
      </c>
      <c r="D4" s="31">
        <f>VLOOKUP(B4,'Raw Data'!B:D,3,0)</f>
        <v>0.27600756638076085</v>
      </c>
      <c r="E4" s="12">
        <f>C4*D4</f>
        <v>5.0785392214059994</v>
      </c>
      <c r="O4" s="11" t="s">
        <v>17</v>
      </c>
    </row>
    <row r="5" spans="2:15" x14ac:dyDescent="0.2">
      <c r="B5" s="5">
        <v>389</v>
      </c>
      <c r="C5" s="12">
        <f>VLOOKUP(B5,'Raw Data'!B:C,2,0)</f>
        <v>6.8</v>
      </c>
      <c r="D5" s="31">
        <f>VLOOKUP(B5,'Raw Data'!B:D,3,0)</f>
        <v>0.26622997371150298</v>
      </c>
      <c r="E5" s="12">
        <f>C5*D5</f>
        <v>1.8103638212382203</v>
      </c>
    </row>
    <row r="6" spans="2:15" x14ac:dyDescent="0.2">
      <c r="B6" s="5">
        <v>650</v>
      </c>
      <c r="C6" s="12">
        <f>VLOOKUP(B6,'Raw Data'!B:C,2,0)</f>
        <v>16.2</v>
      </c>
      <c r="D6" s="31">
        <f>VLOOKUP(B6,'Raw Data'!B:D,3,0)</f>
        <v>0.23734085694550566</v>
      </c>
      <c r="E6" s="12">
        <f>C6*D6</f>
        <v>3.8449218825171916</v>
      </c>
    </row>
    <row r="7" spans="2:15" x14ac:dyDescent="0.2">
      <c r="B7" s="5">
        <v>930</v>
      </c>
      <c r="C7" s="12">
        <f>VLOOKUP(B7,'Raw Data'!B:C,2,0)</f>
        <v>6.5</v>
      </c>
      <c r="D7" s="31">
        <f>VLOOKUP(B7,'Raw Data'!B:D,3,0)</f>
        <v>0.27934554799509426</v>
      </c>
      <c r="E7" s="12">
        <f>C7*D7</f>
        <v>1.8157460619681127</v>
      </c>
    </row>
    <row r="8" spans="2:15" x14ac:dyDescent="0.2">
      <c r="B8" s="5">
        <v>134</v>
      </c>
      <c r="C8" s="12">
        <f>VLOOKUP(B8,'Raw Data'!B:C,2,0)</f>
        <v>14.9</v>
      </c>
      <c r="D8" s="31">
        <f>VLOOKUP(B8,'Raw Data'!B:D,3,0)</f>
        <v>0.25337236855008949</v>
      </c>
      <c r="E8" s="12">
        <f>C8*D8</f>
        <v>3.7752482913963337</v>
      </c>
    </row>
    <row r="9" spans="2:15" x14ac:dyDescent="0.2">
      <c r="B9" s="5">
        <v>713</v>
      </c>
      <c r="C9" s="12">
        <f>VLOOKUP(B9,'Raw Data'!B:C,2,0)</f>
        <v>12.1</v>
      </c>
      <c r="D9" s="31">
        <f>VLOOKUP(B9,'Raw Data'!B:D,3,0)</f>
        <v>0.21640014474048253</v>
      </c>
      <c r="E9" s="12">
        <f>C9*D9</f>
        <v>2.6184417513598386</v>
      </c>
    </row>
    <row r="10" spans="2:15" x14ac:dyDescent="0.2">
      <c r="B10" s="5">
        <v>269</v>
      </c>
      <c r="C10" s="12">
        <f>VLOOKUP(B10,'Raw Data'!B:C,2,0)</f>
        <v>8.9</v>
      </c>
      <c r="D10" s="31">
        <f>VLOOKUP(B10,'Raw Data'!B:D,3,0)</f>
        <v>0.29126228948066646</v>
      </c>
      <c r="E10" s="12">
        <f>C10*D10</f>
        <v>2.5922343763779314</v>
      </c>
    </row>
    <row r="11" spans="2:15" x14ac:dyDescent="0.2">
      <c r="B11" s="5">
        <v>267</v>
      </c>
      <c r="C11" s="12">
        <f>VLOOKUP(B11,'Raw Data'!B:C,2,0)</f>
        <v>18.899999999999999</v>
      </c>
      <c r="D11" s="31">
        <f>VLOOKUP(B11,'Raw Data'!B:D,3,0)</f>
        <v>0.2754959083617497</v>
      </c>
      <c r="E11" s="12">
        <f>C11*D11</f>
        <v>5.2068726680370689</v>
      </c>
    </row>
    <row r="12" spans="2:15" x14ac:dyDescent="0.2">
      <c r="B12" s="5">
        <v>308</v>
      </c>
      <c r="C12" s="12">
        <f>VLOOKUP(B12,'Raw Data'!B:C,2,0)</f>
        <v>16.899999999999999</v>
      </c>
      <c r="D12" s="31">
        <f>VLOOKUP(B12,'Raw Data'!B:D,3,0)</f>
        <v>0.2464464332104338</v>
      </c>
      <c r="E12" s="12">
        <f>C12*D12</f>
        <v>4.1649447212563313</v>
      </c>
    </row>
    <row r="13" spans="2:15" x14ac:dyDescent="0.2">
      <c r="B13" s="5">
        <v>761</v>
      </c>
      <c r="C13" s="12">
        <f>VLOOKUP(B13,'Raw Data'!B:C,2,0)</f>
        <v>15.8</v>
      </c>
      <c r="D13" s="31">
        <f>VLOOKUP(B13,'Raw Data'!B:D,3,0)</f>
        <v>0.27989410727251929</v>
      </c>
      <c r="E13" s="12">
        <f>C13*D13</f>
        <v>4.4223268949058046</v>
      </c>
    </row>
    <row r="14" spans="2:15" x14ac:dyDescent="0.2">
      <c r="B14" s="5">
        <v>541</v>
      </c>
      <c r="C14" s="12">
        <f>VLOOKUP(B14,'Raw Data'!B:C,2,0)</f>
        <v>7.7</v>
      </c>
      <c r="D14" s="31">
        <f>VLOOKUP(B14,'Raw Data'!B:D,3,0)</f>
        <v>0.21764643686280236</v>
      </c>
      <c r="E14" s="12">
        <f>C14*D14</f>
        <v>1.6758775638435781</v>
      </c>
    </row>
    <row r="15" spans="2:15" x14ac:dyDescent="0.2">
      <c r="B15" s="5">
        <v>881</v>
      </c>
      <c r="C15" s="12">
        <f>VLOOKUP(B15,'Raw Data'!B:C,2,0)</f>
        <v>8.8000000000000007</v>
      </c>
      <c r="D15" s="31">
        <f>VLOOKUP(B15,'Raw Data'!B:D,3,0)</f>
        <v>0.20838288108508943</v>
      </c>
      <c r="E15" s="12">
        <f>C15*D15</f>
        <v>1.8337693535487871</v>
      </c>
    </row>
    <row r="16" spans="2:15" x14ac:dyDescent="0.2">
      <c r="B16" s="5">
        <v>759</v>
      </c>
      <c r="C16" s="12">
        <f>VLOOKUP(B16,'Raw Data'!B:C,2,0)</f>
        <v>19.8</v>
      </c>
      <c r="D16" s="31">
        <f>VLOOKUP(B16,'Raw Data'!B:D,3,0)</f>
        <v>0.20018403393513862</v>
      </c>
      <c r="E16" s="12">
        <f>C16*D16</f>
        <v>3.9636438719157447</v>
      </c>
    </row>
    <row r="17" spans="2:5" x14ac:dyDescent="0.2">
      <c r="B17" s="5">
        <v>798</v>
      </c>
      <c r="C17" s="12">
        <f>VLOOKUP(B17,'Raw Data'!B:C,2,0)</f>
        <v>15.9</v>
      </c>
      <c r="D17" s="31">
        <f>VLOOKUP(B17,'Raw Data'!B:D,3,0)</f>
        <v>0.27239949070749547</v>
      </c>
      <c r="E17" s="12">
        <f>C17*D17</f>
        <v>4.3311519022491778</v>
      </c>
    </row>
    <row r="18" spans="2:5" x14ac:dyDescent="0.2">
      <c r="B18" s="5">
        <v>370</v>
      </c>
      <c r="C18" s="12">
        <f>VLOOKUP(B18,'Raw Data'!B:C,2,0)</f>
        <v>16.100000000000001</v>
      </c>
      <c r="D18" s="31">
        <f>VLOOKUP(B18,'Raw Data'!B:D,3,0)</f>
        <v>0.13065904908300094</v>
      </c>
      <c r="E18" s="12">
        <f>C18*D18</f>
        <v>2.1036106902363154</v>
      </c>
    </row>
    <row r="19" spans="2:5" x14ac:dyDescent="0.2">
      <c r="B19" s="5">
        <v>6</v>
      </c>
      <c r="C19" s="12">
        <f>VLOOKUP(B19,'Raw Data'!B:C,2,0)</f>
        <v>8.1</v>
      </c>
      <c r="D19" s="31">
        <f>VLOOKUP(B19,'Raw Data'!B:D,3,0)</f>
        <v>0.10236009806217575</v>
      </c>
      <c r="E19" s="12">
        <f>C19*D19</f>
        <v>0.82911679430362351</v>
      </c>
    </row>
    <row r="20" spans="2:5" x14ac:dyDescent="0.2">
      <c r="B20" s="5">
        <v>968</v>
      </c>
      <c r="C20" s="12">
        <f>VLOOKUP(B20,'Raw Data'!B:C,2,0)</f>
        <v>5.6</v>
      </c>
      <c r="D20" s="31">
        <f>VLOOKUP(B20,'Raw Data'!B:D,3,0)</f>
        <v>0.12338514393920928</v>
      </c>
      <c r="E20" s="12">
        <f>C20*D20</f>
        <v>0.69095680605957199</v>
      </c>
    </row>
    <row r="21" spans="2:5" x14ac:dyDescent="0.2">
      <c r="B21" s="5">
        <v>859</v>
      </c>
      <c r="C21" s="12">
        <f>VLOOKUP(B21,'Raw Data'!B:C,2,0)</f>
        <v>14.8</v>
      </c>
      <c r="D21" s="31">
        <f>VLOOKUP(B21,'Raw Data'!B:D,3,0)</f>
        <v>0.16617034105820172</v>
      </c>
      <c r="E21" s="12">
        <f>C21*D21</f>
        <v>2.4593210476613856</v>
      </c>
    </row>
    <row r="22" spans="2:5" x14ac:dyDescent="0.2">
      <c r="B22" s="5">
        <v>150</v>
      </c>
      <c r="C22" s="12">
        <f>VLOOKUP(B22,'Raw Data'!B:C,2,0)</f>
        <v>16</v>
      </c>
      <c r="D22" s="31">
        <f>VLOOKUP(B22,'Raw Data'!B:D,3,0)</f>
        <v>0.11409761790528677</v>
      </c>
      <c r="E22" s="12">
        <f>C22*D22</f>
        <v>1.8255618864845884</v>
      </c>
    </row>
    <row r="23" spans="2:5" x14ac:dyDescent="0.2">
      <c r="B23" s="5">
        <v>428</v>
      </c>
      <c r="C23" s="12">
        <f>VLOOKUP(B23,'Raw Data'!B:C,2,0)</f>
        <v>12.2</v>
      </c>
      <c r="D23" s="31">
        <f>VLOOKUP(B23,'Raw Data'!B:D,3,0)</f>
        <v>0.15273026177530968</v>
      </c>
      <c r="E23" s="12">
        <f>C23*D23</f>
        <v>1.863309193658778</v>
      </c>
    </row>
    <row r="24" spans="2:5" x14ac:dyDescent="0.2">
      <c r="B24" s="5">
        <v>949</v>
      </c>
      <c r="C24" s="12">
        <f>VLOOKUP(B24,'Raw Data'!B:C,2,0)</f>
        <v>17.600000000000001</v>
      </c>
      <c r="D24" s="31">
        <f>VLOOKUP(B24,'Raw Data'!B:D,3,0)</f>
        <v>0.10162160349220406</v>
      </c>
      <c r="E24" s="12">
        <f>C24*D24</f>
        <v>1.7885402214627917</v>
      </c>
    </row>
    <row r="25" spans="2:5" x14ac:dyDescent="0.2">
      <c r="B25" s="5">
        <v>978</v>
      </c>
      <c r="C25" s="12">
        <f>VLOOKUP(B25,'Raw Data'!B:C,2,0)</f>
        <v>8.3000000000000007</v>
      </c>
      <c r="D25" s="31">
        <f>VLOOKUP(B25,'Raw Data'!B:D,3,0)</f>
        <v>0.10645125492457064</v>
      </c>
      <c r="E25" s="12">
        <f>C25*D25</f>
        <v>0.88354541587393631</v>
      </c>
    </row>
    <row r="26" spans="2:5" x14ac:dyDescent="0.2">
      <c r="B26" s="5">
        <v>379</v>
      </c>
      <c r="C26" s="12">
        <f>VLOOKUP(B26,'Raw Data'!B:C,2,0)</f>
        <v>13.8</v>
      </c>
      <c r="D26" s="31">
        <f>VLOOKUP(B26,'Raw Data'!B:D,3,0)</f>
        <v>0.11330437887437128</v>
      </c>
      <c r="E26" s="12">
        <f>C26*D26</f>
        <v>1.5636004284663239</v>
      </c>
    </row>
    <row r="27" spans="2:5" x14ac:dyDescent="0.2">
      <c r="B27" s="5">
        <v>679</v>
      </c>
      <c r="C27" s="12">
        <f>VLOOKUP(B27,'Raw Data'!B:C,2,0)</f>
        <v>9.3000000000000007</v>
      </c>
      <c r="D27" s="31">
        <f>VLOOKUP(B27,'Raw Data'!B:D,3,0)</f>
        <v>0.16886080342920809</v>
      </c>
      <c r="E27" s="12">
        <f>C27*D27</f>
        <v>1.5704054718916354</v>
      </c>
    </row>
    <row r="28" spans="2:5" x14ac:dyDescent="0.2">
      <c r="B28" s="5">
        <v>747</v>
      </c>
      <c r="C28" s="12">
        <f>VLOOKUP(B28,'Raw Data'!B:C,2,0)</f>
        <v>14.5</v>
      </c>
      <c r="D28" s="31">
        <f>VLOOKUP(B28,'Raw Data'!B:D,3,0)</f>
        <v>0.16582942100878378</v>
      </c>
      <c r="E28" s="12">
        <f>C28*D28</f>
        <v>2.4045266046273648</v>
      </c>
    </row>
    <row r="29" spans="2:5" x14ac:dyDescent="0.2">
      <c r="B29" s="5">
        <v>860</v>
      </c>
      <c r="C29" s="12">
        <f>VLOOKUP(B29,'Raw Data'!B:C,2,0)</f>
        <v>5.9</v>
      </c>
      <c r="D29" s="31">
        <f>VLOOKUP(B29,'Raw Data'!B:D,3,0)</f>
        <v>0.15212276340989728</v>
      </c>
      <c r="E29" s="12">
        <f>C29*D29</f>
        <v>0.89752430411839401</v>
      </c>
    </row>
    <row r="30" spans="2:5" x14ac:dyDescent="0.2">
      <c r="B30" s="5">
        <v>262</v>
      </c>
      <c r="C30" s="12">
        <f>VLOOKUP(B30,'Raw Data'!B:C,2,0)</f>
        <v>20</v>
      </c>
      <c r="D30" s="31">
        <f>VLOOKUP(B30,'Raw Data'!B:D,3,0)</f>
        <v>0.13414443561319364</v>
      </c>
      <c r="E30" s="12">
        <f>C30*D30</f>
        <v>2.6828887122638729</v>
      </c>
    </row>
    <row r="31" spans="2:5" x14ac:dyDescent="0.2">
      <c r="B31" s="5">
        <v>362</v>
      </c>
      <c r="C31" s="12">
        <f>VLOOKUP(B31,'Raw Data'!B:C,2,0)</f>
        <v>18.8</v>
      </c>
      <c r="D31" s="31">
        <f>VLOOKUP(B31,'Raw Data'!B:D,3,0)</f>
        <v>0.19127954158944538</v>
      </c>
      <c r="E31" s="12">
        <f>C31*D31</f>
        <v>3.5960553818815733</v>
      </c>
    </row>
    <row r="32" spans="2:5" x14ac:dyDescent="0.2">
      <c r="B32" s="5">
        <v>493</v>
      </c>
      <c r="C32" s="12">
        <f>VLOOKUP(B32,'Raw Data'!B:C,2,0)</f>
        <v>7.8</v>
      </c>
      <c r="D32" s="31">
        <f>VLOOKUP(B32,'Raw Data'!B:D,3,0)</f>
        <v>0.1070108279541407</v>
      </c>
      <c r="E32" s="12">
        <f>C32*D32</f>
        <v>0.83468445804229741</v>
      </c>
    </row>
    <row r="33" spans="2:5" x14ac:dyDescent="0.2">
      <c r="B33" s="5">
        <v>692</v>
      </c>
      <c r="C33" s="12">
        <f>VLOOKUP(B33,'Raw Data'!B:C,2,0)</f>
        <v>5.0999999999999996</v>
      </c>
      <c r="D33" s="31">
        <f>VLOOKUP(B33,'Raw Data'!B:D,3,0)</f>
        <v>0.13154577829696612</v>
      </c>
      <c r="E33" s="12">
        <f>C33*D33</f>
        <v>0.67088346931452714</v>
      </c>
    </row>
    <row r="34" spans="2:5" x14ac:dyDescent="0.2">
      <c r="B34" s="5">
        <v>743</v>
      </c>
      <c r="C34" s="12">
        <f>VLOOKUP(B34,'Raw Data'!B:C,2,0)</f>
        <v>9.8000000000000007</v>
      </c>
      <c r="D34" s="31">
        <f>VLOOKUP(B34,'Raw Data'!B:D,3,0)</f>
        <v>0.10736134795433473</v>
      </c>
      <c r="E34" s="12">
        <f>C34*D34</f>
        <v>1.0521412099524805</v>
      </c>
    </row>
    <row r="35" spans="2:5" x14ac:dyDescent="0.2">
      <c r="B35" s="5">
        <v>865</v>
      </c>
      <c r="C35" s="12">
        <f>VLOOKUP(B35,'Raw Data'!B:C,2,0)</f>
        <v>11.5</v>
      </c>
      <c r="D35" s="31">
        <f>VLOOKUP(B35,'Raw Data'!B:D,3,0)</f>
        <v>0.17275785995610143</v>
      </c>
      <c r="E35" s="12">
        <f>C35*D35</f>
        <v>1.9867153894951666</v>
      </c>
    </row>
    <row r="36" spans="2:5" x14ac:dyDescent="0.2">
      <c r="B36" s="5">
        <v>237</v>
      </c>
      <c r="C36" s="12">
        <f>VLOOKUP(B36,'Raw Data'!B:C,2,0)</f>
        <v>10.4</v>
      </c>
      <c r="D36" s="31">
        <f>VLOOKUP(B36,'Raw Data'!B:D,3,0)</f>
        <v>1.2886832502462375E-2</v>
      </c>
      <c r="E36" s="12">
        <f>C36*D36</f>
        <v>0.13402305802560871</v>
      </c>
    </row>
    <row r="37" spans="2:5" x14ac:dyDescent="0.2">
      <c r="B37" s="5">
        <v>788</v>
      </c>
      <c r="C37" s="12">
        <f>VLOOKUP(B37,'Raw Data'!B:C,2,0)</f>
        <v>5.3</v>
      </c>
      <c r="D37" s="31">
        <f>VLOOKUP(B37,'Raw Data'!B:D,3,0)</f>
        <v>8.9496252013262917E-2</v>
      </c>
      <c r="E37" s="12">
        <f>C37*D37</f>
        <v>0.47433013567029342</v>
      </c>
    </row>
    <row r="38" spans="2:5" x14ac:dyDescent="0.2">
      <c r="B38" s="5">
        <v>731</v>
      </c>
      <c r="C38" s="12">
        <f>VLOOKUP(B38,'Raw Data'!B:C,2,0)</f>
        <v>6.4</v>
      </c>
      <c r="D38" s="31">
        <f>VLOOKUP(B38,'Raw Data'!B:D,3,0)</f>
        <v>2.6353891537537623E-2</v>
      </c>
      <c r="E38" s="12">
        <f>C38*D38</f>
        <v>0.1686649058402408</v>
      </c>
    </row>
    <row r="39" spans="2:5" x14ac:dyDescent="0.2">
      <c r="B39" s="5">
        <v>878</v>
      </c>
      <c r="C39" s="12">
        <f>VLOOKUP(B39,'Raw Data'!B:C,2,0)</f>
        <v>16.8</v>
      </c>
      <c r="D39" s="31">
        <f>VLOOKUP(B39,'Raw Data'!B:D,3,0)</f>
        <v>5.265968121169802E-2</v>
      </c>
      <c r="E39" s="12">
        <f>C39*D39</f>
        <v>0.88468264435652677</v>
      </c>
    </row>
    <row r="40" spans="2:5" x14ac:dyDescent="0.2">
      <c r="B40" s="5">
        <v>216</v>
      </c>
      <c r="C40" s="12">
        <f>VLOOKUP(B40,'Raw Data'!B:C,2,0)</f>
        <v>8.1999999999999993</v>
      </c>
      <c r="D40" s="31">
        <f>VLOOKUP(B40,'Raw Data'!B:D,3,0)</f>
        <v>6.1894135216362903E-2</v>
      </c>
      <c r="E40" s="12">
        <f>C40*D40</f>
        <v>0.50753190877417576</v>
      </c>
    </row>
    <row r="41" spans="2:5" x14ac:dyDescent="0.2">
      <c r="B41" s="5">
        <v>69</v>
      </c>
      <c r="C41" s="12">
        <f>VLOOKUP(B41,'Raw Data'!B:C,2,0)</f>
        <v>19.7</v>
      </c>
      <c r="D41" s="31">
        <f>VLOOKUP(B41,'Raw Data'!B:D,3,0)</f>
        <v>8.669164327619143E-2</v>
      </c>
      <c r="E41" s="12">
        <f>C41*D41</f>
        <v>1.7078253725409711</v>
      </c>
    </row>
    <row r="42" spans="2:5" x14ac:dyDescent="0.2">
      <c r="B42" s="5">
        <v>63</v>
      </c>
      <c r="C42" s="12">
        <f>VLOOKUP(B42,'Raw Data'!B:C,2,0)</f>
        <v>18.7</v>
      </c>
      <c r="D42" s="31">
        <f>VLOOKUP(B42,'Raw Data'!B:D,3,0)</f>
        <v>7.4583999711109253E-2</v>
      </c>
      <c r="E42" s="12">
        <f>C42*D42</f>
        <v>1.3947207945977429</v>
      </c>
    </row>
    <row r="43" spans="2:5" x14ac:dyDescent="0.2">
      <c r="B43" s="5">
        <v>831</v>
      </c>
      <c r="C43" s="12">
        <f>VLOOKUP(B43,'Raw Data'!B:C,2,0)</f>
        <v>13.6</v>
      </c>
      <c r="D43" s="31">
        <f>VLOOKUP(B43,'Raw Data'!B:D,3,0)</f>
        <v>2.2639296461636539E-3</v>
      </c>
      <c r="E43" s="12">
        <f>C43*D43</f>
        <v>3.0789443187825692E-2</v>
      </c>
    </row>
    <row r="44" spans="2:5" x14ac:dyDescent="0.2">
      <c r="B44" s="5">
        <v>328</v>
      </c>
      <c r="C44" s="12">
        <f>VLOOKUP(B44,'Raw Data'!B:C,2,0)</f>
        <v>12.7</v>
      </c>
      <c r="D44" s="31">
        <f>VLOOKUP(B44,'Raw Data'!B:D,3,0)</f>
        <v>3.031552128712791E-2</v>
      </c>
      <c r="E44" s="12">
        <f>C44*D44</f>
        <v>0.38500712034652446</v>
      </c>
    </row>
    <row r="45" spans="2:5" x14ac:dyDescent="0.2">
      <c r="B45" s="5">
        <v>617</v>
      </c>
      <c r="C45" s="12">
        <f>VLOOKUP(B45,'Raw Data'!B:C,2,0)</f>
        <v>11.2</v>
      </c>
      <c r="D45" s="31">
        <f>VLOOKUP(B45,'Raw Data'!B:D,3,0)</f>
        <v>7.4819156797534814E-3</v>
      </c>
      <c r="E45" s="12">
        <f>C45*D45</f>
        <v>8.379745561323898E-2</v>
      </c>
    </row>
    <row r="46" spans="2:5" x14ac:dyDescent="0.2">
      <c r="B46" s="5">
        <v>538</v>
      </c>
      <c r="C46" s="12">
        <f>VLOOKUP(B46,'Raw Data'!B:C,2,0)</f>
        <v>8.5</v>
      </c>
      <c r="D46" s="31">
        <f>VLOOKUP(B46,'Raw Data'!B:D,3,0)</f>
        <v>3.5221232245934916E-2</v>
      </c>
      <c r="E46" s="12">
        <f>C46*D46</f>
        <v>0.29938047409044677</v>
      </c>
    </row>
    <row r="47" spans="2:5" x14ac:dyDescent="0.2">
      <c r="B47" s="5">
        <v>188</v>
      </c>
      <c r="C47" s="12">
        <f>VLOOKUP(B47,'Raw Data'!B:C,2,0)</f>
        <v>18.3</v>
      </c>
      <c r="D47" s="31">
        <f>VLOOKUP(B47,'Raw Data'!B:D,3,0)</f>
        <v>6.8608232474260442E-2</v>
      </c>
      <c r="E47" s="12">
        <f>C47*D47</f>
        <v>1.2555306542789662</v>
      </c>
    </row>
    <row r="48" spans="2:5" x14ac:dyDescent="0.2">
      <c r="B48" s="5">
        <v>27</v>
      </c>
      <c r="C48" s="12">
        <f>VLOOKUP(B48,'Raw Data'!B:C,2,0)</f>
        <v>8.9</v>
      </c>
      <c r="D48" s="31">
        <f>VLOOKUP(B48,'Raw Data'!B:D,3,0)</f>
        <v>7.8633135137934022E-3</v>
      </c>
      <c r="E48" s="12">
        <f>C48*D48</f>
        <v>6.9983490272761281E-2</v>
      </c>
    </row>
    <row r="49" spans="2:5" x14ac:dyDescent="0.2">
      <c r="B49" s="5">
        <v>558</v>
      </c>
      <c r="C49" s="12">
        <f>VLOOKUP(B49,'Raw Data'!B:C,2,0)</f>
        <v>14.4</v>
      </c>
      <c r="D49" s="31">
        <f>VLOOKUP(B49,'Raw Data'!B:D,3,0)</f>
        <v>7.8186078716615579E-2</v>
      </c>
      <c r="E49" s="12">
        <f>C49*D49</f>
        <v>1.1258795335192644</v>
      </c>
    </row>
    <row r="50" spans="2:5" x14ac:dyDescent="0.2">
      <c r="B50" s="5">
        <v>399</v>
      </c>
      <c r="C50" s="12">
        <f>VLOOKUP(B50,'Raw Data'!B:C,2,0)</f>
        <v>16.5</v>
      </c>
      <c r="D50" s="31">
        <f>VLOOKUP(B50,'Raw Data'!B:D,3,0)</f>
        <v>9.8233832906814686E-2</v>
      </c>
      <c r="E50" s="12">
        <f>C50*D50</f>
        <v>1.6208582429624423</v>
      </c>
    </row>
    <row r="51" spans="2:5" x14ac:dyDescent="0.2">
      <c r="B51" s="5">
        <v>78</v>
      </c>
      <c r="C51" s="12">
        <f>VLOOKUP(B51,'Raw Data'!B:C,2,0)</f>
        <v>11.1</v>
      </c>
      <c r="D51" s="31">
        <f>VLOOKUP(B51,'Raw Data'!B:D,3,0)</f>
        <v>2.2413307659676753E-3</v>
      </c>
      <c r="E51" s="12">
        <f>C51*D51</f>
        <v>2.4878771502241194E-2</v>
      </c>
    </row>
    <row r="52" spans="2:5" x14ac:dyDescent="0.2">
      <c r="B52" s="5">
        <v>900</v>
      </c>
      <c r="C52" s="12">
        <f>VLOOKUP(B52,'Raw Data'!B:C,2,0)</f>
        <v>5.8</v>
      </c>
      <c r="D52" s="31">
        <f>VLOOKUP(B52,'Raw Data'!B:D,3,0)</f>
        <v>8.8094059899673324E-2</v>
      </c>
      <c r="E52" s="12">
        <f>C52*D52</f>
        <v>0.51094554741810527</v>
      </c>
    </row>
  </sheetData>
  <autoFilter ref="B2:E2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2:Q23"/>
  <sheetViews>
    <sheetView workbookViewId="0">
      <selection activeCell="N27" sqref="N27"/>
    </sheetView>
  </sheetViews>
  <sheetFormatPr baseColWidth="10" defaultColWidth="8.83203125" defaultRowHeight="15" x14ac:dyDescent="0.2"/>
  <cols>
    <col min="2" max="2" width="8.83203125" customWidth="1"/>
    <col min="3" max="3" width="15.83203125" bestFit="1" customWidth="1"/>
    <col min="4" max="5" width="14.83203125" customWidth="1"/>
    <col min="6" max="6" width="4.1640625" customWidth="1"/>
    <col min="7" max="7" width="6.33203125" bestFit="1" customWidth="1"/>
    <col min="8" max="8" width="13" bestFit="1" customWidth="1"/>
    <col min="10" max="10" width="12.5" customWidth="1"/>
    <col min="13" max="13" width="15.83203125" bestFit="1" customWidth="1"/>
    <col min="14" max="14" width="13" bestFit="1" customWidth="1"/>
    <col min="15" max="15" width="13" customWidth="1"/>
    <col min="17" max="17" width="13.83203125" bestFit="1" customWidth="1"/>
  </cols>
  <sheetData>
    <row r="2" spans="2:17" x14ac:dyDescent="0.2">
      <c r="C2" s="9" t="s">
        <v>6</v>
      </c>
      <c r="D2" s="8" t="s">
        <v>0</v>
      </c>
      <c r="E2" s="8" t="s">
        <v>10</v>
      </c>
      <c r="H2" s="8" t="s">
        <v>7</v>
      </c>
      <c r="I2" s="8" t="s">
        <v>0</v>
      </c>
      <c r="J2" s="8" t="s">
        <v>14</v>
      </c>
      <c r="M2" s="9" t="s">
        <v>6</v>
      </c>
      <c r="N2" s="9" t="s">
        <v>7</v>
      </c>
      <c r="O2" s="9" t="s">
        <v>19</v>
      </c>
      <c r="Q2" s="10" t="s">
        <v>15</v>
      </c>
    </row>
    <row r="3" spans="2:17" x14ac:dyDescent="0.2">
      <c r="B3" s="5">
        <v>1</v>
      </c>
      <c r="C3" s="14">
        <f>LARGE('One-time Purchase'!C3:C52,1)</f>
        <v>20</v>
      </c>
      <c r="D3" s="15">
        <f>IFERROR(INDEX('One-time Purchase'!$B$3:$B$52,MATCH($C3,'One-time Purchase'!$C$3:$C$52,0)),"")</f>
        <v>262</v>
      </c>
      <c r="E3" s="14">
        <f>VLOOKUP(D3,'One-time Purchase'!B:E,4,0)</f>
        <v>2.6828887122638729</v>
      </c>
      <c r="F3" s="4"/>
      <c r="G3" s="5">
        <v>1</v>
      </c>
      <c r="H3" s="14">
        <f>LARGE('One-time Purchase'!E3:E52,1)</f>
        <v>5.2068726680370689</v>
      </c>
      <c r="I3" s="15">
        <f>IFERROR(INDEX('One-time Purchase'!$B$3:$B$52,MATCH($H3,'One-time Purchase'!$E$3:$E$52,0)),"")</f>
        <v>267</v>
      </c>
      <c r="J3" s="14">
        <f>VLOOKUP(I3,'One-time Purchase'!B:C,2,0)</f>
        <v>18.899999999999999</v>
      </c>
      <c r="L3" s="9" t="s">
        <v>11</v>
      </c>
      <c r="M3" s="21">
        <f>C23</f>
        <v>344.6</v>
      </c>
      <c r="N3" s="21">
        <f>J23</f>
        <v>299</v>
      </c>
      <c r="O3" s="26">
        <f>IFERROR(N3/M3-1,"")</f>
        <v>-0.13232733604178759</v>
      </c>
      <c r="Q3" s="6" t="s">
        <v>16</v>
      </c>
    </row>
    <row r="4" spans="2:17" x14ac:dyDescent="0.2">
      <c r="B4" s="5">
        <f t="shared" ref="B4:B22" si="0">B3+1</f>
        <v>2</v>
      </c>
      <c r="C4" s="14">
        <f>LARGE('One-time Purchase'!C3:C52,2)</f>
        <v>19.8</v>
      </c>
      <c r="D4" s="15">
        <f>IFERROR(INDEX('One-time Purchase'!$B$3:$B$52,MATCH($C4,'One-time Purchase'!$C$3:$C$52,0)),"")</f>
        <v>759</v>
      </c>
      <c r="E4" s="14">
        <f>VLOOKUP(D4,'One-time Purchase'!B:E,4,0)</f>
        <v>3.9636438719157447</v>
      </c>
      <c r="F4" s="4"/>
      <c r="G4" s="5">
        <f t="shared" ref="G4:G22" si="1">G3+1</f>
        <v>2</v>
      </c>
      <c r="H4" s="14">
        <f>LARGE('One-time Purchase'!E3:E52,2)</f>
        <v>5.0785392214059994</v>
      </c>
      <c r="I4" s="15">
        <f>IFERROR(INDEX('One-time Purchase'!$B$3:$B$52,MATCH($H4,'One-time Purchase'!$E$3:$E$52,0)),"")</f>
        <v>934</v>
      </c>
      <c r="J4" s="14">
        <f>VLOOKUP(I4,'One-time Purchase'!B:C,2,0)</f>
        <v>18.399999999999999</v>
      </c>
      <c r="L4" s="9" t="s">
        <v>2</v>
      </c>
      <c r="M4" s="21">
        <f>E23</f>
        <v>58.511771707038179</v>
      </c>
      <c r="N4" s="21">
        <f>H23</f>
        <v>63.179969718105433</v>
      </c>
      <c r="O4" s="26">
        <f>IFERROR(N4/M4-1,"")</f>
        <v>7.978220236502831E-2</v>
      </c>
      <c r="Q4" s="22" t="s">
        <v>17</v>
      </c>
    </row>
    <row r="5" spans="2:17" x14ac:dyDescent="0.2">
      <c r="B5" s="5">
        <f t="shared" si="0"/>
        <v>3</v>
      </c>
      <c r="C5" s="14">
        <f>LARGE('One-time Purchase'!C3:C52,3)</f>
        <v>19.7</v>
      </c>
      <c r="D5" s="15">
        <f>IFERROR(INDEX('One-time Purchase'!$B$3:$B$52,MATCH($C5,'One-time Purchase'!$C$3:$C$52,0)),"")</f>
        <v>69</v>
      </c>
      <c r="E5" s="14">
        <f>VLOOKUP(D5,'One-time Purchase'!B:E,4,0)</f>
        <v>1.7078253725409711</v>
      </c>
      <c r="F5" s="4"/>
      <c r="G5" s="5">
        <f t="shared" si="1"/>
        <v>3</v>
      </c>
      <c r="H5" s="14">
        <f>LARGE('One-time Purchase'!E3:E52,3)</f>
        <v>4.4223268949058046</v>
      </c>
      <c r="I5" s="15">
        <f>IFERROR(INDEX('One-time Purchase'!$B$3:$B$52,MATCH($H5,'One-time Purchase'!$E$3:$E$52,0)),"")</f>
        <v>761</v>
      </c>
      <c r="J5" s="14">
        <f>VLOOKUP(I5,'One-time Purchase'!B:C,2,0)</f>
        <v>15.8</v>
      </c>
    </row>
    <row r="6" spans="2:17" x14ac:dyDescent="0.2">
      <c r="B6" s="5">
        <f t="shared" si="0"/>
        <v>4</v>
      </c>
      <c r="C6" s="14">
        <f>LARGE('One-time Purchase'!C3:C52,4)</f>
        <v>18.899999999999999</v>
      </c>
      <c r="D6" s="15">
        <f>IFERROR(INDEX('One-time Purchase'!$B$3:$B$52,MATCH($C6,'One-time Purchase'!$C$3:$C$52,0)),"")</f>
        <v>267</v>
      </c>
      <c r="E6" s="14">
        <f>VLOOKUP(D6,'One-time Purchase'!B:E,4,0)</f>
        <v>5.2068726680370689</v>
      </c>
      <c r="F6" s="4"/>
      <c r="G6" s="5">
        <f t="shared" si="1"/>
        <v>4</v>
      </c>
      <c r="H6" s="14">
        <f>LARGE('One-time Purchase'!E3:E52,4)</f>
        <v>4.3311519022491778</v>
      </c>
      <c r="I6" s="15">
        <f>IFERROR(INDEX('One-time Purchase'!$B$3:$B$52,MATCH($H6,'One-time Purchase'!$E$3:$E$52,0)),"")</f>
        <v>798</v>
      </c>
      <c r="J6" s="14">
        <f>VLOOKUP(I6,'One-time Purchase'!B:C,2,0)</f>
        <v>15.9</v>
      </c>
    </row>
    <row r="7" spans="2:17" x14ac:dyDescent="0.2">
      <c r="B7" s="5">
        <f t="shared" si="0"/>
        <v>5</v>
      </c>
      <c r="C7" s="14">
        <f>LARGE('One-time Purchase'!C3:C52,5)</f>
        <v>18.8</v>
      </c>
      <c r="D7" s="15">
        <f>IFERROR(INDEX('One-time Purchase'!$B$3:$B$52,MATCH($C7,'One-time Purchase'!$C$3:$C$52,0)),"")</f>
        <v>362</v>
      </c>
      <c r="E7" s="14">
        <f>VLOOKUP(D7,'One-time Purchase'!B:E,4,0)</f>
        <v>3.5960553818815733</v>
      </c>
      <c r="F7" s="4"/>
      <c r="G7" s="5">
        <f t="shared" si="1"/>
        <v>5</v>
      </c>
      <c r="H7" s="14">
        <f>LARGE('One-time Purchase'!E3:E52,5)</f>
        <v>4.1649447212563313</v>
      </c>
      <c r="I7" s="15">
        <f>IFERROR(INDEX('One-time Purchase'!$B$3:$B$52,MATCH($H7,'One-time Purchase'!$E$3:$E$52,0)),"")</f>
        <v>308</v>
      </c>
      <c r="J7" s="14">
        <f>VLOOKUP(I7,'One-time Purchase'!B:C,2,0)</f>
        <v>16.899999999999999</v>
      </c>
    </row>
    <row r="8" spans="2:17" x14ac:dyDescent="0.2">
      <c r="B8" s="5">
        <f t="shared" si="0"/>
        <v>6</v>
      </c>
      <c r="C8" s="14">
        <f>LARGE('One-time Purchase'!C3:C52,6)</f>
        <v>18.7</v>
      </c>
      <c r="D8" s="15">
        <f>IFERROR(INDEX('One-time Purchase'!$B$3:$B$52,MATCH($C8,'One-time Purchase'!$C$3:$C$52,0)),"")</f>
        <v>63</v>
      </c>
      <c r="E8" s="14">
        <f>VLOOKUP(D8,'One-time Purchase'!B:E,4,0)</f>
        <v>1.3947207945977429</v>
      </c>
      <c r="F8" s="4"/>
      <c r="G8" s="5">
        <f t="shared" si="1"/>
        <v>6</v>
      </c>
      <c r="H8" s="14">
        <f>LARGE('One-time Purchase'!E3:E52,6)</f>
        <v>3.9636438719157447</v>
      </c>
      <c r="I8" s="15">
        <f>IFERROR(INDEX('One-time Purchase'!$B$3:$B$52,MATCH($H8,'One-time Purchase'!$E$3:$E$52,0)),"")</f>
        <v>759</v>
      </c>
      <c r="J8" s="14">
        <f>VLOOKUP(I8,'One-time Purchase'!B:C,2,0)</f>
        <v>19.8</v>
      </c>
    </row>
    <row r="9" spans="2:17" x14ac:dyDescent="0.2">
      <c r="B9" s="5">
        <f t="shared" si="0"/>
        <v>7</v>
      </c>
      <c r="C9" s="14">
        <f>LARGE('One-time Purchase'!C3:C52,7)</f>
        <v>18.399999999999999</v>
      </c>
      <c r="D9" s="15">
        <f>IFERROR(INDEX('One-time Purchase'!$B$3:$B$52,MATCH($C9,'One-time Purchase'!$C$3:$C$52,0)),"")</f>
        <v>934</v>
      </c>
      <c r="E9" s="14">
        <f>VLOOKUP(D9,'One-time Purchase'!B:E,4,0)</f>
        <v>5.0785392214059994</v>
      </c>
      <c r="F9" s="4"/>
      <c r="G9" s="5">
        <f t="shared" si="1"/>
        <v>7</v>
      </c>
      <c r="H9" s="14">
        <f>LARGE('One-time Purchase'!E3:E52,7)</f>
        <v>3.8449218825171916</v>
      </c>
      <c r="I9" s="15">
        <f>IFERROR(INDEX('One-time Purchase'!$B$3:$B$52,MATCH($H9,'One-time Purchase'!$E$3:$E$52,0)),"")</f>
        <v>650</v>
      </c>
      <c r="J9" s="14">
        <f>VLOOKUP(I9,'One-time Purchase'!B:C,2,0)</f>
        <v>16.2</v>
      </c>
    </row>
    <row r="10" spans="2:17" x14ac:dyDescent="0.2">
      <c r="B10" s="5">
        <f t="shared" si="0"/>
        <v>8</v>
      </c>
      <c r="C10" s="14">
        <f>LARGE('One-time Purchase'!C3:C52,8)</f>
        <v>18.3</v>
      </c>
      <c r="D10" s="15">
        <f>IFERROR(INDEX('One-time Purchase'!$B$3:$B$52,MATCH($C10,'One-time Purchase'!$C$3:$C$52,0)),"")</f>
        <v>188</v>
      </c>
      <c r="E10" s="14">
        <f>VLOOKUP(D10,'One-time Purchase'!B:E,4,0)</f>
        <v>1.2555306542789662</v>
      </c>
      <c r="F10" s="4"/>
      <c r="G10" s="5">
        <f t="shared" si="1"/>
        <v>8</v>
      </c>
      <c r="H10" s="14">
        <f>LARGE('One-time Purchase'!E3:E52,8)</f>
        <v>3.7752482913963337</v>
      </c>
      <c r="I10" s="15">
        <f>IFERROR(INDEX('One-time Purchase'!$B$3:$B$52,MATCH($H10,'One-time Purchase'!$E$3:$E$52,0)),"")</f>
        <v>134</v>
      </c>
      <c r="J10" s="14">
        <f>VLOOKUP(I10,'One-time Purchase'!B:C,2,0)</f>
        <v>14.9</v>
      </c>
    </row>
    <row r="11" spans="2:17" x14ac:dyDescent="0.2">
      <c r="B11" s="5">
        <f t="shared" si="0"/>
        <v>9</v>
      </c>
      <c r="C11" s="14">
        <f>LARGE('One-time Purchase'!C3:C52,9)</f>
        <v>17.600000000000001</v>
      </c>
      <c r="D11" s="15">
        <f>IFERROR(INDEX('One-time Purchase'!$B$3:$B$52,MATCH($C11,'One-time Purchase'!$C$3:$C$52,0)),"")</f>
        <v>949</v>
      </c>
      <c r="E11" s="14">
        <f>VLOOKUP(D11,'One-time Purchase'!B:E,4,0)</f>
        <v>1.7885402214627917</v>
      </c>
      <c r="F11" s="4"/>
      <c r="G11" s="5">
        <f t="shared" si="1"/>
        <v>9</v>
      </c>
      <c r="H11" s="14">
        <f>LARGE('One-time Purchase'!E3:E52,9)</f>
        <v>3.5960553818815733</v>
      </c>
      <c r="I11" s="15">
        <f>IFERROR(INDEX('One-time Purchase'!$B$3:$B$52,MATCH($H11,'One-time Purchase'!$E$3:$E$52,0)),"")</f>
        <v>362</v>
      </c>
      <c r="J11" s="14">
        <f>VLOOKUP(I11,'One-time Purchase'!B:C,2,0)</f>
        <v>18.8</v>
      </c>
    </row>
    <row r="12" spans="2:17" x14ac:dyDescent="0.2">
      <c r="B12" s="5">
        <f t="shared" si="0"/>
        <v>10</v>
      </c>
      <c r="C12" s="14">
        <f>LARGE('One-time Purchase'!C3:C52,10)</f>
        <v>16.899999999999999</v>
      </c>
      <c r="D12" s="15">
        <f>IFERROR(INDEX('One-time Purchase'!$B$3:$B$52,MATCH($C12,'One-time Purchase'!$C$3:$C$52,0)),"")</f>
        <v>308</v>
      </c>
      <c r="E12" s="14">
        <f>VLOOKUP(D12,'One-time Purchase'!B:E,4,0)</f>
        <v>4.1649447212563313</v>
      </c>
      <c r="F12" s="4"/>
      <c r="G12" s="5">
        <f t="shared" si="1"/>
        <v>10</v>
      </c>
      <c r="H12" s="14">
        <f>LARGE('One-time Purchase'!E3:E52,10)</f>
        <v>2.6828887122638729</v>
      </c>
      <c r="I12" s="15">
        <f>IFERROR(INDEX('One-time Purchase'!$B$3:$B$52,MATCH($H12,'One-time Purchase'!$E$3:$E$52,0)),"")</f>
        <v>262</v>
      </c>
      <c r="J12" s="14">
        <f>VLOOKUP(I12,'One-time Purchase'!B:C,2,0)</f>
        <v>20</v>
      </c>
    </row>
    <row r="13" spans="2:17" x14ac:dyDescent="0.2">
      <c r="B13" s="5">
        <f t="shared" si="0"/>
        <v>11</v>
      </c>
      <c r="C13" s="14">
        <f>LARGE('One-time Purchase'!C3:C52,11)</f>
        <v>16.8</v>
      </c>
      <c r="D13" s="15">
        <f>IFERROR(INDEX('One-time Purchase'!$B$3:$B$52,MATCH($C13,'One-time Purchase'!$C$3:$C$52,0)),"")</f>
        <v>878</v>
      </c>
      <c r="E13" s="14">
        <f>VLOOKUP(D13,'One-time Purchase'!B:E,4,0)</f>
        <v>0.88468264435652677</v>
      </c>
      <c r="F13" s="4"/>
      <c r="G13" s="5">
        <f t="shared" si="1"/>
        <v>11</v>
      </c>
      <c r="H13" s="14">
        <f>LARGE('One-time Purchase'!E3:E52,11)</f>
        <v>2.6184417513598386</v>
      </c>
      <c r="I13" s="15">
        <f>IFERROR(INDEX('One-time Purchase'!$B$3:$B$52,MATCH($H13,'One-time Purchase'!$E$3:$E$52,0)),"")</f>
        <v>713</v>
      </c>
      <c r="J13" s="14">
        <f>VLOOKUP(I13,'One-time Purchase'!B:C,2,0)</f>
        <v>12.1</v>
      </c>
    </row>
    <row r="14" spans="2:17" x14ac:dyDescent="0.2">
      <c r="B14" s="5">
        <f t="shared" si="0"/>
        <v>12</v>
      </c>
      <c r="C14" s="14">
        <f>LARGE('One-time Purchase'!C3:C52,12)</f>
        <v>16.5</v>
      </c>
      <c r="D14" s="15">
        <f>IFERROR(INDEX('One-time Purchase'!$B$3:$B$52,MATCH($C14,'One-time Purchase'!$C$3:$C$52,0)),"")</f>
        <v>399</v>
      </c>
      <c r="E14" s="14">
        <f>VLOOKUP(D14,'One-time Purchase'!B:E,4,0)</f>
        <v>1.6208582429624423</v>
      </c>
      <c r="F14" s="4"/>
      <c r="G14" s="5">
        <f t="shared" si="1"/>
        <v>12</v>
      </c>
      <c r="H14" s="14">
        <f>LARGE('One-time Purchase'!E3:E52,12)</f>
        <v>2.5922343763779314</v>
      </c>
      <c r="I14" s="15">
        <f>IFERROR(INDEX('One-time Purchase'!$B$3:$B$52,MATCH($H14,'One-time Purchase'!$E$3:$E$52,0)),"")</f>
        <v>269</v>
      </c>
      <c r="J14" s="14">
        <f>VLOOKUP(I14,'One-time Purchase'!B:C,2,0)</f>
        <v>8.9</v>
      </c>
    </row>
    <row r="15" spans="2:17" x14ac:dyDescent="0.2">
      <c r="B15" s="5">
        <f t="shared" si="0"/>
        <v>13</v>
      </c>
      <c r="C15" s="14">
        <f>LARGE('One-time Purchase'!C3:C52,13)</f>
        <v>16.2</v>
      </c>
      <c r="D15" s="15">
        <f>IFERROR(INDEX('One-time Purchase'!$B$3:$B$52,MATCH($C15,'One-time Purchase'!$C$3:$C$52,0)),"")</f>
        <v>650</v>
      </c>
      <c r="E15" s="14">
        <f>VLOOKUP(D15,'One-time Purchase'!B:E,4,0)</f>
        <v>3.8449218825171916</v>
      </c>
      <c r="F15" s="4"/>
      <c r="G15" s="5">
        <f t="shared" si="1"/>
        <v>13</v>
      </c>
      <c r="H15" s="14">
        <f>LARGE('One-time Purchase'!E3:E52,13)</f>
        <v>2.4593210476613856</v>
      </c>
      <c r="I15" s="15">
        <f>IFERROR(INDEX('One-time Purchase'!$B$3:$B$52,MATCH($H15,'One-time Purchase'!$E$3:$E$52,0)),"")</f>
        <v>859</v>
      </c>
      <c r="J15" s="14">
        <f>VLOOKUP(I15,'One-time Purchase'!B:C,2,0)</f>
        <v>14.8</v>
      </c>
    </row>
    <row r="16" spans="2:17" x14ac:dyDescent="0.2">
      <c r="B16" s="5">
        <f t="shared" si="0"/>
        <v>14</v>
      </c>
      <c r="C16" s="14">
        <f>LARGE('One-time Purchase'!C3:C52,14)</f>
        <v>16.100000000000001</v>
      </c>
      <c r="D16" s="15">
        <f>IFERROR(INDEX('One-time Purchase'!$B$3:$B$52,MATCH($C16,'One-time Purchase'!$C$3:$C$52,0)),"")</f>
        <v>370</v>
      </c>
      <c r="E16" s="14">
        <f>VLOOKUP(D16,'One-time Purchase'!B:E,4,0)</f>
        <v>2.1036106902363154</v>
      </c>
      <c r="F16" s="4"/>
      <c r="G16" s="5">
        <f t="shared" si="1"/>
        <v>14</v>
      </c>
      <c r="H16" s="14">
        <f>LARGE('One-time Purchase'!E3:E52,14)</f>
        <v>2.4258858768261784</v>
      </c>
      <c r="I16" s="15">
        <f>IFERROR(INDEX('One-time Purchase'!$B$3:$B$52,MATCH($H16,'One-time Purchase'!$E$3:$E$52,0)),"")</f>
        <v>553</v>
      </c>
      <c r="J16" s="14">
        <f>VLOOKUP(I16,'One-time Purchase'!B:C,2,0)</f>
        <v>8.5</v>
      </c>
    </row>
    <row r="17" spans="2:10" x14ac:dyDescent="0.2">
      <c r="B17" s="5">
        <f t="shared" si="0"/>
        <v>15</v>
      </c>
      <c r="C17" s="14">
        <f>LARGE('One-time Purchase'!C3:C52,15)</f>
        <v>16</v>
      </c>
      <c r="D17" s="15">
        <f>IFERROR(INDEX('One-time Purchase'!$B$3:$B$52,MATCH($C17,'One-time Purchase'!$C$3:$C$52,0)),"")</f>
        <v>150</v>
      </c>
      <c r="E17" s="14">
        <f>VLOOKUP(D17,'One-time Purchase'!B:E,4,0)</f>
        <v>1.8255618864845884</v>
      </c>
      <c r="F17" s="4"/>
      <c r="G17" s="5">
        <f t="shared" si="1"/>
        <v>15</v>
      </c>
      <c r="H17" s="14">
        <f>LARGE('One-time Purchase'!E3:E52,15)</f>
        <v>2.4045266046273648</v>
      </c>
      <c r="I17" s="15">
        <f>IFERROR(INDEX('One-time Purchase'!$B$3:$B$52,MATCH($H17,'One-time Purchase'!$E$3:$E$52,0)),"")</f>
        <v>747</v>
      </c>
      <c r="J17" s="14">
        <f>VLOOKUP(I17,'One-time Purchase'!B:C,2,0)</f>
        <v>14.5</v>
      </c>
    </row>
    <row r="18" spans="2:10" x14ac:dyDescent="0.2">
      <c r="B18" s="5">
        <f t="shared" si="0"/>
        <v>16</v>
      </c>
      <c r="C18" s="14">
        <f>LARGE('One-time Purchase'!C3:C52,16)</f>
        <v>15.9</v>
      </c>
      <c r="D18" s="15">
        <f>IFERROR(INDEX('One-time Purchase'!$B$3:$B$52,MATCH($C18,'One-time Purchase'!$C$3:$C$52,0)),"")</f>
        <v>798</v>
      </c>
      <c r="E18" s="14">
        <f>VLOOKUP(D18,'One-time Purchase'!B:E,4,0)</f>
        <v>4.3311519022491778</v>
      </c>
      <c r="F18" s="4"/>
      <c r="G18" s="5">
        <f t="shared" si="1"/>
        <v>16</v>
      </c>
      <c r="H18" s="14">
        <f>LARGE('One-time Purchase'!E3:E52,16)</f>
        <v>2.1036106902363154</v>
      </c>
      <c r="I18" s="15">
        <f>IFERROR(INDEX('One-time Purchase'!$B$3:$B$52,MATCH($H18,'One-time Purchase'!$E$3:$E$52,0)),"")</f>
        <v>370</v>
      </c>
      <c r="J18" s="14">
        <f>VLOOKUP(I18,'One-time Purchase'!B:C,2,0)</f>
        <v>16.100000000000001</v>
      </c>
    </row>
    <row r="19" spans="2:10" x14ac:dyDescent="0.2">
      <c r="B19" s="5">
        <f t="shared" si="0"/>
        <v>17</v>
      </c>
      <c r="C19" s="14">
        <f>LARGE('One-time Purchase'!C3:C52,17)</f>
        <v>15.8</v>
      </c>
      <c r="D19" s="15">
        <f>IFERROR(INDEX('One-time Purchase'!$B$3:$B$52,MATCH($C19,'One-time Purchase'!$C$3:$C$52,0)),"")</f>
        <v>761</v>
      </c>
      <c r="E19" s="14">
        <f>VLOOKUP(D19,'One-time Purchase'!B:E,4,0)</f>
        <v>4.4223268949058046</v>
      </c>
      <c r="F19" s="4"/>
      <c r="G19" s="5">
        <f t="shared" si="1"/>
        <v>17</v>
      </c>
      <c r="H19" s="14">
        <f>LARGE('One-time Purchase'!E3:E52,17)</f>
        <v>1.9867153894951666</v>
      </c>
      <c r="I19" s="15">
        <f>IFERROR(INDEX('One-time Purchase'!$B$3:$B$52,MATCH($H19,'One-time Purchase'!$E$3:$E$52,0)),"")</f>
        <v>865</v>
      </c>
      <c r="J19" s="14">
        <f>VLOOKUP(I19,'One-time Purchase'!B:C,2,0)</f>
        <v>11.5</v>
      </c>
    </row>
    <row r="20" spans="2:10" x14ac:dyDescent="0.2">
      <c r="B20" s="5">
        <f t="shared" si="0"/>
        <v>18</v>
      </c>
      <c r="C20" s="14">
        <f>LARGE('One-time Purchase'!C3:C52,18)</f>
        <v>14.9</v>
      </c>
      <c r="D20" s="15">
        <f>IFERROR(INDEX('One-time Purchase'!$B$3:$B$52,MATCH($C20,'One-time Purchase'!$C$3:$C$52,0)),"")</f>
        <v>134</v>
      </c>
      <c r="E20" s="14">
        <f>VLOOKUP(D20,'One-time Purchase'!B:E,4,0)</f>
        <v>3.7752482913963337</v>
      </c>
      <c r="F20" s="4"/>
      <c r="G20" s="5">
        <f t="shared" si="1"/>
        <v>18</v>
      </c>
      <c r="H20" s="14">
        <f>LARGE('One-time Purchase'!E3:E52,18)</f>
        <v>1.863309193658778</v>
      </c>
      <c r="I20" s="15">
        <f>IFERROR(INDEX('One-time Purchase'!$B$3:$B$52,MATCH($H20,'One-time Purchase'!$E$3:$E$52,0)),"")</f>
        <v>428</v>
      </c>
      <c r="J20" s="14">
        <f>VLOOKUP(I20,'One-time Purchase'!B:C,2,0)</f>
        <v>12.2</v>
      </c>
    </row>
    <row r="21" spans="2:10" x14ac:dyDescent="0.2">
      <c r="B21" s="5">
        <f t="shared" si="0"/>
        <v>19</v>
      </c>
      <c r="C21" s="14">
        <f>LARGE('One-time Purchase'!C3:C52,19)</f>
        <v>14.8</v>
      </c>
      <c r="D21" s="15">
        <f>IFERROR(INDEX('One-time Purchase'!$B$3:$B$52,MATCH($C21,'One-time Purchase'!$C$3:$C$52,0)),"")</f>
        <v>859</v>
      </c>
      <c r="E21" s="14">
        <f>VLOOKUP(D21,'One-time Purchase'!B:E,4,0)</f>
        <v>2.4593210476613856</v>
      </c>
      <c r="F21" s="4"/>
      <c r="G21" s="5">
        <f t="shared" si="1"/>
        <v>19</v>
      </c>
      <c r="H21" s="14">
        <f>LARGE('One-time Purchase'!E3:E52,19)</f>
        <v>1.8337693535487871</v>
      </c>
      <c r="I21" s="15">
        <f>IFERROR(INDEX('One-time Purchase'!$B$3:$B$52,MATCH($H21,'One-time Purchase'!$E$3:$E$52,0)),"")</f>
        <v>881</v>
      </c>
      <c r="J21" s="14">
        <f>VLOOKUP(I21,'One-time Purchase'!B:C,2,0)</f>
        <v>8.8000000000000007</v>
      </c>
    </row>
    <row r="22" spans="2:10" x14ac:dyDescent="0.2">
      <c r="B22" s="5">
        <f t="shared" si="0"/>
        <v>20</v>
      </c>
      <c r="C22" s="14">
        <f>LARGE('One-time Purchase'!C3:C52,20)</f>
        <v>14.5</v>
      </c>
      <c r="D22" s="15">
        <f>IFERROR(INDEX('One-time Purchase'!$B$3:$B$52,MATCH($C22,'One-time Purchase'!$C$3:$C$52,0)),"")</f>
        <v>747</v>
      </c>
      <c r="E22" s="14">
        <f>VLOOKUP(D22,'One-time Purchase'!B:E,4,0)</f>
        <v>2.4045266046273648</v>
      </c>
      <c r="F22" s="4"/>
      <c r="G22" s="5">
        <f t="shared" si="1"/>
        <v>20</v>
      </c>
      <c r="H22" s="14">
        <f>LARGE('One-time Purchase'!E3:E52,20)</f>
        <v>1.8255618864845884</v>
      </c>
      <c r="I22" s="15">
        <f>IFERROR(INDEX('One-time Purchase'!$B$3:$B$52,MATCH($H22,'One-time Purchase'!$E$3:$E$52,0)),"")</f>
        <v>150</v>
      </c>
      <c r="J22" s="14">
        <f>VLOOKUP(I22,'One-time Purchase'!B:C,2,0)</f>
        <v>16</v>
      </c>
    </row>
    <row r="23" spans="2:10" x14ac:dyDescent="0.2">
      <c r="B23" s="7" t="s">
        <v>9</v>
      </c>
      <c r="C23" s="14">
        <f>SUM(C3:C22)</f>
        <v>344.6</v>
      </c>
      <c r="D23" s="4"/>
      <c r="E23" s="23">
        <f>SUM(E3:E22)</f>
        <v>58.511771707038179</v>
      </c>
      <c r="F23" s="4"/>
      <c r="G23" s="7" t="s">
        <v>9</v>
      </c>
      <c r="H23" s="23">
        <f>SUM(H3:H22)</f>
        <v>63.179969718105433</v>
      </c>
      <c r="J23" s="23">
        <f>SUM(J3:J22)</f>
        <v>299</v>
      </c>
    </row>
  </sheetData>
  <conditionalFormatting sqref="O3:O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O52"/>
  <sheetViews>
    <sheetView workbookViewId="0">
      <selection activeCell="L21" sqref="L21"/>
    </sheetView>
  </sheetViews>
  <sheetFormatPr baseColWidth="10" defaultColWidth="8.83203125" defaultRowHeight="15" x14ac:dyDescent="0.2"/>
  <cols>
    <col min="7" max="7" width="11.5" bestFit="1" customWidth="1"/>
    <col min="8" max="8" width="9" bestFit="1" customWidth="1"/>
    <col min="15" max="15" width="13.83203125" bestFit="1" customWidth="1"/>
  </cols>
  <sheetData>
    <row r="1" spans="2:15" x14ac:dyDescent="0.2">
      <c r="G1" s="10" t="s">
        <v>21</v>
      </c>
      <c r="H1" s="20">
        <v>0.05</v>
      </c>
    </row>
    <row r="2" spans="2:15" x14ac:dyDescent="0.2">
      <c r="B2" s="9" t="s">
        <v>0</v>
      </c>
      <c r="C2" s="9" t="s">
        <v>11</v>
      </c>
      <c r="D2" s="9" t="s">
        <v>1</v>
      </c>
      <c r="E2" s="9" t="s">
        <v>2</v>
      </c>
      <c r="F2" s="9" t="s">
        <v>3</v>
      </c>
      <c r="G2" s="9" t="s">
        <v>5</v>
      </c>
      <c r="H2" s="9" t="s">
        <v>4</v>
      </c>
      <c r="O2" s="10" t="s">
        <v>15</v>
      </c>
    </row>
    <row r="3" spans="2:15" x14ac:dyDescent="0.2">
      <c r="B3" s="24">
        <f>'One-time Purchase'!B3</f>
        <v>553</v>
      </c>
      <c r="C3" s="17">
        <f>'One-time Purchase'!C3</f>
        <v>8.5</v>
      </c>
      <c r="D3" s="18">
        <f>'One-time Purchase'!D3</f>
        <v>0.28539833845013862</v>
      </c>
      <c r="E3" s="19">
        <f>'One-time Purchase'!E3</f>
        <v>2.4258858768261784</v>
      </c>
      <c r="F3" s="13">
        <v>3.666609706411688E-2</v>
      </c>
      <c r="G3" s="14">
        <f>(C3*(1+$H$1))/(1+$H$1-F3)</f>
        <v>8.8075608386752187</v>
      </c>
      <c r="H3" s="14">
        <f>(E3*(1+$H$1))/(1+$H$1-F3)</f>
        <v>2.5136632291564167</v>
      </c>
      <c r="O3" s="6" t="s">
        <v>16</v>
      </c>
    </row>
    <row r="4" spans="2:15" x14ac:dyDescent="0.2">
      <c r="B4" s="24">
        <f>'One-time Purchase'!B4</f>
        <v>934</v>
      </c>
      <c r="C4" s="17">
        <f>'One-time Purchase'!C4</f>
        <v>18.399999999999999</v>
      </c>
      <c r="D4" s="18">
        <f>'One-time Purchase'!D4</f>
        <v>0.27600756638076085</v>
      </c>
      <c r="E4" s="19">
        <f>'One-time Purchase'!E4</f>
        <v>5.0785392214059994</v>
      </c>
      <c r="F4" s="13">
        <v>3.6772316108002238E-2</v>
      </c>
      <c r="G4" s="14">
        <f t="shared" ref="G4:G52" si="0">(C4*(1+$H$1))/(1+$H$1-F4)</f>
        <v>19.067777467141692</v>
      </c>
      <c r="H4" s="14">
        <f t="shared" ref="H4:H52" si="1">(E4*(1+$H$1))/(1+$H$1-F4)</f>
        <v>5.2628508549956869</v>
      </c>
      <c r="O4" s="11" t="s">
        <v>17</v>
      </c>
    </row>
    <row r="5" spans="2:15" x14ac:dyDescent="0.2">
      <c r="B5" s="24">
        <f>'One-time Purchase'!B5</f>
        <v>389</v>
      </c>
      <c r="C5" s="17">
        <f>'One-time Purchase'!C5</f>
        <v>6.8</v>
      </c>
      <c r="D5" s="18">
        <f>'One-time Purchase'!D5</f>
        <v>0.26622997371150298</v>
      </c>
      <c r="E5" s="19">
        <f>'One-time Purchase'!E5</f>
        <v>1.8103638212382203</v>
      </c>
      <c r="F5" s="13">
        <v>5.1499115603942408E-2</v>
      </c>
      <c r="G5" s="14">
        <f t="shared" si="0"/>
        <v>7.1507197555649862</v>
      </c>
      <c r="H5" s="14">
        <f t="shared" si="1"/>
        <v>1.9037359325423913</v>
      </c>
    </row>
    <row r="6" spans="2:15" x14ac:dyDescent="0.2">
      <c r="B6" s="24">
        <f>'One-time Purchase'!B6</f>
        <v>650</v>
      </c>
      <c r="C6" s="17">
        <f>'One-time Purchase'!C6</f>
        <v>16.2</v>
      </c>
      <c r="D6" s="18">
        <f>'One-time Purchase'!D6</f>
        <v>0.23734085694550566</v>
      </c>
      <c r="E6" s="19">
        <f>'One-time Purchase'!E6</f>
        <v>3.8449218825171916</v>
      </c>
      <c r="F6" s="13">
        <v>7.9721295543312545E-2</v>
      </c>
      <c r="G6" s="14">
        <f t="shared" si="0"/>
        <v>17.531045380950452</v>
      </c>
      <c r="H6" s="14">
        <f t="shared" si="1"/>
        <v>4.1608333338653285</v>
      </c>
    </row>
    <row r="7" spans="2:15" x14ac:dyDescent="0.2">
      <c r="B7" s="24">
        <f>'One-time Purchase'!B7</f>
        <v>930</v>
      </c>
      <c r="C7" s="17">
        <f>'One-time Purchase'!C7</f>
        <v>6.5</v>
      </c>
      <c r="D7" s="18">
        <f>'One-time Purchase'!D7</f>
        <v>0.27934554799509426</v>
      </c>
      <c r="E7" s="19">
        <f>'One-time Purchase'!E7</f>
        <v>1.8157460619681127</v>
      </c>
      <c r="F7" s="13">
        <v>9.624123613287347E-2</v>
      </c>
      <c r="G7" s="14">
        <f t="shared" si="0"/>
        <v>7.1558975482723106</v>
      </c>
      <c r="H7" s="14">
        <f t="shared" si="1"/>
        <v>1.99896812201888</v>
      </c>
    </row>
    <row r="8" spans="2:15" x14ac:dyDescent="0.2">
      <c r="B8" s="24">
        <f>'One-time Purchase'!B8</f>
        <v>134</v>
      </c>
      <c r="C8" s="17">
        <f>'One-time Purchase'!C8</f>
        <v>14.9</v>
      </c>
      <c r="D8" s="18">
        <f>'One-time Purchase'!D8</f>
        <v>0.25337236855008949</v>
      </c>
      <c r="E8" s="19">
        <f>'One-time Purchase'!E8</f>
        <v>3.7752482913963337</v>
      </c>
      <c r="F8" s="13">
        <v>0.10178637953762565</v>
      </c>
      <c r="G8" s="14">
        <f t="shared" si="0"/>
        <v>16.499446603995292</v>
      </c>
      <c r="H8" s="14">
        <f t="shared" si="1"/>
        <v>4.1805038658200173</v>
      </c>
    </row>
    <row r="9" spans="2:15" x14ac:dyDescent="0.2">
      <c r="B9" s="24">
        <f>'One-time Purchase'!B9</f>
        <v>713</v>
      </c>
      <c r="C9" s="17">
        <f>'One-time Purchase'!C9</f>
        <v>12.1</v>
      </c>
      <c r="D9" s="18">
        <f>'One-time Purchase'!D9</f>
        <v>0.21640014474048253</v>
      </c>
      <c r="E9" s="19">
        <f>'One-time Purchase'!E9</f>
        <v>2.6184417513598386</v>
      </c>
      <c r="F9" s="13">
        <v>0.15765424656475452</v>
      </c>
      <c r="G9" s="14">
        <f t="shared" si="0"/>
        <v>14.237754761637872</v>
      </c>
      <c r="H9" s="14">
        <f t="shared" si="1"/>
        <v>3.0810521911979296</v>
      </c>
    </row>
    <row r="10" spans="2:15" x14ac:dyDescent="0.2">
      <c r="B10" s="24">
        <f>'One-time Purchase'!B10</f>
        <v>269</v>
      </c>
      <c r="C10" s="17">
        <f>'One-time Purchase'!C10</f>
        <v>8.9</v>
      </c>
      <c r="D10" s="18">
        <f>'One-time Purchase'!D10</f>
        <v>0.29126228948066646</v>
      </c>
      <c r="E10" s="19">
        <f>'One-time Purchase'!E10</f>
        <v>2.5922343763779314</v>
      </c>
      <c r="F10" s="13">
        <v>0.16626827435885302</v>
      </c>
      <c r="G10" s="14">
        <f t="shared" si="0"/>
        <v>10.574476086869245</v>
      </c>
      <c r="H10" s="14">
        <f t="shared" si="1"/>
        <v>3.0799461151200944</v>
      </c>
    </row>
    <row r="11" spans="2:15" x14ac:dyDescent="0.2">
      <c r="B11" s="24">
        <f>'One-time Purchase'!B11</f>
        <v>267</v>
      </c>
      <c r="C11" s="17">
        <f>'One-time Purchase'!C11</f>
        <v>18.899999999999999</v>
      </c>
      <c r="D11" s="18">
        <f>'One-time Purchase'!D11</f>
        <v>0.2754959083617497</v>
      </c>
      <c r="E11" s="19">
        <f>'One-time Purchase'!E11</f>
        <v>5.2068726680370689</v>
      </c>
      <c r="F11" s="13">
        <v>0.17441899646644868</v>
      </c>
      <c r="G11" s="14">
        <f t="shared" si="0"/>
        <v>22.66495038141786</v>
      </c>
      <c r="H11" s="14">
        <f t="shared" si="1"/>
        <v>6.2441010933026986</v>
      </c>
    </row>
    <row r="12" spans="2:15" x14ac:dyDescent="0.2">
      <c r="B12" s="24">
        <f>'One-time Purchase'!B12</f>
        <v>308</v>
      </c>
      <c r="C12" s="17">
        <f>'One-time Purchase'!C12</f>
        <v>16.899999999999999</v>
      </c>
      <c r="D12" s="18">
        <f>'One-time Purchase'!D12</f>
        <v>0.2464464332104338</v>
      </c>
      <c r="E12" s="19">
        <f>'One-time Purchase'!E12</f>
        <v>4.1649447212563313</v>
      </c>
      <c r="F12" s="13">
        <v>0.18755752950826854</v>
      </c>
      <c r="G12" s="14">
        <f t="shared" si="0"/>
        <v>20.575285433105449</v>
      </c>
      <c r="H12" s="14">
        <f t="shared" si="1"/>
        <v>5.070705707275434</v>
      </c>
    </row>
    <row r="13" spans="2:15" x14ac:dyDescent="0.2">
      <c r="B13" s="24">
        <f>'One-time Purchase'!B13</f>
        <v>761</v>
      </c>
      <c r="C13" s="17">
        <f>'One-time Purchase'!C13</f>
        <v>15.8</v>
      </c>
      <c r="D13" s="18">
        <f>'One-time Purchase'!D13</f>
        <v>0.27989410727251929</v>
      </c>
      <c r="E13" s="19">
        <f>'One-time Purchase'!E13</f>
        <v>4.4223268949058046</v>
      </c>
      <c r="F13" s="13">
        <v>0.2233235151724238</v>
      </c>
      <c r="G13" s="14">
        <f t="shared" si="0"/>
        <v>20.06831003964054</v>
      </c>
      <c r="H13" s="14">
        <f t="shared" si="1"/>
        <v>5.6170017230133249</v>
      </c>
    </row>
    <row r="14" spans="2:15" x14ac:dyDescent="0.2">
      <c r="B14" s="24">
        <f>'One-time Purchase'!B14</f>
        <v>541</v>
      </c>
      <c r="C14" s="17">
        <f>'One-time Purchase'!C14</f>
        <v>7.7</v>
      </c>
      <c r="D14" s="18">
        <f>'One-time Purchase'!D14</f>
        <v>0.21764643686280236</v>
      </c>
      <c r="E14" s="19">
        <f>'One-time Purchase'!E14</f>
        <v>1.6758775638435781</v>
      </c>
      <c r="F14" s="13">
        <v>0.23402447432368251</v>
      </c>
      <c r="G14" s="14">
        <f t="shared" si="0"/>
        <v>9.9083854179312389</v>
      </c>
      <c r="H14" s="14">
        <f t="shared" si="1"/>
        <v>2.1565247812760826</v>
      </c>
    </row>
    <row r="15" spans="2:15" x14ac:dyDescent="0.2">
      <c r="B15" s="24">
        <f>'One-time Purchase'!B15</f>
        <v>881</v>
      </c>
      <c r="C15" s="17">
        <f>'One-time Purchase'!C15</f>
        <v>8.8000000000000007</v>
      </c>
      <c r="D15" s="18">
        <f>'One-time Purchase'!D15</f>
        <v>0.20838288108508943</v>
      </c>
      <c r="E15" s="19">
        <f>'One-time Purchase'!E15</f>
        <v>1.8337693535487871</v>
      </c>
      <c r="F15" s="13">
        <v>0.23775385339082175</v>
      </c>
      <c r="G15" s="14">
        <f t="shared" si="0"/>
        <v>11.375861909069709</v>
      </c>
      <c r="H15" s="14">
        <f t="shared" si="1"/>
        <v>2.3705348794380714</v>
      </c>
    </row>
    <row r="16" spans="2:15" x14ac:dyDescent="0.2">
      <c r="B16" s="24">
        <f>'One-time Purchase'!B16</f>
        <v>759</v>
      </c>
      <c r="C16" s="17">
        <f>'One-time Purchase'!C16</f>
        <v>19.8</v>
      </c>
      <c r="D16" s="18">
        <f>'One-time Purchase'!D16</f>
        <v>0.20018403393513862</v>
      </c>
      <c r="E16" s="19">
        <f>'One-time Purchase'!E16</f>
        <v>3.9636438719157447</v>
      </c>
      <c r="F16" s="13">
        <v>0.25622620776268112</v>
      </c>
      <c r="G16" s="14">
        <f t="shared" si="0"/>
        <v>26.191340912631571</v>
      </c>
      <c r="H16" s="14">
        <f t="shared" si="1"/>
        <v>5.2430882780610215</v>
      </c>
    </row>
    <row r="17" spans="2:8" x14ac:dyDescent="0.2">
      <c r="B17" s="24">
        <f>'One-time Purchase'!B17</f>
        <v>798</v>
      </c>
      <c r="C17" s="17">
        <f>'One-time Purchase'!C17</f>
        <v>15.9</v>
      </c>
      <c r="D17" s="18">
        <f>'One-time Purchase'!D17</f>
        <v>0.27239949070749547</v>
      </c>
      <c r="E17" s="19">
        <f>'One-time Purchase'!E17</f>
        <v>4.3311519022491778</v>
      </c>
      <c r="F17" s="13">
        <v>0.25973097483388052</v>
      </c>
      <c r="G17" s="14">
        <f t="shared" si="0"/>
        <v>21.125717278986869</v>
      </c>
      <c r="H17" s="14">
        <f t="shared" si="1"/>
        <v>5.7546346276265599</v>
      </c>
    </row>
    <row r="18" spans="2:8" x14ac:dyDescent="0.2">
      <c r="B18" s="24">
        <f>'One-time Purchase'!B18</f>
        <v>370</v>
      </c>
      <c r="C18" s="17">
        <f>'One-time Purchase'!C18</f>
        <v>16.100000000000001</v>
      </c>
      <c r="D18" s="18">
        <f>'One-time Purchase'!D18</f>
        <v>0.13065904908300094</v>
      </c>
      <c r="E18" s="19">
        <f>'One-time Purchase'!E18</f>
        <v>2.1036106902363154</v>
      </c>
      <c r="F18" s="13">
        <v>0.28491770468378286</v>
      </c>
      <c r="G18" s="14">
        <f t="shared" si="0"/>
        <v>22.095662262074661</v>
      </c>
      <c r="H18" s="14">
        <f t="shared" si="1"/>
        <v>2.8869982200218249</v>
      </c>
    </row>
    <row r="19" spans="2:8" x14ac:dyDescent="0.2">
      <c r="B19" s="24">
        <f>'One-time Purchase'!B19</f>
        <v>6</v>
      </c>
      <c r="C19" s="17">
        <f>'One-time Purchase'!C19</f>
        <v>8.1</v>
      </c>
      <c r="D19" s="18">
        <f>'One-time Purchase'!D19</f>
        <v>0.10236009806217575</v>
      </c>
      <c r="E19" s="19">
        <f>'One-time Purchase'!E19</f>
        <v>0.82911679430362351</v>
      </c>
      <c r="F19" s="13">
        <v>0.28985801931199595</v>
      </c>
      <c r="G19" s="14">
        <f t="shared" si="0"/>
        <v>11.188699237874127</v>
      </c>
      <c r="H19" s="14">
        <f t="shared" si="1"/>
        <v>1.1452763511769866</v>
      </c>
    </row>
    <row r="20" spans="2:8" x14ac:dyDescent="0.2">
      <c r="B20" s="24">
        <f>'One-time Purchase'!B20</f>
        <v>968</v>
      </c>
      <c r="C20" s="17">
        <f>'One-time Purchase'!C20</f>
        <v>5.6</v>
      </c>
      <c r="D20" s="18">
        <f>'One-time Purchase'!D20</f>
        <v>0.12338514393920928</v>
      </c>
      <c r="E20" s="19">
        <f>'One-time Purchase'!E20</f>
        <v>0.69095680605957199</v>
      </c>
      <c r="F20" s="13">
        <v>0.31498460421637692</v>
      </c>
      <c r="G20" s="14">
        <f t="shared" si="0"/>
        <v>7.9998324303549397</v>
      </c>
      <c r="H20" s="14">
        <f t="shared" si="1"/>
        <v>0.98706047590889867</v>
      </c>
    </row>
    <row r="21" spans="2:8" x14ac:dyDescent="0.2">
      <c r="B21" s="24">
        <f>'One-time Purchase'!B21</f>
        <v>859</v>
      </c>
      <c r="C21" s="17">
        <f>'One-time Purchase'!C21</f>
        <v>14.8</v>
      </c>
      <c r="D21" s="18">
        <f>'One-time Purchase'!D21</f>
        <v>0.16617034105820172</v>
      </c>
      <c r="E21" s="19">
        <f>'One-time Purchase'!E21</f>
        <v>2.4593210476613856</v>
      </c>
      <c r="F21" s="13">
        <v>0.32707312114876347</v>
      </c>
      <c r="G21" s="14">
        <f t="shared" si="0"/>
        <v>21.495949942674368</v>
      </c>
      <c r="H21" s="14">
        <f t="shared" si="1"/>
        <v>3.5719893333442316</v>
      </c>
    </row>
    <row r="22" spans="2:8" x14ac:dyDescent="0.2">
      <c r="B22" s="24">
        <f>'One-time Purchase'!B22</f>
        <v>150</v>
      </c>
      <c r="C22" s="17">
        <f>'One-time Purchase'!C22</f>
        <v>16</v>
      </c>
      <c r="D22" s="18">
        <f>'One-time Purchase'!D22</f>
        <v>0.11409761790528677</v>
      </c>
      <c r="E22" s="19">
        <f>'One-time Purchase'!E22</f>
        <v>1.8255618864845884</v>
      </c>
      <c r="F22" s="13">
        <v>0.33106518127828755</v>
      </c>
      <c r="G22" s="14">
        <f t="shared" si="0"/>
        <v>23.367904241821115</v>
      </c>
      <c r="H22" s="14">
        <f t="shared" si="1"/>
        <v>2.6662222094306358</v>
      </c>
    </row>
    <row r="23" spans="2:8" x14ac:dyDescent="0.2">
      <c r="B23" s="24">
        <f>'One-time Purchase'!B23</f>
        <v>428</v>
      </c>
      <c r="C23" s="17">
        <f>'One-time Purchase'!C23</f>
        <v>12.2</v>
      </c>
      <c r="D23" s="18">
        <f>'One-time Purchase'!D23</f>
        <v>0.15273026177530968</v>
      </c>
      <c r="E23" s="19">
        <f>'One-time Purchase'!E23</f>
        <v>1.863309193658778</v>
      </c>
      <c r="F23" s="13">
        <v>0.34714024028955132</v>
      </c>
      <c r="G23" s="14">
        <f t="shared" si="0"/>
        <v>18.225541899392891</v>
      </c>
      <c r="H23" s="14">
        <f t="shared" si="1"/>
        <v>2.7835917852911507</v>
      </c>
    </row>
    <row r="24" spans="2:8" x14ac:dyDescent="0.2">
      <c r="B24" s="24">
        <f>'One-time Purchase'!B24</f>
        <v>949</v>
      </c>
      <c r="C24" s="17">
        <f>'One-time Purchase'!C24</f>
        <v>17.600000000000001</v>
      </c>
      <c r="D24" s="18">
        <f>'One-time Purchase'!D24</f>
        <v>0.10162160349220406</v>
      </c>
      <c r="E24" s="19">
        <f>'One-time Purchase'!E24</f>
        <v>1.7885402214627917</v>
      </c>
      <c r="F24" s="13">
        <v>0.34768638506467398</v>
      </c>
      <c r="G24" s="14">
        <f t="shared" si="0"/>
        <v>26.313031111751652</v>
      </c>
      <c r="H24" s="14">
        <f t="shared" si="1"/>
        <v>2.6739724143164554</v>
      </c>
    </row>
    <row r="25" spans="2:8" x14ac:dyDescent="0.2">
      <c r="B25" s="24">
        <f>'One-time Purchase'!B25</f>
        <v>978</v>
      </c>
      <c r="C25" s="17">
        <f>'One-time Purchase'!C25</f>
        <v>8.3000000000000007</v>
      </c>
      <c r="D25" s="18">
        <f>'One-time Purchase'!D25</f>
        <v>0.10645125492457064</v>
      </c>
      <c r="E25" s="19">
        <f>'One-time Purchase'!E25</f>
        <v>0.88354541587393631</v>
      </c>
      <c r="F25" s="13">
        <v>0.36886044713509436</v>
      </c>
      <c r="G25" s="14">
        <f t="shared" si="0"/>
        <v>12.794734887064322</v>
      </c>
      <c r="H25" s="14">
        <f t="shared" si="1"/>
        <v>1.3620155851551814</v>
      </c>
    </row>
    <row r="26" spans="2:8" x14ac:dyDescent="0.2">
      <c r="B26" s="24">
        <f>'One-time Purchase'!B26</f>
        <v>379</v>
      </c>
      <c r="C26" s="17">
        <f>'One-time Purchase'!C26</f>
        <v>13.8</v>
      </c>
      <c r="D26" s="18">
        <f>'One-time Purchase'!D26</f>
        <v>0.11330437887437128</v>
      </c>
      <c r="E26" s="19">
        <f>'One-time Purchase'!E26</f>
        <v>1.5636004284663239</v>
      </c>
      <c r="F26" s="13">
        <v>0.3868365485733245</v>
      </c>
      <c r="G26" s="14">
        <f t="shared" si="0"/>
        <v>21.849816917424207</v>
      </c>
      <c r="H26" s="14">
        <f t="shared" si="1"/>
        <v>2.4756799343474798</v>
      </c>
    </row>
    <row r="27" spans="2:8" x14ac:dyDescent="0.2">
      <c r="B27" s="24">
        <f>'One-time Purchase'!B27</f>
        <v>679</v>
      </c>
      <c r="C27" s="17">
        <f>'One-time Purchase'!C27</f>
        <v>9.3000000000000007</v>
      </c>
      <c r="D27" s="18">
        <f>'One-time Purchase'!D27</f>
        <v>0.16886080342920809</v>
      </c>
      <c r="E27" s="19">
        <f>'One-time Purchase'!E27</f>
        <v>1.5704054718916354</v>
      </c>
      <c r="F27" s="13">
        <v>0.39501021562022876</v>
      </c>
      <c r="G27" s="14">
        <f t="shared" si="0"/>
        <v>14.908629467017963</v>
      </c>
      <c r="H27" s="14">
        <f t="shared" si="1"/>
        <v>2.5174831498290198</v>
      </c>
    </row>
    <row r="28" spans="2:8" x14ac:dyDescent="0.2">
      <c r="B28" s="24">
        <f>'One-time Purchase'!B28</f>
        <v>747</v>
      </c>
      <c r="C28" s="17">
        <f>'One-time Purchase'!C28</f>
        <v>14.5</v>
      </c>
      <c r="D28" s="18">
        <f>'One-time Purchase'!D28</f>
        <v>0.16582942100878378</v>
      </c>
      <c r="E28" s="19">
        <f>'One-time Purchase'!E28</f>
        <v>2.4045266046273648</v>
      </c>
      <c r="F28" s="13">
        <v>0.42144502135687756</v>
      </c>
      <c r="G28" s="14">
        <f t="shared" si="0"/>
        <v>24.222224812961617</v>
      </c>
      <c r="H28" s="14">
        <f t="shared" si="1"/>
        <v>4.0167575162780205</v>
      </c>
    </row>
    <row r="29" spans="2:8" x14ac:dyDescent="0.2">
      <c r="B29" s="24">
        <f>'One-time Purchase'!B29</f>
        <v>860</v>
      </c>
      <c r="C29" s="17">
        <f>'One-time Purchase'!C29</f>
        <v>5.9</v>
      </c>
      <c r="D29" s="18">
        <f>'One-time Purchase'!D29</f>
        <v>0.15212276340989728</v>
      </c>
      <c r="E29" s="19">
        <f>'One-time Purchase'!E29</f>
        <v>0.89752430411839401</v>
      </c>
      <c r="F29" s="13">
        <v>0.44193210905729008</v>
      </c>
      <c r="G29" s="14">
        <f t="shared" si="0"/>
        <v>10.188007116106171</v>
      </c>
      <c r="H29" s="14">
        <f t="shared" si="1"/>
        <v>1.549827796141769</v>
      </c>
    </row>
    <row r="30" spans="2:8" x14ac:dyDescent="0.2">
      <c r="B30" s="24">
        <f>'One-time Purchase'!B30</f>
        <v>262</v>
      </c>
      <c r="C30" s="17">
        <f>'One-time Purchase'!C30</f>
        <v>20</v>
      </c>
      <c r="D30" s="18">
        <f>'One-time Purchase'!D30</f>
        <v>0.13414443561319364</v>
      </c>
      <c r="E30" s="19">
        <f>'One-time Purchase'!E30</f>
        <v>2.6828887122638729</v>
      </c>
      <c r="F30" s="13">
        <v>0.47390033259008452</v>
      </c>
      <c r="G30" s="14">
        <f t="shared" si="0"/>
        <v>36.45202590449987</v>
      </c>
      <c r="H30" s="14">
        <f t="shared" si="1"/>
        <v>4.8898364419166498</v>
      </c>
    </row>
    <row r="31" spans="2:8" x14ac:dyDescent="0.2">
      <c r="B31" s="24">
        <f>'One-time Purchase'!B31</f>
        <v>362</v>
      </c>
      <c r="C31" s="17">
        <f>'One-time Purchase'!C31</f>
        <v>18.8</v>
      </c>
      <c r="D31" s="18">
        <f>'One-time Purchase'!D31</f>
        <v>0.19127954158944538</v>
      </c>
      <c r="E31" s="19">
        <f>'One-time Purchase'!E31</f>
        <v>3.5960553818815733</v>
      </c>
      <c r="F31" s="13">
        <v>0.47752338984989251</v>
      </c>
      <c r="G31" s="14">
        <f t="shared" si="0"/>
        <v>34.481758119033074</v>
      </c>
      <c r="H31" s="14">
        <f t="shared" si="1"/>
        <v>6.5956548862067823</v>
      </c>
    </row>
    <row r="32" spans="2:8" x14ac:dyDescent="0.2">
      <c r="B32" s="24">
        <f>'One-time Purchase'!B32</f>
        <v>493</v>
      </c>
      <c r="C32" s="17">
        <f>'One-time Purchase'!C32</f>
        <v>7.8</v>
      </c>
      <c r="D32" s="18">
        <f>'One-time Purchase'!D32</f>
        <v>0.1070108279541407</v>
      </c>
      <c r="E32" s="19">
        <f>'One-time Purchase'!E32</f>
        <v>0.83468445804229741</v>
      </c>
      <c r="F32" s="13">
        <v>0.50900965855058322</v>
      </c>
      <c r="G32" s="14">
        <f t="shared" si="0"/>
        <v>15.138902439658017</v>
      </c>
      <c r="H32" s="14">
        <f t="shared" si="1"/>
        <v>1.6200264843847649</v>
      </c>
    </row>
    <row r="33" spans="2:8" x14ac:dyDescent="0.2">
      <c r="B33" s="24">
        <f>'One-time Purchase'!B33</f>
        <v>692</v>
      </c>
      <c r="C33" s="17">
        <f>'One-time Purchase'!C33</f>
        <v>5.0999999999999996</v>
      </c>
      <c r="D33" s="18">
        <f>'One-time Purchase'!D33</f>
        <v>0.13154577829696612</v>
      </c>
      <c r="E33" s="19">
        <f>'One-time Purchase'!E33</f>
        <v>0.67088346931452714</v>
      </c>
      <c r="F33" s="13">
        <v>0.51084454593467488</v>
      </c>
      <c r="G33" s="14">
        <f t="shared" si="0"/>
        <v>9.9322003693413006</v>
      </c>
      <c r="H33" s="14">
        <f t="shared" si="1"/>
        <v>1.3065390277864157</v>
      </c>
    </row>
    <row r="34" spans="2:8" x14ac:dyDescent="0.2">
      <c r="B34" s="24">
        <f>'One-time Purchase'!B34</f>
        <v>743</v>
      </c>
      <c r="C34" s="17">
        <f>'One-time Purchase'!C34</f>
        <v>9.8000000000000007</v>
      </c>
      <c r="D34" s="18">
        <f>'One-time Purchase'!D34</f>
        <v>0.10736134795433473</v>
      </c>
      <c r="E34" s="19">
        <f>'One-time Purchase'!E34</f>
        <v>1.0521412099524805</v>
      </c>
      <c r="F34" s="13">
        <v>0.52232242867366785</v>
      </c>
      <c r="G34" s="14">
        <f t="shared" si="0"/>
        <v>19.500544573338225</v>
      </c>
      <c r="H34" s="14">
        <f t="shared" si="1"/>
        <v>2.0936047512371792</v>
      </c>
    </row>
    <row r="35" spans="2:8" x14ac:dyDescent="0.2">
      <c r="B35" s="24">
        <f>'One-time Purchase'!B35</f>
        <v>865</v>
      </c>
      <c r="C35" s="17">
        <f>'One-time Purchase'!C35</f>
        <v>11.5</v>
      </c>
      <c r="D35" s="18">
        <f>'One-time Purchase'!D35</f>
        <v>0.17275785995610143</v>
      </c>
      <c r="E35" s="19">
        <f>'One-time Purchase'!E35</f>
        <v>1.9867153894951666</v>
      </c>
      <c r="F35" s="13">
        <v>0.52640062164000867</v>
      </c>
      <c r="G35" s="14">
        <f t="shared" si="0"/>
        <v>23.061524705818215</v>
      </c>
      <c r="H35" s="14">
        <f t="shared" si="1"/>
        <v>3.984059655501917</v>
      </c>
    </row>
    <row r="36" spans="2:8" x14ac:dyDescent="0.2">
      <c r="B36" s="24">
        <f>'One-time Purchase'!B36</f>
        <v>237</v>
      </c>
      <c r="C36" s="17">
        <f>'One-time Purchase'!C36</f>
        <v>10.4</v>
      </c>
      <c r="D36" s="18">
        <f>'One-time Purchase'!D36</f>
        <v>1.2886832502462375E-2</v>
      </c>
      <c r="E36" s="19">
        <f>'One-time Purchase'!E36</f>
        <v>0.13402305802560871</v>
      </c>
      <c r="F36" s="13">
        <v>0.54579573347996269</v>
      </c>
      <c r="G36" s="14">
        <f t="shared" si="0"/>
        <v>21.657888925392573</v>
      </c>
      <c r="H36" s="14">
        <f t="shared" si="1"/>
        <v>0.27910158693846893</v>
      </c>
    </row>
    <row r="37" spans="2:8" x14ac:dyDescent="0.2">
      <c r="B37" s="24">
        <f>'One-time Purchase'!B37</f>
        <v>788</v>
      </c>
      <c r="C37" s="17">
        <f>'One-time Purchase'!C37</f>
        <v>5.3</v>
      </c>
      <c r="D37" s="18">
        <f>'One-time Purchase'!D37</f>
        <v>8.9496252013262917E-2</v>
      </c>
      <c r="E37" s="19">
        <f>'One-time Purchase'!E37</f>
        <v>0.47433013567029342</v>
      </c>
      <c r="F37" s="13">
        <v>0.54869580560958597</v>
      </c>
      <c r="G37" s="14">
        <f t="shared" si="0"/>
        <v>11.101044160955087</v>
      </c>
      <c r="H37" s="14">
        <f t="shared" si="1"/>
        <v>0.99350184583919721</v>
      </c>
    </row>
    <row r="38" spans="2:8" x14ac:dyDescent="0.2">
      <c r="B38" s="24">
        <f>'One-time Purchase'!B38</f>
        <v>731</v>
      </c>
      <c r="C38" s="17">
        <f>'One-time Purchase'!C38</f>
        <v>6.4</v>
      </c>
      <c r="D38" s="18">
        <f>'One-time Purchase'!D38</f>
        <v>2.6353891537537623E-2</v>
      </c>
      <c r="E38" s="19">
        <f>'One-time Purchase'!E38</f>
        <v>0.1686649058402408</v>
      </c>
      <c r="F38" s="13">
        <v>0.57658603387955754</v>
      </c>
      <c r="G38" s="14">
        <f t="shared" si="0"/>
        <v>14.194765006764392</v>
      </c>
      <c r="H38" s="14">
        <f t="shared" si="1"/>
        <v>0.37408729738910329</v>
      </c>
    </row>
    <row r="39" spans="2:8" x14ac:dyDescent="0.2">
      <c r="B39" s="24">
        <f>'One-time Purchase'!B39</f>
        <v>878</v>
      </c>
      <c r="C39" s="17">
        <f>'One-time Purchase'!C39</f>
        <v>16.8</v>
      </c>
      <c r="D39" s="18">
        <f>'One-time Purchase'!D39</f>
        <v>5.265968121169802E-2</v>
      </c>
      <c r="E39" s="19">
        <f>'One-time Purchase'!E39</f>
        <v>0.88468264435652677</v>
      </c>
      <c r="F39" s="13">
        <v>0.6400179767807892</v>
      </c>
      <c r="G39" s="14">
        <f t="shared" si="0"/>
        <v>43.026276765720958</v>
      </c>
      <c r="H39" s="14">
        <f t="shared" si="1"/>
        <v>2.2657500182091548</v>
      </c>
    </row>
    <row r="40" spans="2:8" x14ac:dyDescent="0.2">
      <c r="B40" s="24">
        <f>'One-time Purchase'!B40</f>
        <v>216</v>
      </c>
      <c r="C40" s="17">
        <f>'One-time Purchase'!C40</f>
        <v>8.1999999999999993</v>
      </c>
      <c r="D40" s="18">
        <f>'One-time Purchase'!D40</f>
        <v>6.1894135216362903E-2</v>
      </c>
      <c r="E40" s="19">
        <f>'One-time Purchase'!E40</f>
        <v>0.50753190877417576</v>
      </c>
      <c r="F40" s="13">
        <v>0.66583235210522784</v>
      </c>
      <c r="G40" s="14">
        <f t="shared" si="0"/>
        <v>22.412090261068457</v>
      </c>
      <c r="H40" s="14">
        <f t="shared" si="1"/>
        <v>1.3871769450999012</v>
      </c>
    </row>
    <row r="41" spans="2:8" x14ac:dyDescent="0.2">
      <c r="B41" s="24">
        <f>'One-time Purchase'!B41</f>
        <v>69</v>
      </c>
      <c r="C41" s="17">
        <f>'One-time Purchase'!C41</f>
        <v>19.7</v>
      </c>
      <c r="D41" s="18">
        <f>'One-time Purchase'!D41</f>
        <v>8.669164327619143E-2</v>
      </c>
      <c r="E41" s="19">
        <f>'One-time Purchase'!E41</f>
        <v>1.7078253725409711</v>
      </c>
      <c r="F41" s="13">
        <v>0.67664681334413868</v>
      </c>
      <c r="G41" s="14">
        <f t="shared" si="0"/>
        <v>55.403303733058571</v>
      </c>
      <c r="H41" s="14">
        <f t="shared" si="1"/>
        <v>4.8030034435487989</v>
      </c>
    </row>
    <row r="42" spans="2:8" x14ac:dyDescent="0.2">
      <c r="B42" s="24">
        <f>'One-time Purchase'!B42</f>
        <v>63</v>
      </c>
      <c r="C42" s="17">
        <f>'One-time Purchase'!C42</f>
        <v>18.7</v>
      </c>
      <c r="D42" s="18">
        <f>'One-time Purchase'!D42</f>
        <v>7.4583999711109253E-2</v>
      </c>
      <c r="E42" s="19">
        <f>'One-time Purchase'!E42</f>
        <v>1.3947207945977429</v>
      </c>
      <c r="F42" s="13">
        <v>0.72739717627288469</v>
      </c>
      <c r="G42" s="14">
        <f t="shared" si="0"/>
        <v>60.864315362003587</v>
      </c>
      <c r="H42" s="14">
        <f t="shared" si="1"/>
        <v>4.5395040793765373</v>
      </c>
    </row>
    <row r="43" spans="2:8" x14ac:dyDescent="0.2">
      <c r="B43" s="24">
        <f>'One-time Purchase'!B43</f>
        <v>831</v>
      </c>
      <c r="C43" s="17">
        <f>'One-time Purchase'!C43</f>
        <v>13.6</v>
      </c>
      <c r="D43" s="18">
        <f>'One-time Purchase'!D43</f>
        <v>2.2639296461636539E-3</v>
      </c>
      <c r="E43" s="19">
        <f>'One-time Purchase'!E43</f>
        <v>3.0789443187825692E-2</v>
      </c>
      <c r="F43" s="13">
        <v>0.73103260599619946</v>
      </c>
      <c r="G43" s="14">
        <f t="shared" si="0"/>
        <v>44.769466310496455</v>
      </c>
      <c r="H43" s="14">
        <f t="shared" si="1"/>
        <v>0.10135492202325787</v>
      </c>
    </row>
    <row r="44" spans="2:8" x14ac:dyDescent="0.2">
      <c r="B44" s="24">
        <f>'One-time Purchase'!B44</f>
        <v>328</v>
      </c>
      <c r="C44" s="17">
        <f>'One-time Purchase'!C44</f>
        <v>12.7</v>
      </c>
      <c r="D44" s="18">
        <f>'One-time Purchase'!D44</f>
        <v>3.031552128712791E-2</v>
      </c>
      <c r="E44" s="19">
        <f>'One-time Purchase'!E44</f>
        <v>0.38500712034652446</v>
      </c>
      <c r="F44" s="13">
        <v>0.73123387284299857</v>
      </c>
      <c r="G44" s="14">
        <f t="shared" si="0"/>
        <v>41.833177567929383</v>
      </c>
      <c r="H44" s="14">
        <f t="shared" si="1"/>
        <v>1.268194585068765</v>
      </c>
    </row>
    <row r="45" spans="2:8" x14ac:dyDescent="0.2">
      <c r="B45" s="24">
        <f>'One-time Purchase'!B45</f>
        <v>617</v>
      </c>
      <c r="C45" s="17">
        <f>'One-time Purchase'!C45</f>
        <v>11.2</v>
      </c>
      <c r="D45" s="18">
        <f>'One-time Purchase'!D45</f>
        <v>7.4819156797534814E-3</v>
      </c>
      <c r="E45" s="19">
        <f>'One-time Purchase'!E45</f>
        <v>8.379745561323898E-2</v>
      </c>
      <c r="F45" s="13">
        <v>0.7484369245675081</v>
      </c>
      <c r="G45" s="14">
        <f t="shared" si="0"/>
        <v>38.996816779157029</v>
      </c>
      <c r="H45" s="14">
        <f t="shared" si="1"/>
        <v>0.29177089492044861</v>
      </c>
    </row>
    <row r="46" spans="2:8" x14ac:dyDescent="0.2">
      <c r="B46" s="24">
        <f>'One-time Purchase'!B46</f>
        <v>538</v>
      </c>
      <c r="C46" s="17">
        <f>'One-time Purchase'!C46</f>
        <v>8.5</v>
      </c>
      <c r="D46" s="18">
        <f>'One-time Purchase'!D46</f>
        <v>3.5221232245934916E-2</v>
      </c>
      <c r="E46" s="19">
        <f>'One-time Purchase'!E46</f>
        <v>0.29938047409044677</v>
      </c>
      <c r="F46" s="13">
        <v>0.75379785284010137</v>
      </c>
      <c r="G46" s="14">
        <f t="shared" si="0"/>
        <v>30.131449368535542</v>
      </c>
      <c r="H46" s="14">
        <f t="shared" si="1"/>
        <v>1.0612667761158192</v>
      </c>
    </row>
    <row r="47" spans="2:8" x14ac:dyDescent="0.2">
      <c r="B47" s="24">
        <f>'One-time Purchase'!B47</f>
        <v>188</v>
      </c>
      <c r="C47" s="17">
        <f>'One-time Purchase'!C47</f>
        <v>18.3</v>
      </c>
      <c r="D47" s="18">
        <f>'One-time Purchase'!D47</f>
        <v>6.8608232474260442E-2</v>
      </c>
      <c r="E47" s="19">
        <f>'One-time Purchase'!E47</f>
        <v>1.2555306542789662</v>
      </c>
      <c r="F47" s="13">
        <v>0.76120774184561968</v>
      </c>
      <c r="G47" s="14">
        <f t="shared" si="0"/>
        <v>66.535717137293176</v>
      </c>
      <c r="H47" s="14">
        <f t="shared" si="1"/>
        <v>4.5648979491970456</v>
      </c>
    </row>
    <row r="48" spans="2:8" x14ac:dyDescent="0.2">
      <c r="B48" s="24">
        <f>'One-time Purchase'!B48</f>
        <v>27</v>
      </c>
      <c r="C48" s="17">
        <f>'One-time Purchase'!C48</f>
        <v>8.9</v>
      </c>
      <c r="D48" s="18">
        <f>'One-time Purchase'!D48</f>
        <v>7.8633135137934022E-3</v>
      </c>
      <c r="E48" s="19">
        <f>'One-time Purchase'!E48</f>
        <v>6.9983490272761281E-2</v>
      </c>
      <c r="F48" s="13">
        <v>0.76789645686435737</v>
      </c>
      <c r="G48" s="14">
        <f t="shared" si="0"/>
        <v>33.126134808972189</v>
      </c>
      <c r="H48" s="14">
        <f t="shared" si="1"/>
        <v>0.26048118350313304</v>
      </c>
    </row>
    <row r="49" spans="2:8" x14ac:dyDescent="0.2">
      <c r="B49" s="24">
        <f>'One-time Purchase'!B49</f>
        <v>558</v>
      </c>
      <c r="C49" s="17">
        <f>'One-time Purchase'!C49</f>
        <v>14.4</v>
      </c>
      <c r="D49" s="18">
        <f>'One-time Purchase'!D49</f>
        <v>7.8186078716615579E-2</v>
      </c>
      <c r="E49" s="19">
        <f>'One-time Purchase'!E49</f>
        <v>1.1258795335192644</v>
      </c>
      <c r="F49" s="13">
        <v>0.77219789632153968</v>
      </c>
      <c r="G49" s="14">
        <f t="shared" si="0"/>
        <v>54.427233630672987</v>
      </c>
      <c r="H49" s="14">
        <f t="shared" si="1"/>
        <v>4.2554519729754254</v>
      </c>
    </row>
    <row r="50" spans="2:8" x14ac:dyDescent="0.2">
      <c r="B50" s="24">
        <f>'One-time Purchase'!B50</f>
        <v>399</v>
      </c>
      <c r="C50" s="17">
        <f>'One-time Purchase'!C50</f>
        <v>16.5</v>
      </c>
      <c r="D50" s="18">
        <f>'One-time Purchase'!D50</f>
        <v>9.8233832906814686E-2</v>
      </c>
      <c r="E50" s="19">
        <f>'One-time Purchase'!E50</f>
        <v>1.6208582429624423</v>
      </c>
      <c r="F50" s="13">
        <v>0.77222051718881968</v>
      </c>
      <c r="G50" s="14">
        <f t="shared" si="0"/>
        <v>62.369617167789919</v>
      </c>
      <c r="H50" s="14">
        <f t="shared" si="1"/>
        <v>6.1268065513226757</v>
      </c>
    </row>
    <row r="51" spans="2:8" x14ac:dyDescent="0.2">
      <c r="B51" s="24">
        <f>'One-time Purchase'!B51</f>
        <v>78</v>
      </c>
      <c r="C51" s="17">
        <f>'One-time Purchase'!C51</f>
        <v>11.1</v>
      </c>
      <c r="D51" s="18">
        <f>'One-time Purchase'!D51</f>
        <v>2.2413307659676753E-3</v>
      </c>
      <c r="E51" s="19">
        <f>'One-time Purchase'!E51</f>
        <v>2.4878771502241194E-2</v>
      </c>
      <c r="F51" s="13">
        <v>0.77443457766091572</v>
      </c>
      <c r="G51" s="14">
        <f t="shared" si="0"/>
        <v>42.294856521071345</v>
      </c>
      <c r="H51" s="14">
        <f t="shared" si="1"/>
        <v>9.4796763162865769E-2</v>
      </c>
    </row>
    <row r="52" spans="2:8" x14ac:dyDescent="0.2">
      <c r="B52" s="24">
        <f>'One-time Purchase'!B52</f>
        <v>900</v>
      </c>
      <c r="C52" s="17">
        <f>'One-time Purchase'!C52</f>
        <v>5.8</v>
      </c>
      <c r="D52" s="18">
        <f>'One-time Purchase'!D52</f>
        <v>8.8094059899673324E-2</v>
      </c>
      <c r="E52" s="19">
        <f>'One-time Purchase'!E52</f>
        <v>0.51094554741810527</v>
      </c>
      <c r="F52" s="13">
        <v>0.78982100364445473</v>
      </c>
      <c r="G52" s="14">
        <f t="shared" si="0"/>
        <v>23.406962457791035</v>
      </c>
      <c r="H52" s="14">
        <f t="shared" si="1"/>
        <v>2.0620143528260484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B2:Q23"/>
  <sheetViews>
    <sheetView workbookViewId="0">
      <selection activeCell="N30" sqref="N30"/>
    </sheetView>
  </sheetViews>
  <sheetFormatPr baseColWidth="10" defaultColWidth="8.83203125" defaultRowHeight="15" x14ac:dyDescent="0.2"/>
  <cols>
    <col min="2" max="2" width="8.83203125" customWidth="1"/>
    <col min="3" max="3" width="17.6640625" bestFit="1" customWidth="1"/>
    <col min="4" max="4" width="14.83203125" customWidth="1"/>
    <col min="5" max="5" width="12" bestFit="1" customWidth="1"/>
    <col min="6" max="6" width="14.83203125" customWidth="1"/>
    <col min="7" max="7" width="6.33203125" bestFit="1" customWidth="1"/>
    <col min="8" max="8" width="15" bestFit="1" customWidth="1"/>
    <col min="10" max="10" width="14.5" bestFit="1" customWidth="1"/>
    <col min="13" max="13" width="14.83203125" bestFit="1" customWidth="1"/>
    <col min="14" max="14" width="12.33203125" bestFit="1" customWidth="1"/>
    <col min="15" max="15" width="12.33203125" customWidth="1"/>
    <col min="17" max="17" width="13.83203125" bestFit="1" customWidth="1"/>
  </cols>
  <sheetData>
    <row r="2" spans="2:17" x14ac:dyDescent="0.2">
      <c r="C2" s="9" t="s">
        <v>42</v>
      </c>
      <c r="D2" s="8" t="s">
        <v>0</v>
      </c>
      <c r="E2" s="8" t="s">
        <v>43</v>
      </c>
      <c r="H2" s="8" t="s">
        <v>44</v>
      </c>
      <c r="I2" s="8" t="s">
        <v>0</v>
      </c>
      <c r="J2" s="8" t="s">
        <v>45</v>
      </c>
      <c r="M2" s="9" t="s">
        <v>6</v>
      </c>
      <c r="N2" s="9" t="s">
        <v>7</v>
      </c>
      <c r="O2" s="9" t="s">
        <v>19</v>
      </c>
      <c r="Q2" s="10" t="s">
        <v>15</v>
      </c>
    </row>
    <row r="3" spans="2:17" x14ac:dyDescent="0.2">
      <c r="B3" s="5">
        <v>1</v>
      </c>
      <c r="C3" s="14">
        <f>LARGE(LTV!G3:G52,'LTV Leaders'!B3)</f>
        <v>66.535717137293176</v>
      </c>
      <c r="D3" s="15">
        <f>IFERROR(INDEX(LTV!$B$3:$B$52,MATCH($C3,LTV!$G$3:$G$52,0)),"")</f>
        <v>188</v>
      </c>
      <c r="E3" s="14">
        <f>VLOOKUP(D3,LTV!B:H,7,0)</f>
        <v>4.5648979491970456</v>
      </c>
      <c r="F3" s="4"/>
      <c r="G3" s="5">
        <v>1</v>
      </c>
      <c r="H3" s="14">
        <f>LARGE(LTV!H3:H52,'LTV Leaders'!G3)</f>
        <v>6.5956548862067823</v>
      </c>
      <c r="I3" s="15">
        <f>IFERROR(INDEX(LTV!$B$3:$B$52,MATCH($H3,LTV!$H$3:$H$52,0)),"")</f>
        <v>362</v>
      </c>
      <c r="J3" s="14">
        <f>VLOOKUP(I3,LTV!B:G,6,0)</f>
        <v>34.481758119033074</v>
      </c>
      <c r="L3" s="9" t="s">
        <v>11</v>
      </c>
      <c r="M3" s="21">
        <f>C23</f>
        <v>787.49588676744611</v>
      </c>
      <c r="N3" s="21">
        <f>J23</f>
        <v>571.9122241403719</v>
      </c>
      <c r="O3" s="26">
        <f>IFERROR(N3/M3-1,"")</f>
        <v>-0.27375846178957608</v>
      </c>
      <c r="Q3" s="6" t="s">
        <v>16</v>
      </c>
    </row>
    <row r="4" spans="2:17" x14ac:dyDescent="0.2">
      <c r="B4" s="5">
        <f t="shared" ref="B4:B22" si="0">B3+1</f>
        <v>2</v>
      </c>
      <c r="C4" s="14">
        <f>LARGE(LTV!G4:G53,'LTV Leaders'!B4)</f>
        <v>62.369617167789919</v>
      </c>
      <c r="D4" s="15">
        <f>IFERROR(INDEX(LTV!$B$3:$B$52,MATCH($C4,LTV!$G$3:$G$52,0)),"")</f>
        <v>399</v>
      </c>
      <c r="E4" s="14">
        <f>VLOOKUP(D4,LTV!B:H,7,0)</f>
        <v>6.1268065513226757</v>
      </c>
      <c r="F4" s="4"/>
      <c r="G4" s="5">
        <f t="shared" ref="G4:G22" si="1">G3+1</f>
        <v>2</v>
      </c>
      <c r="H4" s="14">
        <f>LARGE(LTV!H4:H53,'LTV Leaders'!G4)</f>
        <v>6.2441010933026986</v>
      </c>
      <c r="I4" s="15">
        <f>IFERROR(INDEX(LTV!$B$3:$B$52,MATCH($H4,LTV!$H$3:$H$52,0)),"")</f>
        <v>267</v>
      </c>
      <c r="J4" s="14">
        <f>VLOOKUP(I4,LTV!B:G,6,0)</f>
        <v>22.66495038141786</v>
      </c>
      <c r="L4" s="9" t="s">
        <v>2</v>
      </c>
      <c r="M4" s="21">
        <f>E23</f>
        <v>57.908973561000337</v>
      </c>
      <c r="N4" s="21">
        <f>H23</f>
        <v>80.448398363911721</v>
      </c>
      <c r="O4" s="26">
        <f>IFERROR(N4/M4-1,"")</f>
        <v>0.38922162519715076</v>
      </c>
      <c r="Q4" s="22" t="s">
        <v>17</v>
      </c>
    </row>
    <row r="5" spans="2:17" x14ac:dyDescent="0.2">
      <c r="B5" s="5">
        <f t="shared" si="0"/>
        <v>3</v>
      </c>
      <c r="C5" s="14">
        <f>LARGE(LTV!G5:G54,'LTV Leaders'!B5)</f>
        <v>60.864315362003587</v>
      </c>
      <c r="D5" s="15">
        <f>IFERROR(INDEX(LTV!$B$3:$B$52,MATCH($C5,LTV!$G$3:$G$52,0)),"")</f>
        <v>63</v>
      </c>
      <c r="E5" s="14">
        <f>VLOOKUP(D5,LTV!B:H,7,0)</f>
        <v>4.5395040793765373</v>
      </c>
      <c r="F5" s="4"/>
      <c r="G5" s="5">
        <f t="shared" si="1"/>
        <v>3</v>
      </c>
      <c r="H5" s="14">
        <f>LARGE(LTV!H5:H54,'LTV Leaders'!G5)</f>
        <v>6.1268065513226757</v>
      </c>
      <c r="I5" s="15">
        <f>IFERROR(INDEX(LTV!$B$3:$B$52,MATCH($H5,LTV!$H$3:$H$52,0)),"")</f>
        <v>399</v>
      </c>
      <c r="J5" s="14">
        <f>VLOOKUP(I5,LTV!B:G,6,0)</f>
        <v>62.369617167789919</v>
      </c>
    </row>
    <row r="6" spans="2:17" x14ac:dyDescent="0.2">
      <c r="B6" s="5">
        <f t="shared" si="0"/>
        <v>4</v>
      </c>
      <c r="C6" s="14">
        <f>LARGE(LTV!G6:G55,'LTV Leaders'!B6)</f>
        <v>55.403303733058571</v>
      </c>
      <c r="D6" s="15">
        <f>IFERROR(INDEX(LTV!$B$3:$B$52,MATCH($C6,LTV!$G$3:$G$52,0)),"")</f>
        <v>69</v>
      </c>
      <c r="E6" s="14">
        <f>VLOOKUP(D6,LTV!B:H,7,0)</f>
        <v>4.8030034435487989</v>
      </c>
      <c r="F6" s="4"/>
      <c r="G6" s="5">
        <f t="shared" si="1"/>
        <v>4</v>
      </c>
      <c r="H6" s="14">
        <f>LARGE(LTV!H6:H55,'LTV Leaders'!G6)</f>
        <v>5.7546346276265599</v>
      </c>
      <c r="I6" s="15">
        <f>IFERROR(INDEX(LTV!$B$3:$B$52,MATCH($H6,LTV!$H$3:$H$52,0)),"")</f>
        <v>798</v>
      </c>
      <c r="J6" s="14">
        <f>VLOOKUP(I6,LTV!B:G,6,0)</f>
        <v>21.125717278986869</v>
      </c>
    </row>
    <row r="7" spans="2:17" x14ac:dyDescent="0.2">
      <c r="B7" s="5">
        <f t="shared" si="0"/>
        <v>5</v>
      </c>
      <c r="C7" s="14">
        <f>LARGE(LTV!G7:G56,'LTV Leaders'!B7)</f>
        <v>54.427233630672987</v>
      </c>
      <c r="D7" s="15">
        <f>IFERROR(INDEX(LTV!$B$3:$B$52,MATCH($C7,LTV!$G$3:$G$52,0)),"")</f>
        <v>558</v>
      </c>
      <c r="E7" s="14">
        <f>VLOOKUP(D7,LTV!B:H,7,0)</f>
        <v>4.2554519729754254</v>
      </c>
      <c r="F7" s="4"/>
      <c r="G7" s="5">
        <f t="shared" si="1"/>
        <v>5</v>
      </c>
      <c r="H7" s="14">
        <f>LARGE(LTV!H7:H56,'LTV Leaders'!G7)</f>
        <v>5.6170017230133249</v>
      </c>
      <c r="I7" s="15">
        <f>IFERROR(INDEX(LTV!$B$3:$B$52,MATCH($H7,LTV!$H$3:$H$52,0)),"")</f>
        <v>761</v>
      </c>
      <c r="J7" s="14">
        <f>VLOOKUP(I7,LTV!B:G,6,0)</f>
        <v>20.06831003964054</v>
      </c>
    </row>
    <row r="8" spans="2:17" x14ac:dyDescent="0.2">
      <c r="B8" s="5">
        <f t="shared" si="0"/>
        <v>6</v>
      </c>
      <c r="C8" s="14">
        <f>LARGE(LTV!G8:G57,'LTV Leaders'!B8)</f>
        <v>44.769466310496455</v>
      </c>
      <c r="D8" s="15">
        <f>IFERROR(INDEX(LTV!$B$3:$B$52,MATCH($C8,LTV!$G$3:$G$52,0)),"")</f>
        <v>831</v>
      </c>
      <c r="E8" s="14">
        <f>VLOOKUP(D8,LTV!B:H,7,0)</f>
        <v>0.10135492202325787</v>
      </c>
      <c r="F8" s="4"/>
      <c r="G8" s="5">
        <f t="shared" si="1"/>
        <v>6</v>
      </c>
      <c r="H8" s="14">
        <f>LARGE(LTV!H8:H57,'LTV Leaders'!G8)</f>
        <v>5.2430882780610215</v>
      </c>
      <c r="I8" s="15">
        <f>IFERROR(INDEX(LTV!$B$3:$B$52,MATCH($H8,LTV!$H$3:$H$52,0)),"")</f>
        <v>759</v>
      </c>
      <c r="J8" s="14">
        <f>VLOOKUP(I8,LTV!B:G,6,0)</f>
        <v>26.191340912631571</v>
      </c>
    </row>
    <row r="9" spans="2:17" x14ac:dyDescent="0.2">
      <c r="B9" s="5">
        <f t="shared" si="0"/>
        <v>7</v>
      </c>
      <c r="C9" s="14">
        <f>LARGE(LTV!G9:G58,'LTV Leaders'!B9)</f>
        <v>43.026276765720958</v>
      </c>
      <c r="D9" s="15">
        <f>IFERROR(INDEX(LTV!$B$3:$B$52,MATCH($C9,LTV!$G$3:$G$52,0)),"")</f>
        <v>878</v>
      </c>
      <c r="E9" s="14">
        <f>VLOOKUP(D9,LTV!B:H,7,0)</f>
        <v>2.2657500182091548</v>
      </c>
      <c r="F9" s="4"/>
      <c r="G9" s="5">
        <f t="shared" si="1"/>
        <v>7</v>
      </c>
      <c r="H9" s="14">
        <f>LARGE(LTV!H9:H58,'LTV Leaders'!G9)</f>
        <v>5.070705707275434</v>
      </c>
      <c r="I9" s="15">
        <f>IFERROR(INDEX(LTV!$B$3:$B$52,MATCH($H9,LTV!$H$3:$H$52,0)),"")</f>
        <v>308</v>
      </c>
      <c r="J9" s="14">
        <f>VLOOKUP(I9,LTV!B:G,6,0)</f>
        <v>20.575285433105449</v>
      </c>
    </row>
    <row r="10" spans="2:17" x14ac:dyDescent="0.2">
      <c r="B10" s="5">
        <f t="shared" si="0"/>
        <v>8</v>
      </c>
      <c r="C10" s="14">
        <f>LARGE(LTV!G10:G59,'LTV Leaders'!B10)</f>
        <v>42.294856521071345</v>
      </c>
      <c r="D10" s="15">
        <f>IFERROR(INDEX(LTV!$B$3:$B$52,MATCH($C10,LTV!$G$3:$G$52,0)),"")</f>
        <v>78</v>
      </c>
      <c r="E10" s="14">
        <f>VLOOKUP(D10,LTV!B:H,7,0)</f>
        <v>9.4796763162865769E-2</v>
      </c>
      <c r="F10" s="4"/>
      <c r="G10" s="5">
        <f t="shared" si="1"/>
        <v>8</v>
      </c>
      <c r="H10" s="14">
        <f>LARGE(LTV!H10:H59,'LTV Leaders'!G10)</f>
        <v>4.8898364419166498</v>
      </c>
      <c r="I10" s="15">
        <f>IFERROR(INDEX(LTV!$B$3:$B$52,MATCH($H10,LTV!$H$3:$H$52,0)),"")</f>
        <v>262</v>
      </c>
      <c r="J10" s="14">
        <f>VLOOKUP(I10,LTV!B:G,6,0)</f>
        <v>36.45202590449987</v>
      </c>
    </row>
    <row r="11" spans="2:17" x14ac:dyDescent="0.2">
      <c r="B11" s="5">
        <f t="shared" si="0"/>
        <v>9</v>
      </c>
      <c r="C11" s="14">
        <f>LARGE(LTV!G11:G60,'LTV Leaders'!B11)</f>
        <v>41.833177567929383</v>
      </c>
      <c r="D11" s="15">
        <f>IFERROR(INDEX(LTV!$B$3:$B$52,MATCH($C11,LTV!$G$3:$G$52,0)),"")</f>
        <v>328</v>
      </c>
      <c r="E11" s="14">
        <f>VLOOKUP(D11,LTV!B:H,7,0)</f>
        <v>1.268194585068765</v>
      </c>
      <c r="F11" s="4"/>
      <c r="G11" s="5">
        <f t="shared" si="1"/>
        <v>9</v>
      </c>
      <c r="H11" s="14">
        <f>LARGE(LTV!H11:H60,'LTV Leaders'!G11)</f>
        <v>4.8030034435487989</v>
      </c>
      <c r="I11" s="15">
        <f>IFERROR(INDEX(LTV!$B$3:$B$52,MATCH($H11,LTV!$H$3:$H$52,0)),"")</f>
        <v>69</v>
      </c>
      <c r="J11" s="14">
        <f>VLOOKUP(I11,LTV!B:G,6,0)</f>
        <v>55.403303733058571</v>
      </c>
    </row>
    <row r="12" spans="2:17" x14ac:dyDescent="0.2">
      <c r="B12" s="5">
        <f t="shared" si="0"/>
        <v>10</v>
      </c>
      <c r="C12" s="14">
        <f>LARGE(LTV!G12:G61,'LTV Leaders'!B12)</f>
        <v>38.996816779157029</v>
      </c>
      <c r="D12" s="15">
        <f>IFERROR(INDEX(LTV!$B$3:$B$52,MATCH($C12,LTV!$G$3:$G$52,0)),"")</f>
        <v>617</v>
      </c>
      <c r="E12" s="14">
        <f>VLOOKUP(D12,LTV!B:H,7,0)</f>
        <v>0.29177089492044861</v>
      </c>
      <c r="F12" s="4"/>
      <c r="G12" s="5">
        <f t="shared" si="1"/>
        <v>10</v>
      </c>
      <c r="H12" s="14">
        <f>LARGE(LTV!H12:H61,'LTV Leaders'!G12)</f>
        <v>4.5395040793765373</v>
      </c>
      <c r="I12" s="15">
        <f>IFERROR(INDEX(LTV!$B$3:$B$52,MATCH($H12,LTV!$H$3:$H$52,0)),"")</f>
        <v>63</v>
      </c>
      <c r="J12" s="14">
        <f>VLOOKUP(I12,LTV!B:G,6,0)</f>
        <v>60.864315362003587</v>
      </c>
    </row>
    <row r="13" spans="2:17" x14ac:dyDescent="0.2">
      <c r="B13" s="5">
        <f t="shared" si="0"/>
        <v>11</v>
      </c>
      <c r="C13" s="14">
        <f>LARGE(LTV!G13:G62,'LTV Leaders'!B13)</f>
        <v>36.45202590449987</v>
      </c>
      <c r="D13" s="15">
        <f>IFERROR(INDEX(LTV!$B$3:$B$52,MATCH($C13,LTV!$G$3:$G$52,0)),"")</f>
        <v>262</v>
      </c>
      <c r="E13" s="14">
        <f>VLOOKUP(D13,LTV!B:H,7,0)</f>
        <v>4.8898364419166498</v>
      </c>
      <c r="F13" s="4"/>
      <c r="G13" s="5">
        <f t="shared" si="1"/>
        <v>11</v>
      </c>
      <c r="H13" s="14">
        <f>LARGE(LTV!H13:H62,'LTV Leaders'!G13)</f>
        <v>4.0167575162780205</v>
      </c>
      <c r="I13" s="15">
        <f>IFERROR(INDEX(LTV!$B$3:$B$52,MATCH($H13,LTV!$H$3:$H$52,0)),"")</f>
        <v>747</v>
      </c>
      <c r="J13" s="14">
        <f>VLOOKUP(I13,LTV!B:G,6,0)</f>
        <v>24.222224812961617</v>
      </c>
    </row>
    <row r="14" spans="2:17" x14ac:dyDescent="0.2">
      <c r="B14" s="5">
        <f t="shared" si="0"/>
        <v>12</v>
      </c>
      <c r="C14" s="14">
        <f>LARGE(LTV!G14:G63,'LTV Leaders'!B14)</f>
        <v>34.481758119033074</v>
      </c>
      <c r="D14" s="15">
        <f>IFERROR(INDEX(LTV!$B$3:$B$52,MATCH($C14,LTV!$G$3:$G$52,0)),"")</f>
        <v>362</v>
      </c>
      <c r="E14" s="14">
        <f>VLOOKUP(D14,LTV!B:H,7,0)</f>
        <v>6.5956548862067823</v>
      </c>
      <c r="F14" s="4"/>
      <c r="G14" s="5">
        <f t="shared" si="1"/>
        <v>12</v>
      </c>
      <c r="H14" s="14">
        <f>LARGE(LTV!H14:H63,'LTV Leaders'!G14)</f>
        <v>3.5719893333442316</v>
      </c>
      <c r="I14" s="15">
        <f>IFERROR(INDEX(LTV!$B$3:$B$52,MATCH($H14,LTV!$H$3:$H$52,0)),"")</f>
        <v>859</v>
      </c>
      <c r="J14" s="14">
        <f>VLOOKUP(I14,LTV!B:G,6,0)</f>
        <v>21.495949942674368</v>
      </c>
    </row>
    <row r="15" spans="2:17" x14ac:dyDescent="0.2">
      <c r="B15" s="5">
        <f t="shared" si="0"/>
        <v>13</v>
      </c>
      <c r="C15" s="14">
        <f>LARGE(LTV!G15:G64,'LTV Leaders'!B15)</f>
        <v>33.126134808972189</v>
      </c>
      <c r="D15" s="15">
        <f>IFERROR(INDEX(LTV!$B$3:$B$52,MATCH($C15,LTV!$G$3:$G$52,0)),"")</f>
        <v>27</v>
      </c>
      <c r="E15" s="14">
        <f>VLOOKUP(D15,LTV!B:H,7,0)</f>
        <v>0.26048118350313304</v>
      </c>
      <c r="F15" s="4"/>
      <c r="G15" s="5">
        <f t="shared" si="1"/>
        <v>13</v>
      </c>
      <c r="H15" s="14">
        <f>LARGE(LTV!H15:H64,'LTV Leaders'!G15)</f>
        <v>2.8869982200218249</v>
      </c>
      <c r="I15" s="15">
        <f>IFERROR(INDEX(LTV!$B$3:$B$52,MATCH($H15,LTV!$H$3:$H$52,0)),"")</f>
        <v>370</v>
      </c>
      <c r="J15" s="14">
        <f>VLOOKUP(I15,LTV!B:G,6,0)</f>
        <v>22.095662262074661</v>
      </c>
    </row>
    <row r="16" spans="2:17" x14ac:dyDescent="0.2">
      <c r="B16" s="5">
        <f t="shared" si="0"/>
        <v>14</v>
      </c>
      <c r="C16" s="14">
        <f>LARGE(LTV!G16:G65,'LTV Leaders'!B16)</f>
        <v>30.131449368535542</v>
      </c>
      <c r="D16" s="15">
        <f>IFERROR(INDEX(LTV!$B$3:$B$52,MATCH($C16,LTV!$G$3:$G$52,0)),"")</f>
        <v>538</v>
      </c>
      <c r="E16" s="14">
        <f>VLOOKUP(D16,LTV!B:H,7,0)</f>
        <v>1.0612667761158192</v>
      </c>
      <c r="F16" s="4"/>
      <c r="G16" s="5">
        <f t="shared" si="1"/>
        <v>14</v>
      </c>
      <c r="H16" s="14">
        <f>LARGE(LTV!H16:H65,'LTV Leaders'!G16)</f>
        <v>2.7835917852911507</v>
      </c>
      <c r="I16" s="15">
        <f>IFERROR(INDEX(LTV!$B$3:$B$52,MATCH($H16,LTV!$H$3:$H$52,0)),"")</f>
        <v>428</v>
      </c>
      <c r="J16" s="14">
        <f>VLOOKUP(I16,LTV!B:G,6,0)</f>
        <v>18.225541899392891</v>
      </c>
    </row>
    <row r="17" spans="2:10" x14ac:dyDescent="0.2">
      <c r="B17" s="5">
        <f t="shared" si="0"/>
        <v>15</v>
      </c>
      <c r="C17" s="14">
        <f>LARGE(LTV!G17:G66,'LTV Leaders'!B17)</f>
        <v>26.313031111751652</v>
      </c>
      <c r="D17" s="15">
        <f>IFERROR(INDEX(LTV!$B$3:$B$52,MATCH($C17,LTV!$G$3:$G$52,0)),"")</f>
        <v>949</v>
      </c>
      <c r="E17" s="14">
        <f>VLOOKUP(D17,LTV!B:H,7,0)</f>
        <v>2.6739724143164554</v>
      </c>
      <c r="F17" s="4"/>
      <c r="G17" s="5">
        <f t="shared" si="1"/>
        <v>15</v>
      </c>
      <c r="H17" s="14">
        <f>LARGE(LTV!H17:H66,'LTV Leaders'!G17)</f>
        <v>2.6662222094306358</v>
      </c>
      <c r="I17" s="15">
        <f>IFERROR(INDEX(LTV!$B$3:$B$52,MATCH($H17,LTV!$H$3:$H$52,0)),"")</f>
        <v>150</v>
      </c>
      <c r="J17" s="14">
        <f>VLOOKUP(I17,LTV!B:G,6,0)</f>
        <v>23.367904241821115</v>
      </c>
    </row>
    <row r="18" spans="2:10" x14ac:dyDescent="0.2">
      <c r="B18" s="5">
        <f t="shared" si="0"/>
        <v>16</v>
      </c>
      <c r="C18" s="14">
        <f>LARGE(LTV!G18:G67,'LTV Leaders'!B18)</f>
        <v>24.222224812961617</v>
      </c>
      <c r="D18" s="15">
        <f>IFERROR(INDEX(LTV!$B$3:$B$52,MATCH($C18,LTV!$G$3:$G$52,0)),"")</f>
        <v>747</v>
      </c>
      <c r="E18" s="14">
        <f>VLOOKUP(D18,LTV!B:H,7,0)</f>
        <v>4.0167575162780205</v>
      </c>
      <c r="F18" s="4"/>
      <c r="G18" s="5">
        <f t="shared" si="1"/>
        <v>16</v>
      </c>
      <c r="H18" s="14">
        <f>LARGE(LTV!H18:H67,'LTV Leaders'!G18)</f>
        <v>2.4756799343474798</v>
      </c>
      <c r="I18" s="15">
        <f>IFERROR(INDEX(LTV!$B$3:$B$52,MATCH($H18,LTV!$H$3:$H$52,0)),"")</f>
        <v>379</v>
      </c>
      <c r="J18" s="14">
        <f>VLOOKUP(I18,LTV!B:G,6,0)</f>
        <v>21.849816917424207</v>
      </c>
    </row>
    <row r="19" spans="2:10" x14ac:dyDescent="0.2">
      <c r="B19" s="5">
        <f t="shared" si="0"/>
        <v>17</v>
      </c>
      <c r="C19" s="14">
        <f>LARGE(LTV!G19:G68,'LTV Leaders'!B19)</f>
        <v>23.406962457791035</v>
      </c>
      <c r="D19" s="15">
        <f>IFERROR(INDEX(LTV!$B$3:$B$52,MATCH($C19,LTV!$G$3:$G$52,0)),"")</f>
        <v>900</v>
      </c>
      <c r="E19" s="14">
        <f>VLOOKUP(D19,LTV!B:H,7,0)</f>
        <v>2.0620143528260484</v>
      </c>
      <c r="F19" s="4"/>
      <c r="G19" s="5">
        <f t="shared" si="1"/>
        <v>17</v>
      </c>
      <c r="H19" s="14">
        <f>LARGE(LTV!H19:H68,'LTV Leaders'!G19)</f>
        <v>2.0936047512371792</v>
      </c>
      <c r="I19" s="15">
        <f>IFERROR(INDEX(LTV!$B$3:$B$52,MATCH($H19,LTV!$H$3:$H$52,0)),"")</f>
        <v>743</v>
      </c>
      <c r="J19" s="14">
        <f>VLOOKUP(I19,LTV!B:G,6,0)</f>
        <v>19.500544573338225</v>
      </c>
    </row>
    <row r="20" spans="2:10" x14ac:dyDescent="0.2">
      <c r="B20" s="5">
        <f t="shared" si="0"/>
        <v>18</v>
      </c>
      <c r="C20" s="14">
        <f>LARGE(LTV!G20:G69,'LTV Leaders'!B20)</f>
        <v>23.367904241821115</v>
      </c>
      <c r="D20" s="15">
        <f>IFERROR(INDEX(LTV!$B$3:$B$52,MATCH($C20,LTV!$G$3:$G$52,0)),"")</f>
        <v>150</v>
      </c>
      <c r="E20" s="14">
        <f>VLOOKUP(D20,LTV!B:H,7,0)</f>
        <v>2.6662222094306358</v>
      </c>
      <c r="F20" s="4"/>
      <c r="G20" s="5">
        <f t="shared" si="1"/>
        <v>18</v>
      </c>
      <c r="H20" s="14">
        <f>LARGE(LTV!H20:H69,'LTV Leaders'!G20)</f>
        <v>2.0620143528260484</v>
      </c>
      <c r="I20" s="15">
        <f>IFERROR(INDEX(LTV!$B$3:$B$52,MATCH($H20,LTV!$H$3:$H$52,0)),"")</f>
        <v>900</v>
      </c>
      <c r="J20" s="14">
        <f>VLOOKUP(I20,LTV!B:G,6,0)</f>
        <v>23.406962457791035</v>
      </c>
    </row>
    <row r="21" spans="2:10" x14ac:dyDescent="0.2">
      <c r="B21" s="5">
        <f t="shared" si="0"/>
        <v>19</v>
      </c>
      <c r="C21" s="14">
        <f>LARGE(LTV!G21:G70,'LTV Leaders'!B21)</f>
        <v>23.061524705818215</v>
      </c>
      <c r="D21" s="15">
        <f>IFERROR(INDEX(LTV!$B$3:$B$52,MATCH($C21,LTV!$G$3:$G$52,0)),"")</f>
        <v>865</v>
      </c>
      <c r="E21" s="14">
        <f>VLOOKUP(D21,LTV!B:H,7,0)</f>
        <v>3.984059655501917</v>
      </c>
      <c r="F21" s="4"/>
      <c r="G21" s="5">
        <f t="shared" si="1"/>
        <v>19</v>
      </c>
      <c r="H21" s="14">
        <f>LARGE(LTV!H21:H70,'LTV Leaders'!G21)</f>
        <v>1.6200264843847649</v>
      </c>
      <c r="I21" s="15">
        <f>IFERROR(INDEX(LTV!$B$3:$B$52,MATCH($H21,LTV!$H$3:$H$52,0)),"")</f>
        <v>493</v>
      </c>
      <c r="J21" s="14">
        <f>VLOOKUP(I21,LTV!B:G,6,0)</f>
        <v>15.138902439658017</v>
      </c>
    </row>
    <row r="22" spans="2:10" x14ac:dyDescent="0.2">
      <c r="B22" s="5">
        <f t="shared" si="0"/>
        <v>20</v>
      </c>
      <c r="C22" s="14">
        <f>LARGE(LTV!G22:G71,'LTV Leaders'!B22)</f>
        <v>22.412090261068457</v>
      </c>
      <c r="D22" s="15">
        <f>IFERROR(INDEX(LTV!$B$3:$B$52,MATCH($C22,LTV!$G$3:$G$52,0)),"")</f>
        <v>216</v>
      </c>
      <c r="E22" s="14">
        <f>VLOOKUP(D22,LTV!B:H,7,0)</f>
        <v>1.3871769450999012</v>
      </c>
      <c r="F22" s="4"/>
      <c r="G22" s="5">
        <f t="shared" si="1"/>
        <v>20</v>
      </c>
      <c r="H22" s="14">
        <f>LARGE(LTV!H22:H71,'LTV Leaders'!G22)</f>
        <v>1.3871769450999012</v>
      </c>
      <c r="I22" s="15">
        <f>IFERROR(INDEX(LTV!$B$3:$B$52,MATCH($H22,LTV!$H$3:$H$52,0)),"")</f>
        <v>216</v>
      </c>
      <c r="J22" s="14">
        <f>VLOOKUP(I22,LTV!B:G,6,0)</f>
        <v>22.412090261068457</v>
      </c>
    </row>
    <row r="23" spans="2:10" x14ac:dyDescent="0.2">
      <c r="B23" s="7" t="s">
        <v>9</v>
      </c>
      <c r="C23" s="14">
        <f>SUM(C3:C22)</f>
        <v>787.49588676744611</v>
      </c>
      <c r="D23" s="4"/>
      <c r="E23" s="14">
        <f>SUM(E3:E22)</f>
        <v>57.908973561000337</v>
      </c>
      <c r="F23" s="4"/>
      <c r="G23" s="7" t="s">
        <v>9</v>
      </c>
      <c r="H23" s="14">
        <f>SUM(H3:H22)</f>
        <v>80.448398363911721</v>
      </c>
      <c r="J23" s="14">
        <f>SUM(J3:J22)</f>
        <v>571.9122241403719</v>
      </c>
    </row>
  </sheetData>
  <conditionalFormatting sqref="O3:O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65"/>
  <sheetViews>
    <sheetView tabSelected="1" workbookViewId="0">
      <selection sqref="A1:J3"/>
    </sheetView>
  </sheetViews>
  <sheetFormatPr baseColWidth="10" defaultColWidth="8.83203125" defaultRowHeight="15" x14ac:dyDescent="0.2"/>
  <cols>
    <col min="1" max="1" width="12.83203125" bestFit="1" customWidth="1"/>
    <col min="2" max="2" width="28.5" style="5" bestFit="1" customWidth="1"/>
    <col min="3" max="3" width="14.33203125" bestFit="1" customWidth="1"/>
    <col min="4" max="4" width="12.33203125" bestFit="1" customWidth="1"/>
    <col min="7" max="7" width="15.6640625" bestFit="1" customWidth="1"/>
    <col min="8" max="8" width="10.5" bestFit="1" customWidth="1"/>
    <col min="9" max="9" width="8.5" bestFit="1" customWidth="1"/>
    <col min="10" max="10" width="14.5" style="5" bestFit="1" customWidth="1"/>
    <col min="13" max="13" width="13.83203125" bestFit="1" customWidth="1"/>
  </cols>
  <sheetData>
    <row r="1" spans="1:13" ht="15" customHeight="1" x14ac:dyDescent="0.2">
      <c r="A1" s="38" t="s">
        <v>54</v>
      </c>
      <c r="B1" s="38"/>
      <c r="C1" s="38"/>
      <c r="D1" s="38"/>
      <c r="E1" s="38"/>
      <c r="F1" s="38"/>
      <c r="G1" s="38"/>
      <c r="H1" s="38"/>
      <c r="I1" s="38"/>
      <c r="J1" s="38"/>
    </row>
    <row r="2" spans="1:13" ht="15" customHeight="1" x14ac:dyDescent="0.2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3" ht="15" customHeight="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</row>
    <row r="5" spans="1:13" x14ac:dyDescent="0.2">
      <c r="B5"/>
      <c r="C5" s="9" t="s">
        <v>6</v>
      </c>
      <c r="D5" s="9" t="s">
        <v>7</v>
      </c>
      <c r="E5" s="9" t="s">
        <v>19</v>
      </c>
      <c r="M5" s="10" t="s">
        <v>15</v>
      </c>
    </row>
    <row r="6" spans="1:13" x14ac:dyDescent="0.2">
      <c r="A6" s="9" t="s">
        <v>18</v>
      </c>
      <c r="B6" s="9" t="s">
        <v>11</v>
      </c>
      <c r="C6" s="21">
        <f>'One-time Purchase Leaders'!M3</f>
        <v>344.6</v>
      </c>
      <c r="D6" s="21">
        <f>'One-time Purchase Leaders'!N3</f>
        <v>299</v>
      </c>
      <c r="E6" s="26">
        <f>IFERROR(D6/C6-1,"")</f>
        <v>-0.13232733604178759</v>
      </c>
      <c r="M6" s="6" t="s">
        <v>16</v>
      </c>
    </row>
    <row r="7" spans="1:13" x14ac:dyDescent="0.2">
      <c r="A7" s="9" t="s">
        <v>18</v>
      </c>
      <c r="B7" s="9" t="s">
        <v>2</v>
      </c>
      <c r="C7" s="21">
        <f>'One-time Purchase Leaders'!M4</f>
        <v>58.511771707038179</v>
      </c>
      <c r="D7" s="21">
        <f>'One-time Purchase Leaders'!N4</f>
        <v>63.179969718105433</v>
      </c>
      <c r="E7" s="26">
        <f>IFERROR(D7/C7-1,"")</f>
        <v>7.978220236502831E-2</v>
      </c>
      <c r="M7" s="11" t="s">
        <v>17</v>
      </c>
    </row>
    <row r="9" spans="1:13" x14ac:dyDescent="0.2">
      <c r="A9" s="9" t="s">
        <v>8</v>
      </c>
      <c r="B9" s="9" t="s">
        <v>11</v>
      </c>
      <c r="C9" s="21">
        <f>'LTV Leaders'!M3</f>
        <v>787.49588676744611</v>
      </c>
      <c r="D9" s="21">
        <f>'LTV Leaders'!N3</f>
        <v>571.9122241403719</v>
      </c>
      <c r="E9" s="26">
        <f>IFERROR(D9/C9-1,"")</f>
        <v>-0.27375846178957608</v>
      </c>
    </row>
    <row r="10" spans="1:13" x14ac:dyDescent="0.2">
      <c r="A10" s="9" t="s">
        <v>8</v>
      </c>
      <c r="B10" s="9" t="s">
        <v>2</v>
      </c>
      <c r="C10" s="21">
        <f>'LTV Leaders'!M4</f>
        <v>57.908973561000337</v>
      </c>
      <c r="D10" s="21">
        <f>'LTV Leaders'!N4</f>
        <v>80.448398363911721</v>
      </c>
      <c r="E10" s="26">
        <f>IFERROR(D10/C10-1,"")</f>
        <v>0.38922162519715076</v>
      </c>
    </row>
    <row r="12" spans="1:13" x14ac:dyDescent="0.2">
      <c r="A12" s="37" t="s">
        <v>57</v>
      </c>
      <c r="B12" s="37"/>
      <c r="C12" s="37"/>
      <c r="D12" s="37"/>
      <c r="E12" s="37"/>
      <c r="F12" s="37"/>
      <c r="G12" s="37"/>
      <c r="H12" s="37"/>
      <c r="I12" s="37"/>
      <c r="J12" s="37"/>
    </row>
    <row r="14" spans="1:13" x14ac:dyDescent="0.2">
      <c r="A14" s="5" t="s">
        <v>12</v>
      </c>
      <c r="B14" s="5" t="s">
        <v>58</v>
      </c>
      <c r="C14" t="s">
        <v>61</v>
      </c>
      <c r="F14" s="5" t="s">
        <v>12</v>
      </c>
      <c r="G14" s="5" t="s">
        <v>60</v>
      </c>
      <c r="H14" t="s">
        <v>61</v>
      </c>
      <c r="J14" s="5" t="s">
        <v>62</v>
      </c>
    </row>
    <row r="15" spans="1:13" x14ac:dyDescent="0.2">
      <c r="A15" s="5">
        <v>1</v>
      </c>
      <c r="B15" s="24">
        <f>'One-time Purchase Leaders'!D3</f>
        <v>262</v>
      </c>
      <c r="C15" s="16">
        <f>IFERROR(INDEX(LTV!$G$3:$G$52,MATCH($B15,LTV!$B$3:$B$52,0)),"")</f>
        <v>36.45202590449987</v>
      </c>
      <c r="F15" s="5">
        <v>1</v>
      </c>
      <c r="G15" s="24">
        <f>'LTV Leaders'!D3</f>
        <v>188</v>
      </c>
      <c r="H15" s="16">
        <f>IFERROR(INDEX(LTV!$G$3:$G$52,MATCH($G15,LTV!$B$3:$B$52,0)),"")</f>
        <v>66.535717137293176</v>
      </c>
      <c r="J15" s="24">
        <f>IFERROR(VLOOKUP(B15,$G$15:$G$34,1,FALSE),"-")</f>
        <v>262</v>
      </c>
    </row>
    <row r="16" spans="1:13" x14ac:dyDescent="0.2">
      <c r="A16" s="5">
        <v>2</v>
      </c>
      <c r="B16" s="24">
        <f>'One-time Purchase Leaders'!D4</f>
        <v>759</v>
      </c>
      <c r="C16" s="16">
        <f>IFERROR(INDEX(LTV!$G$3:$G$52,MATCH($B16,LTV!$B$3:$B$52,0)),"")</f>
        <v>26.191340912631571</v>
      </c>
      <c r="F16" s="5">
        <v>2</v>
      </c>
      <c r="G16" s="24">
        <f>'LTV Leaders'!D4</f>
        <v>399</v>
      </c>
      <c r="H16" s="16">
        <f>IFERROR(INDEX(LTV!$G$3:$G$52,MATCH($G16,LTV!$B$3:$B$52,0)),"")</f>
        <v>62.369617167789919</v>
      </c>
      <c r="J16" s="24" t="str">
        <f t="shared" ref="J16:J34" si="0">IFERROR(VLOOKUP(B16,$G$15:$G$34,1,FALSE),"-")</f>
        <v>-</v>
      </c>
    </row>
    <row r="17" spans="1:10" x14ac:dyDescent="0.2">
      <c r="A17" s="5">
        <v>3</v>
      </c>
      <c r="B17" s="24">
        <f>'One-time Purchase Leaders'!D5</f>
        <v>69</v>
      </c>
      <c r="C17" s="16">
        <f>IFERROR(INDEX(LTV!$G$3:$G$52,MATCH($B17,LTV!$B$3:$B$52,0)),"")</f>
        <v>55.403303733058571</v>
      </c>
      <c r="F17" s="5">
        <v>3</v>
      </c>
      <c r="G17" s="24">
        <f>'LTV Leaders'!D5</f>
        <v>63</v>
      </c>
      <c r="H17" s="16">
        <f>IFERROR(INDEX(LTV!$G$3:$G$52,MATCH($G17,LTV!$B$3:$B$52,0)),"")</f>
        <v>60.864315362003587</v>
      </c>
      <c r="J17" s="24">
        <f t="shared" si="0"/>
        <v>69</v>
      </c>
    </row>
    <row r="18" spans="1:10" x14ac:dyDescent="0.2">
      <c r="A18" s="5">
        <v>4</v>
      </c>
      <c r="B18" s="24">
        <f>'One-time Purchase Leaders'!D6</f>
        <v>267</v>
      </c>
      <c r="C18" s="16">
        <f>IFERROR(INDEX(LTV!$G$3:$G$52,MATCH($B18,LTV!$B$3:$B$52,0)),"")</f>
        <v>22.66495038141786</v>
      </c>
      <c r="F18" s="5">
        <v>4</v>
      </c>
      <c r="G18" s="24">
        <f>'LTV Leaders'!D6</f>
        <v>69</v>
      </c>
      <c r="H18" s="16">
        <f>IFERROR(INDEX(LTV!$G$3:$G$52,MATCH($G18,LTV!$B$3:$B$52,0)),"")</f>
        <v>55.403303733058571</v>
      </c>
      <c r="J18" s="24" t="str">
        <f t="shared" si="0"/>
        <v>-</v>
      </c>
    </row>
    <row r="19" spans="1:10" x14ac:dyDescent="0.2">
      <c r="A19" s="5">
        <v>5</v>
      </c>
      <c r="B19" s="24">
        <f>'One-time Purchase Leaders'!D7</f>
        <v>362</v>
      </c>
      <c r="C19" s="16">
        <f>IFERROR(INDEX(LTV!$G$3:$G$52,MATCH($B19,LTV!$B$3:$B$52,0)),"")</f>
        <v>34.481758119033074</v>
      </c>
      <c r="F19" s="5">
        <v>5</v>
      </c>
      <c r="G19" s="24">
        <f>'LTV Leaders'!D7</f>
        <v>558</v>
      </c>
      <c r="H19" s="16">
        <f>IFERROR(INDEX(LTV!$G$3:$G$52,MATCH($G19,LTV!$B$3:$B$52,0)),"")</f>
        <v>54.427233630672987</v>
      </c>
      <c r="J19" s="24">
        <f t="shared" si="0"/>
        <v>362</v>
      </c>
    </row>
    <row r="20" spans="1:10" x14ac:dyDescent="0.2">
      <c r="A20" s="5">
        <v>6</v>
      </c>
      <c r="B20" s="24">
        <f>'One-time Purchase Leaders'!D8</f>
        <v>63</v>
      </c>
      <c r="C20" s="16">
        <f>IFERROR(INDEX(LTV!$G$3:$G$52,MATCH($B20,LTV!$B$3:$B$52,0)),"")</f>
        <v>60.864315362003587</v>
      </c>
      <c r="F20" s="5">
        <v>6</v>
      </c>
      <c r="G20" s="24">
        <f>'LTV Leaders'!D8</f>
        <v>831</v>
      </c>
      <c r="H20" s="16">
        <f>IFERROR(INDEX(LTV!$G$3:$G$52,MATCH($G20,LTV!$B$3:$B$52,0)),"")</f>
        <v>44.769466310496455</v>
      </c>
      <c r="J20" s="24">
        <f t="shared" si="0"/>
        <v>63</v>
      </c>
    </row>
    <row r="21" spans="1:10" x14ac:dyDescent="0.2">
      <c r="A21" s="5">
        <v>7</v>
      </c>
      <c r="B21" s="24">
        <f>'One-time Purchase Leaders'!D9</f>
        <v>934</v>
      </c>
      <c r="C21" s="16">
        <f>IFERROR(INDEX(LTV!$G$3:$G$52,MATCH($B21,LTV!$B$3:$B$52,0)),"")</f>
        <v>19.067777467141692</v>
      </c>
      <c r="F21" s="5">
        <v>7</v>
      </c>
      <c r="G21" s="24">
        <f>'LTV Leaders'!D9</f>
        <v>878</v>
      </c>
      <c r="H21" s="16">
        <f>IFERROR(INDEX(LTV!$G$3:$G$52,MATCH($G21,LTV!$B$3:$B$52,0)),"")</f>
        <v>43.026276765720958</v>
      </c>
      <c r="J21" s="24" t="str">
        <f t="shared" si="0"/>
        <v>-</v>
      </c>
    </row>
    <row r="22" spans="1:10" x14ac:dyDescent="0.2">
      <c r="A22" s="5">
        <v>8</v>
      </c>
      <c r="B22" s="24">
        <f>'One-time Purchase Leaders'!D10</f>
        <v>188</v>
      </c>
      <c r="C22" s="16">
        <f>IFERROR(INDEX(LTV!$G$3:$G$52,MATCH($B22,LTV!$B$3:$B$52,0)),"")</f>
        <v>66.535717137293176</v>
      </c>
      <c r="F22" s="5">
        <v>8</v>
      </c>
      <c r="G22" s="24">
        <f>'LTV Leaders'!D10</f>
        <v>78</v>
      </c>
      <c r="H22" s="16">
        <f>IFERROR(INDEX(LTV!$G$3:$G$52,MATCH($G22,LTV!$B$3:$B$52,0)),"")</f>
        <v>42.294856521071345</v>
      </c>
      <c r="J22" s="24">
        <f t="shared" si="0"/>
        <v>188</v>
      </c>
    </row>
    <row r="23" spans="1:10" x14ac:dyDescent="0.2">
      <c r="A23" s="5">
        <v>9</v>
      </c>
      <c r="B23" s="24">
        <f>'One-time Purchase Leaders'!D11</f>
        <v>949</v>
      </c>
      <c r="C23" s="16">
        <f>IFERROR(INDEX(LTV!$G$3:$G$52,MATCH($B23,LTV!$B$3:$B$52,0)),"")</f>
        <v>26.313031111751652</v>
      </c>
      <c r="F23" s="5">
        <v>9</v>
      </c>
      <c r="G23" s="24">
        <f>'LTV Leaders'!D11</f>
        <v>328</v>
      </c>
      <c r="H23" s="16">
        <f>IFERROR(INDEX(LTV!$G$3:$G$52,MATCH($G23,LTV!$B$3:$B$52,0)),"")</f>
        <v>41.833177567929383</v>
      </c>
      <c r="J23" s="24">
        <f t="shared" si="0"/>
        <v>949</v>
      </c>
    </row>
    <row r="24" spans="1:10" x14ac:dyDescent="0.2">
      <c r="A24" s="5">
        <v>10</v>
      </c>
      <c r="B24" s="24">
        <f>'One-time Purchase Leaders'!D12</f>
        <v>308</v>
      </c>
      <c r="C24" s="16">
        <f>IFERROR(INDEX(LTV!$G$3:$G$52,MATCH($B24,LTV!$B$3:$B$52,0)),"")</f>
        <v>20.575285433105449</v>
      </c>
      <c r="F24" s="5">
        <v>10</v>
      </c>
      <c r="G24" s="24">
        <f>'LTV Leaders'!D12</f>
        <v>617</v>
      </c>
      <c r="H24" s="16">
        <f>IFERROR(INDEX(LTV!$G$3:$G$52,MATCH($G24,LTV!$B$3:$B$52,0)),"")</f>
        <v>38.996816779157029</v>
      </c>
      <c r="J24" s="24" t="str">
        <f t="shared" si="0"/>
        <v>-</v>
      </c>
    </row>
    <row r="25" spans="1:10" x14ac:dyDescent="0.2">
      <c r="A25" s="5">
        <v>11</v>
      </c>
      <c r="B25" s="24">
        <f>'One-time Purchase Leaders'!D13</f>
        <v>878</v>
      </c>
      <c r="C25" s="16">
        <f>IFERROR(INDEX(LTV!$G$3:$G$52,MATCH($B25,LTV!$B$3:$B$52,0)),"")</f>
        <v>43.026276765720958</v>
      </c>
      <c r="F25" s="5">
        <v>11</v>
      </c>
      <c r="G25" s="24">
        <f>'LTV Leaders'!D13</f>
        <v>262</v>
      </c>
      <c r="H25" s="16">
        <f>IFERROR(INDEX(LTV!$G$3:$G$52,MATCH($G25,LTV!$B$3:$B$52,0)),"")</f>
        <v>36.45202590449987</v>
      </c>
      <c r="J25" s="24">
        <f t="shared" si="0"/>
        <v>878</v>
      </c>
    </row>
    <row r="26" spans="1:10" x14ac:dyDescent="0.2">
      <c r="A26" s="5">
        <v>12</v>
      </c>
      <c r="B26" s="24">
        <f>'One-time Purchase Leaders'!D14</f>
        <v>399</v>
      </c>
      <c r="C26" s="16">
        <f>IFERROR(INDEX(LTV!$G$3:$G$52,MATCH($B26,LTV!$B$3:$B$52,0)),"")</f>
        <v>62.369617167789919</v>
      </c>
      <c r="F26" s="5">
        <v>12</v>
      </c>
      <c r="G26" s="24">
        <f>'LTV Leaders'!D14</f>
        <v>362</v>
      </c>
      <c r="H26" s="16">
        <f>IFERROR(INDEX(LTV!$G$3:$G$52,MATCH($G26,LTV!$B$3:$B$52,0)),"")</f>
        <v>34.481758119033074</v>
      </c>
      <c r="J26" s="24">
        <f t="shared" si="0"/>
        <v>399</v>
      </c>
    </row>
    <row r="27" spans="1:10" x14ac:dyDescent="0.2">
      <c r="A27" s="5">
        <v>13</v>
      </c>
      <c r="B27" s="24">
        <f>'One-time Purchase Leaders'!D15</f>
        <v>650</v>
      </c>
      <c r="C27" s="16">
        <f>IFERROR(INDEX(LTV!$G$3:$G$52,MATCH($B27,LTV!$B$3:$B$52,0)),"")</f>
        <v>17.531045380950452</v>
      </c>
      <c r="F27" s="5">
        <v>13</v>
      </c>
      <c r="G27" s="24">
        <f>'LTV Leaders'!D15</f>
        <v>27</v>
      </c>
      <c r="H27" s="16">
        <f>IFERROR(INDEX(LTV!$G$3:$G$52,MATCH($G27,LTV!$B$3:$B$52,0)),"")</f>
        <v>33.126134808972189</v>
      </c>
      <c r="J27" s="24" t="str">
        <f t="shared" si="0"/>
        <v>-</v>
      </c>
    </row>
    <row r="28" spans="1:10" x14ac:dyDescent="0.2">
      <c r="A28" s="5">
        <v>14</v>
      </c>
      <c r="B28" s="24">
        <f>'One-time Purchase Leaders'!D16</f>
        <v>370</v>
      </c>
      <c r="C28" s="16">
        <f>IFERROR(INDEX(LTV!$G$3:$G$52,MATCH($B28,LTV!$B$3:$B$52,0)),"")</f>
        <v>22.095662262074661</v>
      </c>
      <c r="F28" s="5">
        <v>14</v>
      </c>
      <c r="G28" s="24">
        <f>'LTV Leaders'!D16</f>
        <v>538</v>
      </c>
      <c r="H28" s="16">
        <f>IFERROR(INDEX(LTV!$G$3:$G$52,MATCH($G28,LTV!$B$3:$B$52,0)),"")</f>
        <v>30.131449368535542</v>
      </c>
      <c r="J28" s="24" t="str">
        <f t="shared" si="0"/>
        <v>-</v>
      </c>
    </row>
    <row r="29" spans="1:10" x14ac:dyDescent="0.2">
      <c r="A29" s="5">
        <v>15</v>
      </c>
      <c r="B29" s="24">
        <f>'One-time Purchase Leaders'!D17</f>
        <v>150</v>
      </c>
      <c r="C29" s="16">
        <f>IFERROR(INDEX(LTV!$G$3:$G$52,MATCH($B29,LTV!$B$3:$B$52,0)),"")</f>
        <v>23.367904241821115</v>
      </c>
      <c r="F29" s="5">
        <v>15</v>
      </c>
      <c r="G29" s="24">
        <f>'LTV Leaders'!D17</f>
        <v>949</v>
      </c>
      <c r="H29" s="16">
        <f>IFERROR(INDEX(LTV!$G$3:$G$52,MATCH($G29,LTV!$B$3:$B$52,0)),"")</f>
        <v>26.313031111751652</v>
      </c>
      <c r="J29" s="24">
        <f t="shared" si="0"/>
        <v>150</v>
      </c>
    </row>
    <row r="30" spans="1:10" x14ac:dyDescent="0.2">
      <c r="A30" s="5">
        <v>16</v>
      </c>
      <c r="B30" s="24">
        <f>'One-time Purchase Leaders'!D18</f>
        <v>798</v>
      </c>
      <c r="C30" s="16">
        <f>IFERROR(INDEX(LTV!$G$3:$G$52,MATCH($B30,LTV!$B$3:$B$52,0)),"")</f>
        <v>21.125717278986869</v>
      </c>
      <c r="F30" s="5">
        <v>16</v>
      </c>
      <c r="G30" s="24">
        <f>'LTV Leaders'!D18</f>
        <v>747</v>
      </c>
      <c r="H30" s="16">
        <f>IFERROR(INDEX(LTV!$G$3:$G$52,MATCH($G30,LTV!$B$3:$B$52,0)),"")</f>
        <v>24.222224812961617</v>
      </c>
      <c r="J30" s="24" t="str">
        <f t="shared" si="0"/>
        <v>-</v>
      </c>
    </row>
    <row r="31" spans="1:10" x14ac:dyDescent="0.2">
      <c r="A31" s="5">
        <v>17</v>
      </c>
      <c r="B31" s="24">
        <f>'One-time Purchase Leaders'!D19</f>
        <v>761</v>
      </c>
      <c r="C31" s="16">
        <f>IFERROR(INDEX(LTV!$G$3:$G$52,MATCH($B31,LTV!$B$3:$B$52,0)),"")</f>
        <v>20.06831003964054</v>
      </c>
      <c r="F31" s="5">
        <v>17</v>
      </c>
      <c r="G31" s="24">
        <f>'LTV Leaders'!D19</f>
        <v>900</v>
      </c>
      <c r="H31" s="16">
        <f>IFERROR(INDEX(LTV!$G$3:$G$52,MATCH($G31,LTV!$B$3:$B$52,0)),"")</f>
        <v>23.406962457791035</v>
      </c>
      <c r="J31" s="24" t="str">
        <f t="shared" si="0"/>
        <v>-</v>
      </c>
    </row>
    <row r="32" spans="1:10" x14ac:dyDescent="0.2">
      <c r="A32" s="5">
        <v>18</v>
      </c>
      <c r="B32" s="24">
        <f>'One-time Purchase Leaders'!D20</f>
        <v>134</v>
      </c>
      <c r="C32" s="16">
        <f>IFERROR(INDEX(LTV!$G$3:$G$52,MATCH($B32,LTV!$B$3:$B$52,0)),"")</f>
        <v>16.499446603995292</v>
      </c>
      <c r="F32" s="5">
        <v>18</v>
      </c>
      <c r="G32" s="24">
        <f>'LTV Leaders'!D20</f>
        <v>150</v>
      </c>
      <c r="H32" s="16">
        <f>IFERROR(INDEX(LTV!$G$3:$G$52,MATCH($G32,LTV!$B$3:$B$52,0)),"")</f>
        <v>23.367904241821115</v>
      </c>
      <c r="J32" s="24" t="str">
        <f t="shared" si="0"/>
        <v>-</v>
      </c>
    </row>
    <row r="33" spans="1:10" x14ac:dyDescent="0.2">
      <c r="A33" s="5">
        <v>19</v>
      </c>
      <c r="B33" s="24">
        <f>'One-time Purchase Leaders'!D21</f>
        <v>859</v>
      </c>
      <c r="C33" s="16">
        <f>IFERROR(INDEX(LTV!$G$3:$G$52,MATCH($B33,LTV!$B$3:$B$52,0)),"")</f>
        <v>21.495949942674368</v>
      </c>
      <c r="F33" s="5">
        <v>19</v>
      </c>
      <c r="G33" s="24">
        <f>'LTV Leaders'!D21</f>
        <v>865</v>
      </c>
      <c r="H33" s="16">
        <f>IFERROR(INDEX(LTV!$G$3:$G$52,MATCH($G33,LTV!$B$3:$B$52,0)),"")</f>
        <v>23.061524705818215</v>
      </c>
      <c r="J33" s="24" t="str">
        <f t="shared" si="0"/>
        <v>-</v>
      </c>
    </row>
    <row r="34" spans="1:10" x14ac:dyDescent="0.2">
      <c r="A34" s="5">
        <v>20</v>
      </c>
      <c r="B34" s="24">
        <f>'One-time Purchase Leaders'!D22</f>
        <v>747</v>
      </c>
      <c r="C34" s="16">
        <f>IFERROR(INDEX(LTV!$G$3:$G$52,MATCH($B34,LTV!$B$3:$B$52,0)),"")</f>
        <v>24.222224812961617</v>
      </c>
      <c r="F34" s="5">
        <v>20</v>
      </c>
      <c r="G34" s="24">
        <f>'LTV Leaders'!D22</f>
        <v>216</v>
      </c>
      <c r="H34" s="16">
        <f>IFERROR(INDEX(LTV!$G$3:$G$52,MATCH($G34,LTV!$B$3:$B$52,0)),"")</f>
        <v>22.412090261068457</v>
      </c>
      <c r="J34" s="24">
        <f t="shared" si="0"/>
        <v>747</v>
      </c>
    </row>
    <row r="35" spans="1:10" x14ac:dyDescent="0.2">
      <c r="B35" s="5" t="s">
        <v>13</v>
      </c>
      <c r="C35" s="27">
        <f>SUM(C15:C34)</f>
        <v>640.35166005855206</v>
      </c>
      <c r="D35" s="25">
        <f>IFERROR(1-(H35/C35),"")</f>
        <v>-0.22978659365923959</v>
      </c>
      <c r="H35" s="27">
        <f>SUM(H15:H34)</f>
        <v>787.49588676744611</v>
      </c>
    </row>
    <row r="36" spans="1:10" x14ac:dyDescent="0.2">
      <c r="A36" s="5"/>
    </row>
    <row r="37" spans="1:10" x14ac:dyDescent="0.2">
      <c r="A37" s="37" t="s">
        <v>56</v>
      </c>
      <c r="B37" s="37"/>
      <c r="C37" s="37"/>
      <c r="D37" s="37"/>
      <c r="E37" s="37"/>
      <c r="F37" s="37"/>
      <c r="G37" s="37"/>
      <c r="H37" s="37"/>
      <c r="I37" s="37"/>
      <c r="J37" s="37"/>
    </row>
    <row r="39" spans="1:10" x14ac:dyDescent="0.2">
      <c r="A39" s="5" t="s">
        <v>12</v>
      </c>
      <c r="B39" s="5" t="s">
        <v>59</v>
      </c>
      <c r="C39" t="s">
        <v>20</v>
      </c>
      <c r="F39" s="5" t="s">
        <v>12</v>
      </c>
      <c r="G39" s="5" t="s">
        <v>22</v>
      </c>
      <c r="H39" t="s">
        <v>20</v>
      </c>
      <c r="J39" s="5" t="s">
        <v>62</v>
      </c>
    </row>
    <row r="40" spans="1:10" x14ac:dyDescent="0.2">
      <c r="A40" s="5">
        <v>1</v>
      </c>
      <c r="B40" s="24">
        <f>'One-time Purchase Leaders'!I3</f>
        <v>267</v>
      </c>
      <c r="C40" s="16">
        <f>IFERROR(INDEX(LTV!$H$3:$H$52,MATCH($B40,LTV!$B$3:$B$52,0)),"")</f>
        <v>6.2441010933026986</v>
      </c>
      <c r="F40" s="5">
        <v>1</v>
      </c>
      <c r="G40" s="24">
        <f>'LTV Leaders'!I3</f>
        <v>362</v>
      </c>
      <c r="H40" s="16">
        <f>IFERROR(INDEX(LTV!$H$3:$H$52,MATCH($G40,LTV!$B$3:$B$52,0)),"")</f>
        <v>6.5956548862067823</v>
      </c>
      <c r="J40" s="24" t="str">
        <f>IFERROR(VLOOKUP(B40,$G$15:$G$34,1,FALSE),"-")</f>
        <v>-</v>
      </c>
    </row>
    <row r="41" spans="1:10" x14ac:dyDescent="0.2">
      <c r="A41" s="5">
        <v>2</v>
      </c>
      <c r="B41" s="24">
        <f>'One-time Purchase Leaders'!I4</f>
        <v>934</v>
      </c>
      <c r="C41" s="16">
        <f>IFERROR(INDEX(LTV!$H$3:$H$52,MATCH($B41,LTV!$B$3:$B$52,0)),"")</f>
        <v>5.2628508549956869</v>
      </c>
      <c r="F41" s="5">
        <v>2</v>
      </c>
      <c r="G41" s="24">
        <f>'LTV Leaders'!I4</f>
        <v>267</v>
      </c>
      <c r="H41" s="16">
        <f>IFERROR(INDEX(LTV!$H$3:$H$52,MATCH($G41,LTV!$B$3:$B$52,0)),"")</f>
        <v>6.2441010933026986</v>
      </c>
      <c r="J41" s="24" t="str">
        <f t="shared" ref="J41:J59" si="1">IFERROR(VLOOKUP(B41,$G$15:$G$34,1,FALSE),"-")</f>
        <v>-</v>
      </c>
    </row>
    <row r="42" spans="1:10" x14ac:dyDescent="0.2">
      <c r="A42" s="5">
        <v>3</v>
      </c>
      <c r="B42" s="24">
        <f>'One-time Purchase Leaders'!I5</f>
        <v>761</v>
      </c>
      <c r="C42" s="16">
        <f>IFERROR(INDEX(LTV!$H$3:$H$52,MATCH($B42,LTV!$B$3:$B$52,0)),"")</f>
        <v>5.6170017230133249</v>
      </c>
      <c r="F42" s="5">
        <v>3</v>
      </c>
      <c r="G42" s="24">
        <f>'LTV Leaders'!I5</f>
        <v>399</v>
      </c>
      <c r="H42" s="16">
        <f>IFERROR(INDEX(LTV!$H$3:$H$52,MATCH($G42,LTV!$B$3:$B$52,0)),"")</f>
        <v>6.1268065513226757</v>
      </c>
      <c r="J42" s="24" t="str">
        <f t="shared" si="1"/>
        <v>-</v>
      </c>
    </row>
    <row r="43" spans="1:10" x14ac:dyDescent="0.2">
      <c r="A43" s="5">
        <v>4</v>
      </c>
      <c r="B43" s="24">
        <f>'One-time Purchase Leaders'!I6</f>
        <v>798</v>
      </c>
      <c r="C43" s="16">
        <f>IFERROR(INDEX(LTV!$H$3:$H$52,MATCH($B43,LTV!$B$3:$B$52,0)),"")</f>
        <v>5.7546346276265599</v>
      </c>
      <c r="F43" s="5">
        <v>4</v>
      </c>
      <c r="G43" s="24">
        <f>'LTV Leaders'!I6</f>
        <v>798</v>
      </c>
      <c r="H43" s="16">
        <f>IFERROR(INDEX(LTV!$H$3:$H$52,MATCH($G43,LTV!$B$3:$B$52,0)),"")</f>
        <v>5.7546346276265599</v>
      </c>
      <c r="J43" s="24" t="str">
        <f t="shared" si="1"/>
        <v>-</v>
      </c>
    </row>
    <row r="44" spans="1:10" x14ac:dyDescent="0.2">
      <c r="A44" s="5">
        <v>5</v>
      </c>
      <c r="B44" s="24">
        <f>'One-time Purchase Leaders'!I7</f>
        <v>308</v>
      </c>
      <c r="C44" s="16">
        <f>IFERROR(INDEX(LTV!$H$3:$H$52,MATCH($B44,LTV!$B$3:$B$52,0)),"")</f>
        <v>5.070705707275434</v>
      </c>
      <c r="F44" s="5">
        <v>5</v>
      </c>
      <c r="G44" s="24">
        <f>'LTV Leaders'!I7</f>
        <v>761</v>
      </c>
      <c r="H44" s="16">
        <f>IFERROR(INDEX(LTV!$H$3:$H$52,MATCH($G44,LTV!$B$3:$B$52,0)),"")</f>
        <v>5.6170017230133249</v>
      </c>
      <c r="J44" s="24" t="str">
        <f t="shared" si="1"/>
        <v>-</v>
      </c>
    </row>
    <row r="45" spans="1:10" x14ac:dyDescent="0.2">
      <c r="A45" s="5">
        <v>6</v>
      </c>
      <c r="B45" s="24">
        <f>'One-time Purchase Leaders'!I8</f>
        <v>759</v>
      </c>
      <c r="C45" s="16">
        <f>IFERROR(INDEX(LTV!$H$3:$H$52,MATCH($B45,LTV!$B$3:$B$52,0)),"")</f>
        <v>5.2430882780610215</v>
      </c>
      <c r="F45" s="5">
        <v>6</v>
      </c>
      <c r="G45" s="24">
        <f>'LTV Leaders'!I8</f>
        <v>759</v>
      </c>
      <c r="H45" s="16">
        <f>IFERROR(INDEX(LTV!$H$3:$H$52,MATCH($G45,LTV!$B$3:$B$52,0)),"")</f>
        <v>5.2430882780610215</v>
      </c>
      <c r="J45" s="24" t="str">
        <f t="shared" si="1"/>
        <v>-</v>
      </c>
    </row>
    <row r="46" spans="1:10" x14ac:dyDescent="0.2">
      <c r="A46" s="5">
        <v>7</v>
      </c>
      <c r="B46" s="24">
        <f>'One-time Purchase Leaders'!I9</f>
        <v>650</v>
      </c>
      <c r="C46" s="16">
        <f>IFERROR(INDEX(LTV!$H$3:$H$52,MATCH($B46,LTV!$B$3:$B$52,0)),"")</f>
        <v>4.1608333338653285</v>
      </c>
      <c r="F46" s="5">
        <v>7</v>
      </c>
      <c r="G46" s="24">
        <f>'LTV Leaders'!I9</f>
        <v>308</v>
      </c>
      <c r="H46" s="16">
        <f>IFERROR(INDEX(LTV!$H$3:$H$52,MATCH($G46,LTV!$B$3:$B$52,0)),"")</f>
        <v>5.070705707275434</v>
      </c>
      <c r="J46" s="24" t="str">
        <f t="shared" si="1"/>
        <v>-</v>
      </c>
    </row>
    <row r="47" spans="1:10" x14ac:dyDescent="0.2">
      <c r="A47" s="5">
        <v>8</v>
      </c>
      <c r="B47" s="24">
        <f>'One-time Purchase Leaders'!I10</f>
        <v>134</v>
      </c>
      <c r="C47" s="16">
        <f>IFERROR(INDEX(LTV!$H$3:$H$52,MATCH($B47,LTV!$B$3:$B$52,0)),"")</f>
        <v>4.1805038658200173</v>
      </c>
      <c r="F47" s="5">
        <v>8</v>
      </c>
      <c r="G47" s="24">
        <f>'LTV Leaders'!I10</f>
        <v>262</v>
      </c>
      <c r="H47" s="16">
        <f>IFERROR(INDEX(LTV!$H$3:$H$52,MATCH($G47,LTV!$B$3:$B$52,0)),"")</f>
        <v>4.8898364419166498</v>
      </c>
      <c r="J47" s="24" t="str">
        <f t="shared" si="1"/>
        <v>-</v>
      </c>
    </row>
    <row r="48" spans="1:10" x14ac:dyDescent="0.2">
      <c r="A48" s="5">
        <v>9</v>
      </c>
      <c r="B48" s="24">
        <f>'One-time Purchase Leaders'!I11</f>
        <v>362</v>
      </c>
      <c r="C48" s="16">
        <f>IFERROR(INDEX(LTV!$H$3:$H$52,MATCH($B48,LTV!$B$3:$B$52,0)),"")</f>
        <v>6.5956548862067823</v>
      </c>
      <c r="F48" s="5">
        <v>9</v>
      </c>
      <c r="G48" s="24">
        <f>'LTV Leaders'!I11</f>
        <v>69</v>
      </c>
      <c r="H48" s="16">
        <f>IFERROR(INDEX(LTV!$H$3:$H$52,MATCH($G48,LTV!$B$3:$B$52,0)),"")</f>
        <v>4.8030034435487989</v>
      </c>
      <c r="J48" s="24">
        <f t="shared" si="1"/>
        <v>362</v>
      </c>
    </row>
    <row r="49" spans="1:10" x14ac:dyDescent="0.2">
      <c r="A49" s="5">
        <v>10</v>
      </c>
      <c r="B49" s="24">
        <f>'One-time Purchase Leaders'!I12</f>
        <v>262</v>
      </c>
      <c r="C49" s="16">
        <f>IFERROR(INDEX(LTV!$H$3:$H$52,MATCH($B49,LTV!$B$3:$B$52,0)),"")</f>
        <v>4.8898364419166498</v>
      </c>
      <c r="F49" s="5">
        <v>10</v>
      </c>
      <c r="G49" s="24">
        <f>'LTV Leaders'!I12</f>
        <v>63</v>
      </c>
      <c r="H49" s="16">
        <f>IFERROR(INDEX(LTV!$H$3:$H$52,MATCH($G49,LTV!$B$3:$B$52,0)),"")</f>
        <v>4.5395040793765373</v>
      </c>
      <c r="J49" s="24">
        <f t="shared" si="1"/>
        <v>262</v>
      </c>
    </row>
    <row r="50" spans="1:10" x14ac:dyDescent="0.2">
      <c r="A50" s="5">
        <v>11</v>
      </c>
      <c r="B50" s="24">
        <f>'One-time Purchase Leaders'!I13</f>
        <v>713</v>
      </c>
      <c r="C50" s="16">
        <f>IFERROR(INDEX(LTV!$H$3:$H$52,MATCH($B50,LTV!$B$3:$B$52,0)),"")</f>
        <v>3.0810521911979296</v>
      </c>
      <c r="F50" s="5">
        <v>11</v>
      </c>
      <c r="G50" s="24">
        <f>'LTV Leaders'!I13</f>
        <v>747</v>
      </c>
      <c r="H50" s="16">
        <f>IFERROR(INDEX(LTV!$H$3:$H$52,MATCH($G50,LTV!$B$3:$B$52,0)),"")</f>
        <v>4.0167575162780205</v>
      </c>
      <c r="J50" s="24" t="str">
        <f t="shared" si="1"/>
        <v>-</v>
      </c>
    </row>
    <row r="51" spans="1:10" x14ac:dyDescent="0.2">
      <c r="A51" s="5">
        <v>12</v>
      </c>
      <c r="B51" s="24">
        <f>'One-time Purchase Leaders'!I14</f>
        <v>269</v>
      </c>
      <c r="C51" s="16">
        <f>IFERROR(INDEX(LTV!$H$3:$H$52,MATCH($B51,LTV!$B$3:$B$52,0)),"")</f>
        <v>3.0799461151200944</v>
      </c>
      <c r="F51" s="5">
        <v>12</v>
      </c>
      <c r="G51" s="24">
        <f>'LTV Leaders'!I14</f>
        <v>859</v>
      </c>
      <c r="H51" s="16">
        <f>IFERROR(INDEX(LTV!$H$3:$H$52,MATCH($G51,LTV!$B$3:$B$52,0)),"")</f>
        <v>3.5719893333442316</v>
      </c>
      <c r="J51" s="24" t="str">
        <f t="shared" si="1"/>
        <v>-</v>
      </c>
    </row>
    <row r="52" spans="1:10" x14ac:dyDescent="0.2">
      <c r="A52" s="5">
        <v>13</v>
      </c>
      <c r="B52" s="24">
        <f>'One-time Purchase Leaders'!I15</f>
        <v>859</v>
      </c>
      <c r="C52" s="16">
        <f>IFERROR(INDEX(LTV!$H$3:$H$52,MATCH($B52,LTV!$B$3:$B$52,0)),"")</f>
        <v>3.5719893333442316</v>
      </c>
      <c r="F52" s="5">
        <v>13</v>
      </c>
      <c r="G52" s="24">
        <f>'LTV Leaders'!I15</f>
        <v>370</v>
      </c>
      <c r="H52" s="16">
        <f>IFERROR(INDEX(LTV!$H$3:$H$52,MATCH($G52,LTV!$B$3:$B$52,0)),"")</f>
        <v>2.8869982200218249</v>
      </c>
      <c r="J52" s="24" t="str">
        <f t="shared" si="1"/>
        <v>-</v>
      </c>
    </row>
    <row r="53" spans="1:10" x14ac:dyDescent="0.2">
      <c r="A53" s="5">
        <v>14</v>
      </c>
      <c r="B53" s="24">
        <f>'One-time Purchase Leaders'!I16</f>
        <v>553</v>
      </c>
      <c r="C53" s="16">
        <f>IFERROR(INDEX(LTV!$H$3:$H$52,MATCH($B53,LTV!$B$3:$B$52,0)),"")</f>
        <v>2.5136632291564167</v>
      </c>
      <c r="F53" s="5">
        <v>14</v>
      </c>
      <c r="G53" s="24">
        <f>'LTV Leaders'!I16</f>
        <v>428</v>
      </c>
      <c r="H53" s="16">
        <f>IFERROR(INDEX(LTV!$H$3:$H$52,MATCH($G53,LTV!$B$3:$B$52,0)),"")</f>
        <v>2.7835917852911507</v>
      </c>
      <c r="J53" s="24" t="str">
        <f t="shared" si="1"/>
        <v>-</v>
      </c>
    </row>
    <row r="54" spans="1:10" x14ac:dyDescent="0.2">
      <c r="A54" s="5">
        <v>15</v>
      </c>
      <c r="B54" s="24">
        <f>'One-time Purchase Leaders'!I17</f>
        <v>747</v>
      </c>
      <c r="C54" s="16">
        <f>IFERROR(INDEX(LTV!$H$3:$H$52,MATCH($B54,LTV!$B$3:$B$52,0)),"")</f>
        <v>4.0167575162780205</v>
      </c>
      <c r="F54" s="5">
        <v>15</v>
      </c>
      <c r="G54" s="24">
        <f>'LTV Leaders'!I17</f>
        <v>150</v>
      </c>
      <c r="H54" s="16">
        <f>IFERROR(INDEX(LTV!$H$3:$H$52,MATCH($G54,LTV!$B$3:$B$52,0)),"")</f>
        <v>2.6662222094306358</v>
      </c>
      <c r="J54" s="24">
        <f t="shared" si="1"/>
        <v>747</v>
      </c>
    </row>
    <row r="55" spans="1:10" x14ac:dyDescent="0.2">
      <c r="A55" s="5">
        <v>16</v>
      </c>
      <c r="B55" s="24">
        <f>'One-time Purchase Leaders'!I18</f>
        <v>370</v>
      </c>
      <c r="C55" s="16">
        <f>IFERROR(INDEX(LTV!$H$3:$H$52,MATCH($B55,LTV!$B$3:$B$52,0)),"")</f>
        <v>2.8869982200218249</v>
      </c>
      <c r="F55" s="5">
        <v>16</v>
      </c>
      <c r="G55" s="24">
        <f>'LTV Leaders'!I18</f>
        <v>379</v>
      </c>
      <c r="H55" s="16">
        <f>IFERROR(INDEX(LTV!$H$3:$H$52,MATCH($G55,LTV!$B$3:$B$52,0)),"")</f>
        <v>2.4756799343474798</v>
      </c>
      <c r="J55" s="24" t="str">
        <f t="shared" si="1"/>
        <v>-</v>
      </c>
    </row>
    <row r="56" spans="1:10" x14ac:dyDescent="0.2">
      <c r="A56" s="5">
        <v>17</v>
      </c>
      <c r="B56" s="24">
        <f>'One-time Purchase Leaders'!I19</f>
        <v>865</v>
      </c>
      <c r="C56" s="16">
        <f>IFERROR(INDEX(LTV!$H$3:$H$52,MATCH($B56,LTV!$B$3:$B$52,0)),"")</f>
        <v>3.984059655501917</v>
      </c>
      <c r="F56" s="5">
        <v>17</v>
      </c>
      <c r="G56" s="24">
        <f>'LTV Leaders'!I19</f>
        <v>743</v>
      </c>
      <c r="H56" s="16">
        <f>IFERROR(INDEX(LTV!$H$3:$H$52,MATCH($G56,LTV!$B$3:$B$52,0)),"")</f>
        <v>2.0936047512371792</v>
      </c>
      <c r="J56" s="24">
        <f t="shared" si="1"/>
        <v>865</v>
      </c>
    </row>
    <row r="57" spans="1:10" x14ac:dyDescent="0.2">
      <c r="A57" s="5">
        <v>18</v>
      </c>
      <c r="B57" s="24">
        <f>'One-time Purchase Leaders'!I20</f>
        <v>428</v>
      </c>
      <c r="C57" s="16">
        <f>IFERROR(INDEX(LTV!$H$3:$H$52,MATCH($B57,LTV!$B$3:$B$52,0)),"")</f>
        <v>2.7835917852911507</v>
      </c>
      <c r="F57" s="5">
        <v>18</v>
      </c>
      <c r="G57" s="24">
        <f>'LTV Leaders'!I20</f>
        <v>900</v>
      </c>
      <c r="H57" s="16">
        <f>IFERROR(INDEX(LTV!$H$3:$H$52,MATCH($G57,LTV!$B$3:$B$52,0)),"")</f>
        <v>2.0620143528260484</v>
      </c>
      <c r="J57" s="24" t="str">
        <f t="shared" si="1"/>
        <v>-</v>
      </c>
    </row>
    <row r="58" spans="1:10" x14ac:dyDescent="0.2">
      <c r="A58" s="5">
        <v>19</v>
      </c>
      <c r="B58" s="24">
        <f>'One-time Purchase Leaders'!I21</f>
        <v>881</v>
      </c>
      <c r="C58" s="16">
        <f>IFERROR(INDEX(LTV!$H$3:$H$52,MATCH($B58,LTV!$B$3:$B$52,0)),"")</f>
        <v>2.3705348794380714</v>
      </c>
      <c r="F58" s="5">
        <v>19</v>
      </c>
      <c r="G58" s="24">
        <f>'LTV Leaders'!I21</f>
        <v>493</v>
      </c>
      <c r="H58" s="16">
        <f>IFERROR(INDEX(LTV!$H$3:$H$52,MATCH($G58,LTV!$B$3:$B$52,0)),"")</f>
        <v>1.6200264843847649</v>
      </c>
      <c r="J58" s="24" t="str">
        <f t="shared" si="1"/>
        <v>-</v>
      </c>
    </row>
    <row r="59" spans="1:10" x14ac:dyDescent="0.2">
      <c r="A59" s="5">
        <v>20</v>
      </c>
      <c r="B59" s="24">
        <f>'One-time Purchase Leaders'!I22</f>
        <v>150</v>
      </c>
      <c r="C59" s="16">
        <f>IFERROR(INDEX(LTV!$H$3:$H$52,MATCH($B59,LTV!$B$3:$B$52,0)),"")</f>
        <v>2.6662222094306358</v>
      </c>
      <c r="F59" s="5">
        <v>20</v>
      </c>
      <c r="G59" s="24">
        <f>'LTV Leaders'!I22</f>
        <v>216</v>
      </c>
      <c r="H59" s="16">
        <f>IFERROR(INDEX(LTV!$H$3:$H$52,MATCH($G59,LTV!$B$3:$B$52,0)),"")</f>
        <v>1.3871769450999012</v>
      </c>
      <c r="J59" s="24">
        <f t="shared" si="1"/>
        <v>150</v>
      </c>
    </row>
    <row r="60" spans="1:10" x14ac:dyDescent="0.2">
      <c r="B60" s="5" t="s">
        <v>13</v>
      </c>
      <c r="C60" s="27">
        <f>SUM(C40:C59)</f>
        <v>83.974025946863776</v>
      </c>
      <c r="D60" s="25">
        <f>IFERROR(1-(H60/C60),"")</f>
        <v>4.198473924762125E-2</v>
      </c>
      <c r="H60" s="27">
        <f>SUM(H40:H59)</f>
        <v>80.448398363911721</v>
      </c>
    </row>
    <row r="61" spans="1:10" x14ac:dyDescent="0.2">
      <c r="A61" s="5"/>
    </row>
    <row r="62" spans="1:10" x14ac:dyDescent="0.2">
      <c r="A62" s="5"/>
    </row>
    <row r="63" spans="1:10" x14ac:dyDescent="0.2">
      <c r="A63" s="5"/>
    </row>
    <row r="64" spans="1:10" x14ac:dyDescent="0.2">
      <c r="A64" s="5"/>
    </row>
    <row r="65" spans="1:1" x14ac:dyDescent="0.2">
      <c r="A65" s="5"/>
    </row>
  </sheetData>
  <mergeCells count="3">
    <mergeCell ref="A12:J12"/>
    <mergeCell ref="A1:J3"/>
    <mergeCell ref="A37:J37"/>
  </mergeCells>
  <conditionalFormatting sqref="E6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tion Files" ma:contentTypeID="0x00041BB9609029574BB48B0D67EE7C5EF0" ma:contentTypeVersion="" ma:contentTypeDescription="" ma:contentTypeScope="" ma:versionID="5315c70c70d028aec2ac959b5fb81a83">
  <xsd:schema xmlns:xsd="http://www.w3.org/2001/XMLSchema" xmlns:xs="http://www.w3.org/2001/XMLSchema" xmlns:p="http://schemas.microsoft.com/office/2006/metadata/properties" xmlns:ns1="http://schemas.microsoft.com/sharepoint/v3" xmlns:ns2="60B91B04-2990-4B57-B48B-0D67EE7C5EF0" targetNamespace="http://schemas.microsoft.com/office/2006/metadata/properties" ma:root="true" ma:fieldsID="61c8bcacd5ab5ce0727aeccdcf09618e" ns1:_="" ns2:_="">
    <xsd:import namespace="http://schemas.microsoft.com/sharepoint/v3"/>
    <xsd:import namespace="60B91B04-2990-4B57-B48B-0D67EE7C5EF0"/>
    <xsd:element name="properties">
      <xsd:complexType>
        <xsd:sequence>
          <xsd:element name="documentManagement">
            <xsd:complexType>
              <xsd:all>
                <xsd:element ref="ns1:ContentTypeId" minOccurs="0"/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TemplateUrl" minOccurs="0"/>
                <xsd:element ref="ns1:xd_ProgID" minOccurs="0"/>
                <xsd:element ref="ns1:xd_Signature" minOccurs="0"/>
                <xsd:element ref="ns2:RISManuscriptType" minOccurs="0"/>
                <xsd:element ref="ns2:RISOtherType" minOccurs="0"/>
                <xsd:element ref="ns2:RISAccessLevel" minOccurs="0"/>
                <xsd:element ref="ns2:RISEmbargoDate" minOccurs="0"/>
                <xsd:element ref="ns2:RISSendToDash" minOccurs="0"/>
                <xsd:element ref="ns2:RISProductID" minOccurs="0"/>
                <xsd:element ref="ns2:RISPrimaryCitation" minOccurs="0"/>
                <xsd:element ref="ns2:RISDisplayName" minOccurs="0"/>
                <xsd:element ref="ns2:RISSaveFlag" minOccurs="0"/>
                <xsd:element ref="ns2:RISUserType" minOccurs="0"/>
                <xsd:element ref="ns2:RISSaveFlagAdmin" minOccurs="0"/>
                <xsd:element ref="ns2:RISState" minOccurs="0"/>
                <xsd:element ref="ns2:RISWCMFlag" minOccurs="0"/>
                <xsd:element ref="ns2:RISCreateDate" minOccurs="0"/>
                <xsd:element ref="ns2:RISModifiedDate" minOccurs="0"/>
                <xsd:element ref="ns2:RISCreatedBy" minOccurs="0"/>
                <xsd:element ref="ns2:RISModifiedBy" minOccurs="0"/>
                <xsd:element ref="ns2:RISVisibility" minOccurs="0"/>
                <xsd:element ref="ns2:RISIncludeinFRProfile" minOccurs="0"/>
                <xsd:element ref="ns2:RISGuid" minOccurs="0"/>
                <xsd:element ref="ns2:RISPersonID" minOccurs="0"/>
                <xsd:element ref="ns2:RISPRelatedType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Restricted" minOccurs="0"/>
                <xsd:element ref="ns1:ContentVersion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ParentUniqueId" minOccurs="0"/>
                <xsd:element ref="ns1:Stream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ntentTypeId" ma:index="0" nillable="true" ma:displayName="Content Type ID" ma:hidden="true" ma:internalName="ContentTypeId" ma:readOnly="true">
      <xsd:simpleType>
        <xsd:restriction base="dms:Unknown"/>
      </xsd:simpleType>
    </xsd:element>
    <xsd:element name="_ModerationComments" ma:index="1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5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6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7" nillable="true" ma:displayName="Source URL" ma:hidden="true" ma:internalName="_SourceUrl">
      <xsd:simpleType>
        <xsd:restriction base="dms:Text"/>
      </xsd:simpleType>
    </xsd:element>
    <xsd:element name="_SharedFileIndex" ma:index="8" nillable="true" ma:displayName="Shared File Index" ma:hidden="true" ma:internalName="_SharedFileIndex">
      <xsd:simpleType>
        <xsd:restriction base="dms:Text"/>
      </xsd:simpleType>
    </xsd:element>
    <xsd:element name="TemplateUrl" ma:index="10" nillable="true" ma:displayName="Template Link" ma:hidden="true" ma:internalName="TemplateUrl">
      <xsd:simpleType>
        <xsd:restriction base="dms:Text"/>
      </xsd:simpleType>
    </xsd:element>
    <xsd:element name="xd_ProgID" ma:index="11" nillable="true" ma:displayName="HTML File Link" ma:hidden="true" ma:internalName="xd_ProgID">
      <xsd:simpleType>
        <xsd:restriction base="dms:Text"/>
      </xsd:simpleType>
    </xsd:element>
    <xsd:element name="xd_Signature" ma:index="12" nillable="true" ma:displayName="Is Signed" ma:hidden="true" ma:internalName="xd_Signature" ma:readOnly="true">
      <xsd:simpleType>
        <xsd:restriction base="dms:Boolean"/>
      </xsd:simpleType>
    </xsd:element>
    <xsd:element name="ID" ma:index="35" nillable="true" ma:displayName="ID" ma:internalName="ID" ma:readOnly="true">
      <xsd:simpleType>
        <xsd:restriction base="dms:Unknown"/>
      </xsd:simpleType>
    </xsd:element>
    <xsd:element name="Author" ma:index="3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4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4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42" nillable="true" ma:displayName="Copy Source" ma:internalName="_CopySource" ma:readOnly="true">
      <xsd:simpleType>
        <xsd:restriction base="dms:Text"/>
      </xsd:simpleType>
    </xsd:element>
    <xsd:element name="_ModerationStatus" ma:index="4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4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4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4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4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4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4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SortBehavior" ma:index="50" nillable="true" ma:displayName="Sort Type" ma:hidden="true" ma:list="Docs" ma:internalName="SortBehavior" ma:readOnly="true" ma:showField="SortBehavior">
      <xsd:simpleType>
        <xsd:restriction base="dms:Lookup"/>
      </xsd:simpleType>
    </xsd:element>
    <xsd:element name="CheckedOutUserId" ma:index="52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53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54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55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SyncClientId" ma:index="56" nillable="true" ma:displayName="Client Id" ma:hidden="true" ma:list="Docs" ma:internalName="SyncClientId" ma:readOnly="true" ma:showField="SyncClientId">
      <xsd:simpleType>
        <xsd:restriction base="dms:Lookup"/>
      </xsd:simpleType>
    </xsd:element>
    <xsd:element name="ProgId" ma:index="57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58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59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60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61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7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75" nillable="true" ma:displayName="Level" ma:hidden="true" ma:internalName="_Level" ma:readOnly="true">
      <xsd:simpleType>
        <xsd:restriction base="dms:Unknown"/>
      </xsd:simpleType>
    </xsd:element>
    <xsd:element name="_IsCurrentVersion" ma:index="76" nillable="true" ma:displayName="Is Current Version" ma:hidden="true" ma:internalName="_IsCurrentVersion" ma:readOnly="true">
      <xsd:simpleType>
        <xsd:restriction base="dms:Boolean"/>
      </xsd:simpleType>
    </xsd:element>
    <xsd:element name="ItemChildCount" ma:index="77" nillable="true" ma:displayName="Item Child Count" ma:hidden="true" ma:list="Docs" ma:internalName="ItemChildCount" ma:readOnly="true" ma:showField="ItemChildCount">
      <xsd:simpleType>
        <xsd:restriction base="dms:Lookup"/>
      </xsd:simpleType>
    </xsd:element>
    <xsd:element name="FolderChildCount" ma:index="78" nillable="true" ma:displayName="Folder Child Count" ma:hidden="true" ma:list="Docs" ma:internalName="FolderChildCount" ma:readOnly="true" ma:showField="FolderChildCount">
      <xsd:simpleType>
        <xsd:restriction base="dms:Lookup"/>
      </xsd:simpleType>
    </xsd:element>
    <xsd:element name="Restricted" ma:index="79" nillable="true" ma:displayName="Restricted" ma:hidden="true" ma:list="Docs" ma:internalName="Restricted" ma:readOnly="true" ma:showField="Restricted">
      <xsd:simpleType>
        <xsd:restriction base="dms:Lookup"/>
      </xsd:simpleType>
    </xsd:element>
    <xsd:element name="ContentVersion" ma:index="80" nillable="true" ma:displayName="$Resources:core,Content_Version;" ma:hidden="true" ma:list="Docs" ma:internalName="ContentVersion" ma:readOnly="true" ma:showField="ContentVersion">
      <xsd:simpleType>
        <xsd:restriction base="dms:Lookup"/>
      </xsd:simpleType>
    </xsd:element>
    <xsd:element name="AppAuthor" ma:index="81" nillable="true" ma:displayName="App Created By" ma:list="AppPrincipals" ma:internalName="AppAuthor" ma:readOnly="true" ma:showField="Title">
      <xsd:simpleType>
        <xsd:restriction base="dms:Lookup"/>
      </xsd:simpleType>
    </xsd:element>
    <xsd:element name="AppEditor" ma:index="82" nillable="true" ma:displayName="App Modified By" ma:list="AppPrincipals" ma:internalName="AppEditor" ma:readOnly="true" ma:showField="Title">
      <xsd:simpleType>
        <xsd:restriction base="dms:Lookup"/>
      </xsd:simpleType>
    </xsd:element>
    <xsd:element name="owshiddenversion" ma:index="8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87" nillable="true" ma:displayName="UI Version" ma:hidden="true" ma:internalName="_UIVersion" ma:readOnly="true">
      <xsd:simpleType>
        <xsd:restriction base="dms:Unknown"/>
      </xsd:simpleType>
    </xsd:element>
    <xsd:element name="_UIVersionString" ma:index="88" nillable="true" ma:displayName="Version" ma:internalName="_UIVersionString" ma:readOnly="true">
      <xsd:simpleType>
        <xsd:restriction base="dms:Text"/>
      </xsd:simpleType>
    </xsd:element>
    <xsd:element name="InstanceID" ma:index="89" nillable="true" ma:displayName="Instance ID" ma:hidden="true" ma:internalName="InstanceID" ma:readOnly="true">
      <xsd:simpleType>
        <xsd:restriction base="dms:Unknown"/>
      </xsd:simpleType>
    </xsd:element>
    <xsd:element name="Order" ma:index="90" nillable="true" ma:displayName="Order" ma:hidden="true" ma:internalName="Order">
      <xsd:simpleType>
        <xsd:restriction base="dms:Number"/>
      </xsd:simpleType>
    </xsd:element>
    <xsd:element name="GUID" ma:index="91" nillable="true" ma:displayName="GUID" ma:hidden="true" ma:internalName="GUID" ma:readOnly="true">
      <xsd:simpleType>
        <xsd:restriction base="dms:Unknown"/>
      </xsd:simpleType>
    </xsd:element>
    <xsd:element name="WorkflowVersion" ma:index="9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9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9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9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96" nillable="true" ma:displayName="Document Concurrency Number" ma:hidden="true" ma:list="Docs" ma:internalName="DocConcurrencyNumber" ma:readOnly="true" ma:showField="DocConcurrencyNumber">
      <xsd:simpleType>
        <xsd:restriction base="dms:Lookup"/>
      </xsd:simpleType>
    </xsd:element>
    <xsd:element name="ParentUniqueId" ma:index="97" nillable="true" ma:displayName="Document Parent Identifier" ma:hidden="true" ma:list="Docs" ma:internalName="ParentUniqueId" ma:readOnly="true" ma:showField="ParentUniqueId">
      <xsd:simpleType>
        <xsd:restriction base="dms:Lookup"/>
      </xsd:simpleType>
    </xsd:element>
    <xsd:element name="StreamHash" ma:index="98" nillable="true" ma:displayName="Document Stream Hash" ma:hidden="true" ma:list="Docs" ma:internalName="StreamHash" ma:readOnly="true" ma:showField="StreamHash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91B04-2990-4B57-B48B-0D67EE7C5EF0" elementFormDefault="qualified">
    <xsd:import namespace="http://schemas.microsoft.com/office/2006/documentManagement/types"/>
    <xsd:import namespace="http://schemas.microsoft.com/office/infopath/2007/PartnerControls"/>
    <xsd:element name="RISManuscriptType" ma:index="13" nillable="true" ma:displayName="Manuscript Type" ma:format="Dropdown" ma:internalName="RISManuscriptType">
      <xsd:simpleType>
        <xsd:restriction base="dms:Choice">
          <xsd:enumeration value="Author's original"/>
          <xsd:enumeration value="Author's final version"/>
          <xsd:enumeration value="Proof"/>
          <xsd:enumeration value="Published version"/>
          <xsd:enumeration value="Other"/>
        </xsd:restriction>
      </xsd:simpleType>
    </xsd:element>
    <xsd:element name="RISOtherType" ma:index="14" nillable="true" ma:displayName="Type" ma:internalName="RISOtherType">
      <xsd:simpleType>
        <xsd:restriction base="dms:Text">
          <xsd:maxLength value="120"/>
        </xsd:restriction>
      </xsd:simpleType>
    </xsd:element>
    <xsd:element name="RISAccessLevel" ma:index="15" nillable="true" ma:displayName="Access To" ma:format="Dropdown" ma:internalName="RISAccessLevel">
      <xsd:simpleType>
        <xsd:restriction base="dms:Choice">
          <xsd:enumeration value="Everyone"/>
          <xsd:enumeration value="HBS Only"/>
          <xsd:enumeration value="Private"/>
        </xsd:restriction>
      </xsd:simpleType>
    </xsd:element>
    <xsd:element name="RISEmbargoDate" ma:index="16" nillable="true" ma:displayName="Availability/Embargo Date" ma:format="DateOnly" ma:internalName="RISEmbargoDate">
      <xsd:simpleType>
        <xsd:restriction base="dms:DateTime"/>
      </xsd:simpleType>
    </xsd:element>
    <xsd:element name="RISSendToDash" ma:index="17" nillable="true" ma:displayName="DASH" ma:format="Dropdown" ma:internalName="RISSendToDash">
      <xsd:simpleType>
        <xsd:restriction base="dms:Choice">
          <xsd:enumeration value="Citation and File"/>
          <xsd:enumeration value="Citation Only"/>
          <xsd:enumeration value="Dark"/>
          <xsd:enumeration value="Do not send to DASH"/>
        </xsd:restriction>
      </xsd:simpleType>
    </xsd:element>
    <xsd:element name="RISProductID" ma:index="18" nillable="true" ma:displayName="Product ID" ma:internalName="RISProductID">
      <xsd:simpleType>
        <xsd:restriction base="dms:Number"/>
      </xsd:simpleType>
    </xsd:element>
    <xsd:element name="RISPrimaryCitation" ma:index="19" nillable="true" ma:displayName="Primary Citation" ma:format="Dropdown" ma:internalName="RISPrimaryCitation">
      <xsd:simpleType>
        <xsd:restriction base="dms:Choice">
          <xsd:enumeration value="F"/>
          <xsd:enumeration value="T"/>
        </xsd:restriction>
      </xsd:simpleType>
    </xsd:element>
    <xsd:element name="RISDisplayName" ma:index="20" nillable="true" ma:displayName="Display Name" ma:internalName="RISDisplayName">
      <xsd:simpleType>
        <xsd:restriction base="dms:Text">
          <xsd:maxLength value="120"/>
        </xsd:restriction>
      </xsd:simpleType>
    </xsd:element>
    <xsd:element name="RISSaveFlag" ma:index="21" nillable="true" ma:displayName="Save Flag" ma:internalName="RISSaveFlag">
      <xsd:simpleType>
        <xsd:restriction base="dms:Text">
          <xsd:maxLength value="255"/>
        </xsd:restriction>
      </xsd:simpleType>
    </xsd:element>
    <xsd:element name="RISUserType" ma:index="22" nillable="true" ma:displayName="User Type" ma:internalName="RISUserType">
      <xsd:simpleType>
        <xsd:restriction base="dms:Text">
          <xsd:maxLength value="100"/>
        </xsd:restriction>
      </xsd:simpleType>
    </xsd:element>
    <xsd:element name="RISSaveFlagAdmin" ma:index="23" nillable="true" ma:displayName="Save Flag Admin" ma:internalName="RISSaveFlagAdmin">
      <xsd:simpleType>
        <xsd:restriction base="dms:Text">
          <xsd:maxLength value="255"/>
        </xsd:restriction>
      </xsd:simpleType>
    </xsd:element>
    <xsd:element name="RISState" ma:index="24" nillable="true" ma:displayName="Publication State" ma:internalName="RISState">
      <xsd:simpleType>
        <xsd:restriction base="dms:Text">
          <xsd:maxLength value="255"/>
        </xsd:restriction>
      </xsd:simpleType>
    </xsd:element>
    <xsd:element name="RISWCMFlag" ma:index="25" nillable="true" ma:displayName="WCM Flag" ma:format="Dropdown" ma:internalName="RISWCMFlag">
      <xsd:simpleType>
        <xsd:restriction base="dms:Choice">
          <xsd:enumeration value="New"/>
          <xsd:enumeration value="Updated"/>
          <xsd:enumeration value="NoChange"/>
          <xsd:enumeration value="Deleted"/>
        </xsd:restriction>
      </xsd:simpleType>
    </xsd:element>
    <xsd:element name="RISCreateDate" ma:index="26" nillable="true" ma:displayName="Created Date" ma:format="DateOnly" ma:internalName="RISCreateDate">
      <xsd:simpleType>
        <xsd:restriction base="dms:DateTime"/>
      </xsd:simpleType>
    </xsd:element>
    <xsd:element name="RISModifiedDate" ma:index="27" nillable="true" ma:displayName="Modified Date" ma:format="DateOnly" ma:internalName="RISModifiedDate">
      <xsd:simpleType>
        <xsd:restriction base="dms:DateTime"/>
      </xsd:simpleType>
    </xsd:element>
    <xsd:element name="RISCreatedBy" ma:index="28" nillable="true" ma:displayName="RIS Created By" ma:internalName="RISCreatedBy">
      <xsd:simpleType>
        <xsd:restriction base="dms:Text">
          <xsd:maxLength value="100"/>
        </xsd:restriction>
      </xsd:simpleType>
    </xsd:element>
    <xsd:element name="RISModifiedBy" ma:index="29" nillable="true" ma:displayName="RIS Modified By" ma:internalName="RISModifiedBy">
      <xsd:simpleType>
        <xsd:restriction base="dms:Text">
          <xsd:maxLength value="100"/>
        </xsd:restriction>
      </xsd:simpleType>
    </xsd:element>
    <xsd:element name="RISVisibility" ma:index="30" nillable="true" ma:displayName="Visibility" ma:format="Dropdown" ma:internalName="RISVisibility">
      <xsd:simpleType>
        <xsd:restriction base="dms:Choice">
          <xsd:enumeration value="Public"/>
          <xsd:enumeration value="Suppressed"/>
        </xsd:restriction>
      </xsd:simpleType>
    </xsd:element>
    <xsd:element name="RISIncludeinFRProfile" ma:index="31" nillable="true" ma:displayName="Show on My F And R Profile" ma:internalName="RISIncludeinFRProfile">
      <xsd:simpleType>
        <xsd:restriction base="dms:Boolean"/>
      </xsd:simpleType>
    </xsd:element>
    <xsd:element name="RISGuid" ma:index="32" nillable="true" ma:displayName="Unique ID" ma:internalName="RISGuid">
      <xsd:simpleType>
        <xsd:restriction base="dms:Text">
          <xsd:maxLength value="36"/>
        </xsd:restriction>
      </xsd:simpleType>
    </xsd:element>
    <xsd:element name="RISPersonID" ma:index="33" nillable="true" ma:displayName="Person ID" ma:internalName="RISPersonID">
      <xsd:simpleType>
        <xsd:restriction base="dms:Text">
          <xsd:maxLength value="10"/>
        </xsd:restriction>
      </xsd:simpleType>
    </xsd:element>
    <xsd:element name="RISPRelatedType" ma:index="34" nillable="true" ma:displayName="Related Type" ma:internalName="RISPRelatedType">
      <xsd:simpleType>
        <xsd:restriction base="dms:Text">
          <xsd:maxLength value="12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6" ma:displayName="Content Type"/>
        <xsd:element ref="dc:title" minOccurs="0" maxOccurs="1" ma:index="9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0x00041BB9609029574BB48B0D67EE7C5EF0</ContentTypeId>
    <TemplateUrl xmlns="http://schemas.microsoft.com/sharepoint/v3" xsi:nil="true"/>
    <RISState xmlns="60B91B04-2990-4B57-B48B-0D67EE7C5EF0" xsi:nil="true"/>
    <RISOtherType xmlns="60B91B04-2990-4B57-B48B-0D67EE7C5EF0" xsi:nil="true"/>
    <RISGuid xmlns="60B91B04-2990-4B57-B48B-0D67EE7C5EF0">12b019e2-187a-4c7b-90ab-a49f1895f8ce</RISGuid>
    <RISCreatedBy xmlns="60B91B04-2990-4B57-B48B-0D67EE7C5EF0" xsi:nil="true"/>
    <RISSaveFlagAdmin xmlns="60B91B04-2990-4B57-B48B-0D67EE7C5EF0" xsi:nil="true"/>
    <RISPRelatedType xmlns="60B91B04-2990-4B57-B48B-0D67EE7C5EF0">File</RISPRelatedType>
    <_SourceUrl xmlns="http://schemas.microsoft.com/sharepoint/v3" xsi:nil="true"/>
    <RISProductID xmlns="60B91B04-2990-4B57-B48B-0D67EE7C5EF0">59630</RISProductID>
    <RISWCMFlag xmlns="60B91B04-2990-4B57-B48B-0D67EE7C5EF0">New</RISWCMFlag>
    <RISCreateDate xmlns="60B91B04-2990-4B57-B48B-0D67EE7C5EF0" xsi:nil="true"/>
    <RISEmbargoDate xmlns="60B91B04-2990-4B57-B48B-0D67EE7C5EF0" xsi:nil="true"/>
    <RISModifiedDate xmlns="60B91B04-2990-4B57-B48B-0D67EE7C5EF0" xsi:nil="true"/>
    <xd_ProgID xmlns="http://schemas.microsoft.com/sharepoint/v3" xsi:nil="true"/>
    <RISAccessLevel xmlns="60B91B04-2990-4B57-B48B-0D67EE7C5EF0" xsi:nil="true"/>
    <RISPrimaryCitation xmlns="60B91B04-2990-4B57-B48B-0D67EE7C5EF0" xsi:nil="true"/>
    <RISUserType xmlns="60B91B04-2990-4B57-B48B-0D67EE7C5EF0" xsi:nil="true"/>
    <RISVisibility xmlns="60B91B04-2990-4B57-B48B-0D67EE7C5EF0" xsi:nil="true"/>
    <RISManuscriptType xmlns="60B91B04-2990-4B57-B48B-0D67EE7C5EF0" xsi:nil="true"/>
    <RISModifiedBy xmlns="60B91B04-2990-4B57-B48B-0D67EE7C5EF0" xsi:nil="true"/>
    <RISIncludeinFRProfile xmlns="60B91B04-2990-4B57-B48B-0D67EE7C5EF0" xsi:nil="true"/>
    <RISSendToDash xmlns="60B91B04-2990-4B57-B48B-0D67EE7C5EF0" xsi:nil="true"/>
    <RISDisplayName xmlns="60B91B04-2990-4B57-B48B-0D67EE7C5EF0">Supplement_B.xlsx</RISDisplayName>
    <RISSaveFlag xmlns="60B91B04-2990-4B57-B48B-0D67EE7C5EF0">Draft</RISSaveFlag>
    <Order xmlns="http://schemas.microsoft.com/sharepoint/v3" xsi:nil="true"/>
    <_SharedFileIndex xmlns="http://schemas.microsoft.com/sharepoint/v3" xsi:nil="true"/>
    <RISPersonID xmlns="60B91B04-2990-4B57-B48B-0D67EE7C5EF0">766753</RISPersonID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D0529D-ED69-4464-AA83-78EA875003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CEC3C5-B08E-40CD-B627-B9806404FCD2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60B91B04-2990-4B57-B48B-0D67EE7C5EF0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Copyright</vt:lpstr>
      <vt:lpstr>Instructions</vt:lpstr>
      <vt:lpstr>Raw Data</vt:lpstr>
      <vt:lpstr>One-time Purchase</vt:lpstr>
      <vt:lpstr>One-time Purchase Leaders</vt:lpstr>
      <vt:lpstr>LTV</vt:lpstr>
      <vt:lpstr>LTV Leaders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Supplement_B_fbb02d3d-9dae-4ff2-b8ad-964ed86f404c.xlsx</dc:title>
  <dc:creator>Lisitsyn, Fedor</dc:creator>
  <cp:lastModifiedBy>davishdiamonds@outlook.com</cp:lastModifiedBy>
  <cp:lastPrinted>2021-02-03T18:58:28Z</cp:lastPrinted>
  <dcterms:created xsi:type="dcterms:W3CDTF">2020-08-31T02:21:34Z</dcterms:created>
  <dcterms:modified xsi:type="dcterms:W3CDTF">2023-04-11T01:47:01Z</dcterms:modified>
</cp:coreProperties>
</file>