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zo\OneDrive - South Mediterranean University\Desktop\Portfolio\"/>
    </mc:Choice>
  </mc:AlternateContent>
  <xr:revisionPtr revIDLastSave="0" documentId="8_{A1556357-FCDA-4825-B7CB-9D0EC9843CCE}" xr6:coauthVersionLast="47" xr6:coauthVersionMax="47" xr10:uidLastSave="{00000000-0000-0000-0000-000000000000}"/>
  <bookViews>
    <workbookView xWindow="-98" yWindow="-98" windowWidth="21795" windowHeight="11625" xr2:uid="{16E5ABC9-14AC-4664-87B1-4B0063D1CCA1}"/>
  </bookViews>
  <sheets>
    <sheet name="DCF" sheetId="1" r:id="rId1"/>
    <sheet name="IS" sheetId="5" r:id="rId2"/>
    <sheet name="WACC" sheetId="8" r:id="rId3"/>
    <sheet name="Shares" sheetId="9" r:id="rId4"/>
    <sheet name="CapEx" sheetId="6" r:id="rId5"/>
    <sheet name="CFS " sheetId="3" r:id="rId6"/>
    <sheet name="Segments" sheetId="4" r:id="rId7"/>
  </sheets>
  <externalReferences>
    <externalReference r:id="rId8"/>
    <externalReference r:id="rId9"/>
    <externalReference r:id="rId10"/>
    <externalReference r:id="rId11"/>
  </externalReferences>
  <definedNames>
    <definedName name="CASE">[1]DCF!#REF!</definedName>
    <definedName name="CIRC">[1]DCF!#REF!</definedName>
    <definedName name="PIK">[2]LBO!$E$8</definedName>
    <definedName name="tgr">[3]DCF!$E$19</definedName>
    <definedName name="wacc">[3]DCF!$E$18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0" i="1" l="1"/>
  <c r="Q119" i="1"/>
  <c r="E28" i="9"/>
  <c r="E27" i="9"/>
  <c r="E26" i="9"/>
  <c r="E25" i="9"/>
  <c r="E24" i="9"/>
  <c r="E23" i="9"/>
  <c r="E22" i="9"/>
  <c r="E21" i="9"/>
  <c r="E9" i="9" s="1"/>
  <c r="E10" i="9" s="1"/>
  <c r="E20" i="9"/>
  <c r="B20" i="9"/>
  <c r="B21" i="9" s="1"/>
  <c r="B22" i="9" s="1"/>
  <c r="B23" i="9" s="1"/>
  <c r="B24" i="9" s="1"/>
  <c r="B25" i="9" s="1"/>
  <c r="B26" i="9" s="1"/>
  <c r="B27" i="9" s="1"/>
  <c r="B28" i="9" s="1"/>
  <c r="E19" i="9"/>
  <c r="L107" i="1"/>
  <c r="M108" i="1" s="1"/>
  <c r="N108" i="1" s="1"/>
  <c r="O108" i="1" s="1"/>
  <c r="P108" i="1" s="1"/>
  <c r="Q108" i="1" s="1"/>
  <c r="D9" i="1"/>
  <c r="E9" i="1" s="1"/>
  <c r="F9" i="1" s="1"/>
  <c r="G9" i="1" s="1"/>
  <c r="H9" i="1" s="1"/>
  <c r="I9" i="1" s="1"/>
  <c r="J9" i="1" s="1"/>
  <c r="K9" i="1" s="1"/>
  <c r="F14" i="8"/>
  <c r="L24" i="1"/>
  <c r="F13" i="8"/>
  <c r="F6" i="8"/>
  <c r="F17" i="8"/>
  <c r="D82" i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L73" i="1"/>
  <c r="L101" i="1" s="1"/>
  <c r="K73" i="1"/>
  <c r="J73" i="1"/>
  <c r="I73" i="1"/>
  <c r="H73" i="1"/>
  <c r="G73" i="1"/>
  <c r="F73" i="1"/>
  <c r="E73" i="1"/>
  <c r="D73" i="1"/>
  <c r="C73" i="1"/>
  <c r="L70" i="1"/>
  <c r="K70" i="1"/>
  <c r="J70" i="1"/>
  <c r="I70" i="1"/>
  <c r="H70" i="1"/>
  <c r="G70" i="1"/>
  <c r="F70" i="1"/>
  <c r="E70" i="1"/>
  <c r="D70" i="1"/>
  <c r="C70" i="1"/>
  <c r="L66" i="1"/>
  <c r="K66" i="1"/>
  <c r="J66" i="1"/>
  <c r="I66" i="1"/>
  <c r="H66" i="1"/>
  <c r="G66" i="1"/>
  <c r="F66" i="1"/>
  <c r="E66" i="1"/>
  <c r="D66" i="1"/>
  <c r="C66" i="1"/>
  <c r="L60" i="1"/>
  <c r="L61" i="1" s="1"/>
  <c r="K60" i="1"/>
  <c r="K61" i="1" s="1"/>
  <c r="J60" i="1"/>
  <c r="J61" i="1" s="1"/>
  <c r="I60" i="1"/>
  <c r="I61" i="1" s="1"/>
  <c r="H60" i="1"/>
  <c r="H61" i="1" s="1"/>
  <c r="G60" i="1"/>
  <c r="G61" i="1" s="1"/>
  <c r="F60" i="1"/>
  <c r="F61" i="1" s="1"/>
  <c r="E60" i="1"/>
  <c r="E61" i="1" s="1"/>
  <c r="D60" i="1"/>
  <c r="D61" i="1" s="1"/>
  <c r="C60" i="1"/>
  <c r="C61" i="1" s="1"/>
  <c r="E30" i="9" l="1"/>
  <c r="E8" i="9" s="1"/>
  <c r="E11" i="9" s="1"/>
  <c r="E14" i="9" s="1"/>
  <c r="L108" i="1"/>
  <c r="F15" i="8"/>
  <c r="F19" i="8" s="1"/>
  <c r="L11" i="1" s="1"/>
  <c r="L91" i="1"/>
  <c r="M61" i="1"/>
  <c r="M91" i="1" s="1"/>
  <c r="D68" i="1"/>
  <c r="E68" i="1"/>
  <c r="C68" i="1"/>
  <c r="L68" i="1"/>
  <c r="J68" i="1"/>
  <c r="K68" i="1"/>
  <c r="G68" i="1"/>
  <c r="H68" i="1"/>
  <c r="I68" i="1"/>
  <c r="F68" i="1"/>
  <c r="N61" i="1" l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N46" i="1"/>
  <c r="M46" i="1"/>
  <c r="L46" i="1"/>
  <c r="K46" i="1"/>
  <c r="J46" i="1"/>
  <c r="I46" i="1"/>
  <c r="H46" i="1"/>
  <c r="G46" i="1"/>
  <c r="F46" i="1"/>
  <c r="E46" i="1"/>
  <c r="D46" i="1"/>
  <c r="C46" i="1"/>
  <c r="N42" i="1"/>
  <c r="M42" i="1"/>
  <c r="L42" i="1"/>
  <c r="K42" i="1"/>
  <c r="J42" i="1"/>
  <c r="I42" i="1"/>
  <c r="H42" i="1"/>
  <c r="G42" i="1"/>
  <c r="F42" i="1"/>
  <c r="E42" i="1"/>
  <c r="D42" i="1"/>
  <c r="C42" i="1"/>
  <c r="Q29" i="1"/>
  <c r="P29" i="1"/>
  <c r="O29" i="1"/>
  <c r="N29" i="1"/>
  <c r="Q24" i="1"/>
  <c r="Q46" i="1" s="1"/>
  <c r="P24" i="1"/>
  <c r="O24" i="1"/>
  <c r="O46" i="1" s="1"/>
  <c r="N24" i="1"/>
  <c r="Q19" i="1"/>
  <c r="Q42" i="1" s="1"/>
  <c r="P19" i="1"/>
  <c r="P42" i="1" s="1"/>
  <c r="O19" i="1"/>
  <c r="O42" i="1" s="1"/>
  <c r="N19" i="1"/>
  <c r="M29" i="1"/>
  <c r="L29" i="1"/>
  <c r="K29" i="1"/>
  <c r="J29" i="1"/>
  <c r="I29" i="1"/>
  <c r="H29" i="1"/>
  <c r="G29" i="1"/>
  <c r="F29" i="1"/>
  <c r="E29" i="1"/>
  <c r="D29" i="1"/>
  <c r="C29" i="1"/>
  <c r="M24" i="1"/>
  <c r="K24" i="1"/>
  <c r="J24" i="1"/>
  <c r="I24" i="1"/>
  <c r="H24" i="1"/>
  <c r="G24" i="1"/>
  <c r="F24" i="1"/>
  <c r="E24" i="1"/>
  <c r="D24" i="1"/>
  <c r="C24" i="1"/>
  <c r="C25" i="1" s="1"/>
  <c r="M19" i="1"/>
  <c r="L19" i="1"/>
  <c r="K19" i="1"/>
  <c r="J19" i="1"/>
  <c r="I19" i="1"/>
  <c r="H19" i="1"/>
  <c r="G19" i="1"/>
  <c r="F19" i="1"/>
  <c r="E19" i="1"/>
  <c r="D19" i="1"/>
  <c r="C19" i="1"/>
  <c r="C20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N91" i="1" l="1"/>
  <c r="O61" i="1"/>
  <c r="F47" i="1"/>
  <c r="H51" i="1"/>
  <c r="K30" i="1"/>
  <c r="E30" i="1"/>
  <c r="M30" i="1"/>
  <c r="Q25" i="1"/>
  <c r="G43" i="1"/>
  <c r="I51" i="1"/>
  <c r="G47" i="1"/>
  <c r="F51" i="1"/>
  <c r="N51" i="1"/>
  <c r="G51" i="1"/>
  <c r="Q51" i="1"/>
  <c r="D47" i="1"/>
  <c r="L47" i="1"/>
  <c r="N47" i="1"/>
  <c r="I25" i="1"/>
  <c r="F30" i="1"/>
  <c r="N30" i="1"/>
  <c r="E47" i="1"/>
  <c r="D43" i="1"/>
  <c r="L43" i="1"/>
  <c r="H47" i="1"/>
  <c r="O54" i="1"/>
  <c r="E43" i="1"/>
  <c r="I47" i="1"/>
  <c r="O51" i="1"/>
  <c r="M43" i="1"/>
  <c r="N43" i="1"/>
  <c r="Q54" i="1"/>
  <c r="J47" i="1"/>
  <c r="N54" i="1"/>
  <c r="M47" i="1"/>
  <c r="H43" i="1"/>
  <c r="K43" i="1"/>
  <c r="P46" i="1"/>
  <c r="K25" i="1"/>
  <c r="I43" i="1"/>
  <c r="L30" i="1"/>
  <c r="E25" i="1"/>
  <c r="K47" i="1"/>
  <c r="M25" i="1"/>
  <c r="C47" i="1"/>
  <c r="P51" i="1"/>
  <c r="F43" i="1"/>
  <c r="D30" i="1"/>
  <c r="C51" i="1"/>
  <c r="K51" i="1"/>
  <c r="E51" i="1"/>
  <c r="D51" i="1"/>
  <c r="L51" i="1"/>
  <c r="J43" i="1"/>
  <c r="M51" i="1"/>
  <c r="C54" i="1"/>
  <c r="C48" i="1" s="1"/>
  <c r="C43" i="1"/>
  <c r="J54" i="1"/>
  <c r="F54" i="1"/>
  <c r="F48" i="1" s="1"/>
  <c r="I54" i="1"/>
  <c r="I44" i="1" s="1"/>
  <c r="K54" i="1"/>
  <c r="K48" i="1" s="1"/>
  <c r="L54" i="1"/>
  <c r="P25" i="1"/>
  <c r="D54" i="1"/>
  <c r="D44" i="1" s="1"/>
  <c r="J25" i="1"/>
  <c r="E54" i="1"/>
  <c r="E44" i="1" s="1"/>
  <c r="M54" i="1"/>
  <c r="N25" i="1"/>
  <c r="F25" i="1"/>
  <c r="O25" i="1"/>
  <c r="J51" i="1"/>
  <c r="G25" i="1"/>
  <c r="H25" i="1"/>
  <c r="G30" i="1"/>
  <c r="N20" i="1"/>
  <c r="O30" i="1"/>
  <c r="G54" i="1"/>
  <c r="G44" i="1" s="1"/>
  <c r="H30" i="1"/>
  <c r="P30" i="1"/>
  <c r="C30" i="1"/>
  <c r="H54" i="1"/>
  <c r="H48" i="1" s="1"/>
  <c r="D25" i="1"/>
  <c r="L25" i="1"/>
  <c r="I30" i="1"/>
  <c r="Q30" i="1"/>
  <c r="J30" i="1"/>
  <c r="L20" i="1"/>
  <c r="M20" i="1"/>
  <c r="J20" i="1"/>
  <c r="O20" i="1"/>
  <c r="E20" i="1"/>
  <c r="F20" i="1"/>
  <c r="G20" i="1"/>
  <c r="P20" i="1"/>
  <c r="Q20" i="1"/>
  <c r="H20" i="1"/>
  <c r="I20" i="1"/>
  <c r="C34" i="1"/>
  <c r="K34" i="1"/>
  <c r="D34" i="1"/>
  <c r="L34" i="1"/>
  <c r="L84" i="1" s="1"/>
  <c r="D20" i="1"/>
  <c r="P34" i="1"/>
  <c r="K20" i="1"/>
  <c r="O34" i="1"/>
  <c r="O84" i="1" s="1"/>
  <c r="N34" i="1"/>
  <c r="N84" i="1" s="1"/>
  <c r="E34" i="1"/>
  <c r="M34" i="1"/>
  <c r="M84" i="1" s="1"/>
  <c r="H34" i="1"/>
  <c r="I34" i="1"/>
  <c r="F34" i="1"/>
  <c r="G34" i="1"/>
  <c r="Q34" i="1"/>
  <c r="J34" i="1"/>
  <c r="O91" i="1" l="1"/>
  <c r="P61" i="1"/>
  <c r="P91" i="1" s="1"/>
  <c r="N44" i="1"/>
  <c r="N87" i="1"/>
  <c r="O44" i="1"/>
  <c r="O87" i="1"/>
  <c r="Q21" i="1"/>
  <c r="Q84" i="1"/>
  <c r="P21" i="1"/>
  <c r="P84" i="1"/>
  <c r="Q44" i="1"/>
  <c r="Q87" i="1"/>
  <c r="L48" i="1"/>
  <c r="L87" i="1"/>
  <c r="M44" i="1"/>
  <c r="M87" i="1"/>
  <c r="G71" i="1"/>
  <c r="G74" i="1"/>
  <c r="G75" i="1"/>
  <c r="G67" i="1"/>
  <c r="F75" i="1"/>
  <c r="F74" i="1"/>
  <c r="F67" i="1"/>
  <c r="F71" i="1"/>
  <c r="I31" i="1"/>
  <c r="I74" i="1"/>
  <c r="I67" i="1"/>
  <c r="I71" i="1"/>
  <c r="I75" i="1"/>
  <c r="H21" i="1"/>
  <c r="H74" i="1"/>
  <c r="H71" i="1"/>
  <c r="H67" i="1"/>
  <c r="H75" i="1"/>
  <c r="L26" i="1"/>
  <c r="L74" i="1"/>
  <c r="L102" i="1" s="1"/>
  <c r="L71" i="1"/>
  <c r="L99" i="1" s="1"/>
  <c r="L67" i="1"/>
  <c r="L96" i="1" s="1"/>
  <c r="L75" i="1"/>
  <c r="J74" i="1"/>
  <c r="J67" i="1"/>
  <c r="J75" i="1"/>
  <c r="J71" i="1"/>
  <c r="C31" i="1"/>
  <c r="C71" i="1"/>
  <c r="C74" i="1"/>
  <c r="C67" i="1"/>
  <c r="D26" i="1"/>
  <c r="D74" i="1"/>
  <c r="D67" i="1"/>
  <c r="D71" i="1"/>
  <c r="D75" i="1"/>
  <c r="E75" i="1"/>
  <c r="E67" i="1"/>
  <c r="E74" i="1"/>
  <c r="E71" i="1"/>
  <c r="K71" i="1"/>
  <c r="K74" i="1"/>
  <c r="K75" i="1"/>
  <c r="K67" i="1"/>
  <c r="N48" i="1"/>
  <c r="D48" i="1"/>
  <c r="H44" i="1"/>
  <c r="F44" i="1"/>
  <c r="Q48" i="1"/>
  <c r="M48" i="1"/>
  <c r="E48" i="1"/>
  <c r="J48" i="1"/>
  <c r="J44" i="1"/>
  <c r="O48" i="1"/>
  <c r="I48" i="1"/>
  <c r="L44" i="1"/>
  <c r="C44" i="1"/>
  <c r="K44" i="1"/>
  <c r="G48" i="1"/>
  <c r="L21" i="1"/>
  <c r="L31" i="1"/>
  <c r="H31" i="1"/>
  <c r="F21" i="1"/>
  <c r="F31" i="1"/>
  <c r="M26" i="1"/>
  <c r="M31" i="1"/>
  <c r="D21" i="1"/>
  <c r="D31" i="1"/>
  <c r="Q31" i="1"/>
  <c r="O26" i="1"/>
  <c r="O31" i="1"/>
  <c r="K21" i="1"/>
  <c r="K31" i="1"/>
  <c r="G26" i="1"/>
  <c r="G31" i="1"/>
  <c r="E26" i="1"/>
  <c r="E31" i="1"/>
  <c r="J21" i="1"/>
  <c r="J31" i="1"/>
  <c r="N26" i="1"/>
  <c r="N31" i="1"/>
  <c r="P31" i="1"/>
  <c r="M21" i="1"/>
  <c r="F26" i="1"/>
  <c r="Q26" i="1"/>
  <c r="G21" i="1"/>
  <c r="E21" i="1"/>
  <c r="P26" i="1"/>
  <c r="I26" i="1"/>
  <c r="I21" i="1"/>
  <c r="O21" i="1"/>
  <c r="N21" i="1"/>
  <c r="C35" i="1"/>
  <c r="C21" i="1"/>
  <c r="K26" i="1"/>
  <c r="H26" i="1"/>
  <c r="C26" i="1"/>
  <c r="J26" i="1"/>
  <c r="D35" i="1"/>
  <c r="H35" i="1"/>
  <c r="L35" i="1"/>
  <c r="L85" i="1" s="1"/>
  <c r="G55" i="1"/>
  <c r="K55" i="1"/>
  <c r="L55" i="1"/>
  <c r="L88" i="1" s="1"/>
  <c r="O55" i="1"/>
  <c r="O88" i="1" s="1"/>
  <c r="K35" i="1"/>
  <c r="M55" i="1"/>
  <c r="M88" i="1" s="1"/>
  <c r="F55" i="1"/>
  <c r="P54" i="1"/>
  <c r="E55" i="1"/>
  <c r="J55" i="1"/>
  <c r="H55" i="1"/>
  <c r="N55" i="1"/>
  <c r="N88" i="1" s="1"/>
  <c r="Q55" i="1"/>
  <c r="Q88" i="1" s="1"/>
  <c r="I55" i="1"/>
  <c r="D55" i="1"/>
  <c r="C55" i="1"/>
  <c r="Q35" i="1"/>
  <c r="Q85" i="1" s="1"/>
  <c r="J35" i="1"/>
  <c r="E35" i="1"/>
  <c r="O35" i="1"/>
  <c r="O85" i="1" s="1"/>
  <c r="G35" i="1"/>
  <c r="M35" i="1"/>
  <c r="M85" i="1" s="1"/>
  <c r="N35" i="1"/>
  <c r="N85" i="1" s="1"/>
  <c r="F35" i="1"/>
  <c r="P35" i="1"/>
  <c r="P85" i="1" s="1"/>
  <c r="I35" i="1"/>
  <c r="Q61" i="1" l="1"/>
  <c r="Q91" i="1" s="1"/>
  <c r="Q93" i="1" s="1"/>
  <c r="L93" i="1"/>
  <c r="L90" i="1"/>
  <c r="P48" i="1"/>
  <c r="P87" i="1"/>
  <c r="N93" i="1"/>
  <c r="N90" i="1"/>
  <c r="M71" i="1"/>
  <c r="O71" i="1" s="1"/>
  <c r="M90" i="1"/>
  <c r="M93" i="1"/>
  <c r="O93" i="1"/>
  <c r="O90" i="1"/>
  <c r="N71" i="1"/>
  <c r="M74" i="1"/>
  <c r="M67" i="1"/>
  <c r="P55" i="1"/>
  <c r="P88" i="1" s="1"/>
  <c r="P44" i="1"/>
  <c r="Q90" i="1" l="1"/>
  <c r="O70" i="1"/>
  <c r="O99" i="1"/>
  <c r="M73" i="1"/>
  <c r="M102" i="1"/>
  <c r="N70" i="1"/>
  <c r="N99" i="1"/>
  <c r="M66" i="1"/>
  <c r="M96" i="1"/>
  <c r="M70" i="1"/>
  <c r="M99" i="1"/>
  <c r="P90" i="1"/>
  <c r="P93" i="1"/>
  <c r="P71" i="1"/>
  <c r="Q71" i="1"/>
  <c r="N67" i="1"/>
  <c r="N96" i="1" s="1"/>
  <c r="N74" i="1"/>
  <c r="M101" i="1" l="1"/>
  <c r="M75" i="1"/>
  <c r="O67" i="1"/>
  <c r="O66" i="1" s="1"/>
  <c r="Q70" i="1"/>
  <c r="Q98" i="1" s="1"/>
  <c r="Q99" i="1"/>
  <c r="P70" i="1"/>
  <c r="L98" i="1" s="1" a="1"/>
  <c r="L98" i="1" s="1"/>
  <c r="P99" i="1"/>
  <c r="N73" i="1"/>
  <c r="N102" i="1"/>
  <c r="N66" i="1"/>
  <c r="O74" i="1"/>
  <c r="O102" i="1" s="1"/>
  <c r="P67" i="1" l="1"/>
  <c r="P66" i="1" s="1"/>
  <c r="L95" i="1" s="1" a="1"/>
  <c r="N101" i="1"/>
  <c r="N75" i="1"/>
  <c r="O96" i="1"/>
  <c r="Q67" i="1"/>
  <c r="P74" i="1"/>
  <c r="O73" i="1"/>
  <c r="N104" i="1" l="1"/>
  <c r="N105" i="1" s="1"/>
  <c r="P96" i="1"/>
  <c r="O101" i="1"/>
  <c r="O104" i="1" s="1"/>
  <c r="O105" i="1" s="1"/>
  <c r="O75" i="1"/>
  <c r="L95" i="1"/>
  <c r="L104" i="1" s="1"/>
  <c r="L105" i="1" s="1"/>
  <c r="M104" i="1"/>
  <c r="M105" i="1" s="1"/>
  <c r="P73" i="1"/>
  <c r="P102" i="1"/>
  <c r="Q66" i="1"/>
  <c r="Q95" i="1" s="1"/>
  <c r="Q96" i="1"/>
  <c r="Q74" i="1"/>
  <c r="P101" i="1" l="1"/>
  <c r="P104" i="1" s="1"/>
  <c r="P105" i="1" s="1"/>
  <c r="P75" i="1"/>
  <c r="Q73" i="1"/>
  <c r="Q102" i="1"/>
  <c r="Q101" i="1" l="1"/>
  <c r="Q104" i="1" s="1"/>
  <c r="Q75" i="1"/>
  <c r="Q111" i="1" l="1"/>
  <c r="Q112" i="1" s="1"/>
  <c r="Q105" i="1"/>
  <c r="Q114" i="1" l="1"/>
  <c r="Q1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 vivobook s15</author>
  </authors>
  <commentList>
    <comment ref="S37" authorId="0" shapeId="0" xr:uid="{9CBE2191-31F0-4869-A166-A5B288658AFE}">
      <text>
        <r>
          <rPr>
            <b/>
            <sz val="9"/>
            <color indexed="81"/>
            <rFont val="Tahoma"/>
            <charset val="1"/>
          </rPr>
          <t>asus vivobook s15:</t>
        </r>
        <r>
          <rPr>
            <sz val="9"/>
            <color indexed="81"/>
            <rFont val="Tahoma"/>
            <charset val="1"/>
          </rPr>
          <t xml:space="preserve">
Red color is simple forcasting due to unavailable data</t>
        </r>
      </text>
    </comment>
    <comment ref="Q115" authorId="0" shapeId="0" xr:uid="{EA5C2B71-B121-47CD-839A-88EAFF621AD1}">
      <text>
        <r>
          <rPr>
            <b/>
            <sz val="9"/>
            <color indexed="81"/>
            <rFont val="Tahoma"/>
            <family val="2"/>
          </rPr>
          <t xml:space="preserve">Mehdi:
</t>
        </r>
        <r>
          <rPr>
            <sz val="9"/>
            <color indexed="81"/>
            <rFont val="Tahoma"/>
            <family val="2"/>
          </rPr>
          <t xml:space="preserve">as of Q2 10k 2024
</t>
        </r>
      </text>
    </comment>
    <comment ref="Q116" authorId="0" shapeId="0" xr:uid="{5814CC92-92E1-4116-B16F-81A70A5F07BE}">
      <text>
        <r>
          <rPr>
            <b/>
            <sz val="9"/>
            <color indexed="81"/>
            <rFont val="Tahoma"/>
            <family val="2"/>
          </rPr>
          <t xml:space="preserve">Mehdi:
</t>
        </r>
        <r>
          <rPr>
            <sz val="9"/>
            <color indexed="81"/>
            <rFont val="Tahoma"/>
            <family val="2"/>
          </rPr>
          <t xml:space="preserve">as of Q2 10k 2024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F5" authorId="0" shapeId="0" xr:uid="{42C2FD75-9267-4E40-9CCC-CE52EB61A95D}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E7" authorId="0" shapeId="0" xr:uid="{E7B56B70-927C-4D22-B493-C6E43DEBA7B3}">
      <text>
        <r>
          <rPr>
            <b/>
            <sz val="9"/>
            <color indexed="81"/>
            <rFont val="Tahoma"/>
            <family val="2"/>
          </rPr>
          <t>Mehdi:</t>
        </r>
        <r>
          <rPr>
            <sz val="9"/>
            <color indexed="81"/>
            <rFont val="Tahoma"/>
            <family val="2"/>
          </rPr>
          <t xml:space="preserve">
2024 Q2 10Q</t>
        </r>
      </text>
    </comment>
    <comment ref="E12" authorId="0" shapeId="0" xr:uid="{D88377C9-CCAD-4B43-8122-FABB7190F73D}">
      <text>
        <r>
          <rPr>
            <b/>
            <sz val="9"/>
            <color indexed="81"/>
            <rFont val="Tahoma"/>
            <family val="2"/>
          </rPr>
          <t>Mehdi</t>
        </r>
        <r>
          <rPr>
            <sz val="9"/>
            <color indexed="81"/>
            <rFont val="Tahoma"/>
            <family val="2"/>
          </rPr>
          <t xml:space="preserve">
2024 Q2 10Q pg 16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<sst xmlns="http://schemas.openxmlformats.org/spreadsheetml/2006/main" count="398" uniqueCount="213">
  <si>
    <t>DCF</t>
  </si>
  <si>
    <t>Revenue</t>
  </si>
  <si>
    <t>North America</t>
  </si>
  <si>
    <t>International</t>
  </si>
  <si>
    <t>AWS</t>
  </si>
  <si>
    <t>Total</t>
  </si>
  <si>
    <t xml:space="preserve"> % growth</t>
  </si>
  <si>
    <t>EBIT</t>
  </si>
  <si>
    <t xml:space="preserve"> % sales</t>
  </si>
  <si>
    <t xml:space="preserve"> % Total sales</t>
  </si>
  <si>
    <t xml:space="preserve"> % Total EBIT</t>
  </si>
  <si>
    <t xml:space="preserve"> </t>
  </si>
  <si>
    <t>Taxes</t>
  </si>
  <si>
    <t xml:space="preserve"> Tax rate </t>
  </si>
  <si>
    <t>Financials</t>
  </si>
  <si>
    <t>Cash Flow Items</t>
  </si>
  <si>
    <t>--</t>
  </si>
  <si>
    <t>D&amp;A</t>
  </si>
  <si>
    <t xml:space="preserve"> % CapEx</t>
  </si>
  <si>
    <t>CapEx</t>
  </si>
  <si>
    <t>Chnages in NWC</t>
  </si>
  <si>
    <t xml:space="preserve"> % chnage in sales</t>
  </si>
  <si>
    <t>All figures in millions of U.S. Dollar except per share items.</t>
  </si>
  <si>
    <t>Free Cash Flow Yield (%)</t>
  </si>
  <si>
    <t>Free Cash Flow per Share</t>
  </si>
  <si>
    <t>Free Cash Flow</t>
  </si>
  <si>
    <t>Net Change in Cash</t>
  </si>
  <si>
    <t>Exchange Rate Effect</t>
  </si>
  <si>
    <t>All Activities</t>
  </si>
  <si>
    <t>Net Financing Cash Flow</t>
  </si>
  <si>
    <t>Other Sources</t>
  </si>
  <si>
    <t>Other Funds</t>
  </si>
  <si>
    <t>Reduction in Long-Term Debt</t>
  </si>
  <si>
    <t>Issuance of Long-Term Debt</t>
  </si>
  <si>
    <t>Change in Long-Term Debt</t>
  </si>
  <si>
    <t>Change in Current Debt</t>
  </si>
  <si>
    <t>Issuance/Reduction of Debt, Net</t>
  </si>
  <si>
    <t>Repurchase of Common &amp; Preferred Stk.</t>
  </si>
  <si>
    <t>Change in Capital Stock</t>
  </si>
  <si>
    <t>Financing Activities</t>
  </si>
  <si>
    <t>Net Investing Cash Flow</t>
  </si>
  <si>
    <t>Sale/Maturity of Investments</t>
  </si>
  <si>
    <t>Purchase of Investments</t>
  </si>
  <si>
    <t>Purchase/Sale of Investments</t>
  </si>
  <si>
    <t>Sale of Fixed Assets &amp; Businesses</t>
  </si>
  <si>
    <t>Net Assets from Acquisitions</t>
  </si>
  <si>
    <t>Capital Expenditures (Fixed Assets)</t>
  </si>
  <si>
    <t>Capital Expenditures</t>
  </si>
  <si>
    <t>Investing Activities</t>
  </si>
  <si>
    <t>Net Operating Cash Flow</t>
  </si>
  <si>
    <t>Other Assets/Liabilities</t>
  </si>
  <si>
    <t>Other Accruals</t>
  </si>
  <si>
    <t>Accounts Payable</t>
  </si>
  <si>
    <t>Inventories</t>
  </si>
  <si>
    <t>Receivables</t>
  </si>
  <si>
    <t>Changes in Working Capital</t>
  </si>
  <si>
    <t>Funds from Operations</t>
  </si>
  <si>
    <t>Deferred Taxes</t>
  </si>
  <si>
    <t>Deferred Taxes &amp; Investment Tax Credit</t>
  </si>
  <si>
    <t>Amortization of Intangible Assets</t>
  </si>
  <si>
    <t>Depreciation and Depletion</t>
  </si>
  <si>
    <t>Depreciation, Depletion &amp; Amortization</t>
  </si>
  <si>
    <t>Net Income / Starting Line</t>
  </si>
  <si>
    <t>Operating Activities</t>
  </si>
  <si>
    <t>LTM</t>
  </si>
  <si>
    <t>JUN '24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</si>
  <si>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</si>
  <si>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</si>
  <si>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</si>
  <si>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</si>
  <si>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</si>
  <si>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</si>
  <si>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</si>
  <si>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</si>
  <si>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</si>
  <si>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</si>
  <si>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Source: FactSet Fundamentals</t>
  </si>
  <si>
    <t xml:space="preserve">AMZN   023135106   2000019   NASDAQ    Common stock    </t>
  </si>
  <si>
    <t>Amazon.com, Inc.</t>
  </si>
  <si>
    <t>$172.12</t>
  </si>
  <si>
    <t>Amazon.com, Inc. (AMZN)</t>
  </si>
  <si>
    <t>-</t>
  </si>
  <si>
    <t>AWS-Geo</t>
  </si>
  <si>
    <t>EBITDA</t>
  </si>
  <si>
    <t>WFM- Geo</t>
  </si>
  <si>
    <t>- NA Media</t>
  </si>
  <si>
    <t>Operating Income</t>
  </si>
  <si>
    <t>- NA Other</t>
  </si>
  <si>
    <t>Sales</t>
  </si>
  <si>
    <t>Dec '29E</t>
  </si>
  <si>
    <t>Dec '28E</t>
  </si>
  <si>
    <t>Dec '27E</t>
  </si>
  <si>
    <t>Dec '26E</t>
  </si>
  <si>
    <t>Dec '25E</t>
  </si>
  <si>
    <t>Dec '24E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</si>
  <si>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</si>
  <si>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</si>
  <si>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</si>
  <si>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</si>
  <si>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</si>
  <si>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</si>
  <si>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</si>
  <si>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</si>
  <si>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</si>
  <si>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</si>
  <si>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CY '29E</t>
  </si>
  <si>
    <t>CY '28E</t>
  </si>
  <si>
    <t>CY '27E</t>
  </si>
  <si>
    <t>CY '26E</t>
  </si>
  <si>
    <t>CY '25E</t>
  </si>
  <si>
    <t>CY '24E</t>
  </si>
  <si>
    <t>CY '23</t>
  </si>
  <si>
    <t>CY '22</t>
  </si>
  <si>
    <t>CY '21</t>
  </si>
  <si>
    <t>CY '20</t>
  </si>
  <si>
    <t>CY '19</t>
  </si>
  <si>
    <t>CY '18</t>
  </si>
  <si>
    <t>CY '17</t>
  </si>
  <si>
    <t>CY '16</t>
  </si>
  <si>
    <t>CY '15</t>
  </si>
  <si>
    <t>CY '14</t>
  </si>
  <si>
    <t>Geographic Segments (M)</t>
  </si>
  <si>
    <t>AMZN-US</t>
  </si>
  <si>
    <t>Depreciation &amp; Amortization Expense</t>
  </si>
  <si>
    <t>Earnings Persistence</t>
  </si>
  <si>
    <t>Total Shares Outstanding</t>
  </si>
  <si>
    <t>Diluted Shares Outstanding</t>
  </si>
  <si>
    <t>EPS (diluted)</t>
  </si>
  <si>
    <t>Basic Shares Outstanding</t>
  </si>
  <si>
    <t>EPS (basic)</t>
  </si>
  <si>
    <t>EPS (recurring)</t>
  </si>
  <si>
    <t>Per Share</t>
  </si>
  <si>
    <t>Net Income available to Common</t>
  </si>
  <si>
    <t>Net Income</t>
  </si>
  <si>
    <t>Consolidated Net Income</t>
  </si>
  <si>
    <t>Equity in Earnings of Affiliates</t>
  </si>
  <si>
    <t>Income Taxes - Deferred Foreign</t>
  </si>
  <si>
    <t>Income Taxes - Deferred Domestic</t>
  </si>
  <si>
    <t>Income Taxes - Current Foreign</t>
  </si>
  <si>
    <t>Income Taxes - Current Domestic</t>
  </si>
  <si>
    <t>Income Taxes</t>
  </si>
  <si>
    <t>Pretax Income</t>
  </si>
  <si>
    <t>Hedges/Derivatives</t>
  </si>
  <si>
    <t>Investments</t>
  </si>
  <si>
    <t>Unrealized Valuation Gain/Loss</t>
  </si>
  <si>
    <t>Unusual Expense - Net</t>
  </si>
  <si>
    <t>Gross Interest Expense</t>
  </si>
  <si>
    <t>Interest Expense</t>
  </si>
  <si>
    <t>Other Income (Expense)</t>
  </si>
  <si>
    <t>Nonoperating Interest Income</t>
  </si>
  <si>
    <t>Nonoperating Income - Net</t>
  </si>
  <si>
    <t>EBIT (Operating Income)</t>
  </si>
  <si>
    <t>Other SG&amp;A</t>
  </si>
  <si>
    <t>Research &amp; Development</t>
  </si>
  <si>
    <t>SG&amp;A Expense</t>
  </si>
  <si>
    <t>Gross Income</t>
  </si>
  <si>
    <t>Amortization of Intangibles</t>
  </si>
  <si>
    <t>Depreciation</t>
  </si>
  <si>
    <t>COGS excluding D&amp;A</t>
  </si>
  <si>
    <t>Cost of Goods Sold (COGS) incl. D&amp;A</t>
  </si>
  <si>
    <t>Cash Flow from Financing</t>
  </si>
  <si>
    <t>Cash Flow from Investing</t>
  </si>
  <si>
    <t>Cash Flow from Operations</t>
  </si>
  <si>
    <t>Unlevered Free Cash Flow</t>
  </si>
  <si>
    <t>Cash Flow (M)</t>
  </si>
  <si>
    <t>Changes in NWC</t>
  </si>
  <si>
    <t xml:space="preserve"> % Tax rate</t>
  </si>
  <si>
    <t>EBIAT</t>
  </si>
  <si>
    <t>WACC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</si>
  <si>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</si>
  <si>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</si>
  <si>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</si>
  <si>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</si>
  <si>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</si>
  <si>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</si>
  <si>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</si>
  <si>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</si>
  <si>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</si>
  <si>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</si>
  <si>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Note</t>
  </si>
  <si>
    <t>Unlevered FCF</t>
  </si>
  <si>
    <t>Assumptions</t>
  </si>
  <si>
    <t>Ticker</t>
  </si>
  <si>
    <t>Date</t>
  </si>
  <si>
    <t>End of Year</t>
  </si>
  <si>
    <t>AMZN</t>
  </si>
  <si>
    <t>TGR</t>
  </si>
  <si>
    <t>PV of UFCF</t>
  </si>
  <si>
    <t>Discount Period</t>
  </si>
  <si>
    <t>Stub</t>
  </si>
  <si>
    <t>Terminal Value</t>
  </si>
  <si>
    <t>PV of Terminal Value</t>
  </si>
  <si>
    <t>Entreprise Value</t>
  </si>
  <si>
    <t>(+) Cash</t>
  </si>
  <si>
    <t>(-) Debt</t>
  </si>
  <si>
    <t>Equity Value</t>
  </si>
  <si>
    <t>Diluted Share Count Calculation</t>
  </si>
  <si>
    <t>x</t>
  </si>
  <si>
    <t>Full Diluted Shares</t>
  </si>
  <si>
    <t>Current Stock Price</t>
  </si>
  <si>
    <t>Basic shares outstanding (latest filing)</t>
  </si>
  <si>
    <t>In-the-money exercisable options</t>
  </si>
  <si>
    <t>Total proceeds ($mm)</t>
  </si>
  <si>
    <t>Total shares repurchased (mm)</t>
  </si>
  <si>
    <t>Net dilutive options</t>
  </si>
  <si>
    <t xml:space="preserve">Dilutive impact of shares from other securities </t>
  </si>
  <si>
    <t>Net diluted shares outstanding</t>
  </si>
  <si>
    <t>Options outstanding</t>
  </si>
  <si>
    <t>Outstanding</t>
  </si>
  <si>
    <t>Exercise price</t>
  </si>
  <si>
    <t>Dilutive Shares</t>
  </si>
  <si>
    <t>FDSO</t>
  </si>
  <si>
    <t>Implied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</si>
</sst>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&quot;E&quot;"/>
    <numFmt numFmtId="165" formatCode="0&quot;A&quot;"/>
    <numFmt numFmtId="166" formatCode="0_);\(0\)"/>
    <numFmt numFmtId="167" formatCode="0.0%"/>
    <numFmt numFmtId="180" formatCode="#,##0.0_);\(#,##0.0\)"/>
    <numFmt numFmtId="181" formatCode="#,##0.0_);\(#,##0.0\);@_)"/>
    <numFmt numFmtId="182" formatCode="&quot;Tranche&quot;\ 0"/>
  </numFmts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theme="9" tint="-0.249977111117893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  <font>
      <i/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FFFF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indexed="12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139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3" fontId="6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165" fontId="4" fillId="2" borderId="0" xfId="0" applyNumberFormat="1" applyFont="1" applyFill="1" applyAlignment="1">
      <alignment horizontal="center"/>
    </xf>
    <xf numFmtId="3" fontId="6" fillId="0" borderId="0" xfId="0" applyNumberFormat="1" applyFont="1"/>
    <xf numFmtId="0" fontId="7" fillId="0" borderId="0" xfId="0" applyFont="1"/>
    <xf numFmtId="9" fontId="7" fillId="0" borderId="0" xfId="1" applyFont="1" applyAlignment="1">
      <alignment horizontal="center"/>
    </xf>
    <xf numFmtId="0" fontId="3" fillId="3" borderId="5" xfId="0" applyFont="1" applyFill="1" applyBorder="1"/>
    <xf numFmtId="0" fontId="8" fillId="3" borderId="8" xfId="0" applyFont="1" applyFill="1" applyBorder="1"/>
    <xf numFmtId="9" fontId="7" fillId="3" borderId="1" xfId="1" applyFont="1" applyFill="1" applyBorder="1" applyAlignment="1">
      <alignment horizontal="center"/>
    </xf>
    <xf numFmtId="3" fontId="3" fillId="3" borderId="6" xfId="0" applyNumberFormat="1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9" fontId="7" fillId="3" borderId="9" xfId="1" applyFont="1" applyFill="1" applyBorder="1" applyAlignment="1">
      <alignment horizontal="center"/>
    </xf>
    <xf numFmtId="37" fontId="6" fillId="0" borderId="0" xfId="0" applyNumberFormat="1" applyFont="1" applyAlignment="1">
      <alignment horizontal="center"/>
    </xf>
    <xf numFmtId="9" fontId="2" fillId="0" borderId="0" xfId="1" applyFont="1" applyAlignment="1">
      <alignment horizontal="center"/>
    </xf>
    <xf numFmtId="37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3" fontId="3" fillId="0" borderId="0" xfId="0" applyNumberFormat="1" applyFont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3" fontId="0" fillId="0" borderId="0" xfId="0" applyNumberFormat="1"/>
    <xf numFmtId="3" fontId="10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37" fontId="10" fillId="0" borderId="0" xfId="0" applyNumberFormat="1" applyFont="1" applyAlignment="1">
      <alignment horizontal="center"/>
    </xf>
    <xf numFmtId="0" fontId="5" fillId="0" borderId="0" xfId="2"/>
    <xf numFmtId="0" fontId="11" fillId="0" borderId="0" xfId="2" applyFont="1" applyAlignment="1">
      <alignment horizontal="left"/>
    </xf>
    <xf numFmtId="4" fontId="5" fillId="0" borderId="0" xfId="2" applyNumberFormat="1" applyAlignment="1">
      <alignment horizontal="right"/>
    </xf>
    <xf numFmtId="4" fontId="12" fillId="0" borderId="0" xfId="2" applyNumberFormat="1" applyFont="1" applyAlignment="1">
      <alignment horizontal="right"/>
    </xf>
    <xf numFmtId="0" fontId="5" fillId="0" borderId="0" xfId="2" applyAlignment="1">
      <alignment horizontal="left" indent="4"/>
    </xf>
    <xf numFmtId="3" fontId="5" fillId="7" borderId="0" xfId="2" applyNumberFormat="1" applyFill="1" applyAlignment="1">
      <alignment horizontal="right"/>
    </xf>
    <xf numFmtId="3" fontId="12" fillId="7" borderId="0" xfId="2" applyNumberFormat="1" applyFont="1" applyFill="1" applyAlignment="1">
      <alignment horizontal="right"/>
    </xf>
    <xf numFmtId="0" fontId="5" fillId="7" borderId="0" xfId="2" applyFill="1" applyAlignment="1">
      <alignment horizontal="left" indent="4"/>
    </xf>
    <xf numFmtId="3" fontId="13" fillId="0" borderId="0" xfId="2" applyNumberFormat="1" applyFont="1" applyAlignment="1">
      <alignment horizontal="right"/>
    </xf>
    <xf numFmtId="0" fontId="13" fillId="0" borderId="0" xfId="2" applyFont="1" applyAlignment="1">
      <alignment horizontal="left" indent="3"/>
    </xf>
    <xf numFmtId="0" fontId="5" fillId="7" borderId="0" xfId="2" applyFill="1" applyAlignment="1">
      <alignment horizontal="left" indent="1"/>
    </xf>
    <xf numFmtId="3" fontId="12" fillId="0" borderId="0" xfId="2" applyNumberFormat="1" applyFont="1" applyAlignment="1">
      <alignment horizontal="right"/>
    </xf>
    <xf numFmtId="3" fontId="5" fillId="0" borderId="0" xfId="2" applyNumberFormat="1" applyAlignment="1">
      <alignment horizontal="right"/>
    </xf>
    <xf numFmtId="0" fontId="5" fillId="0" borderId="0" xfId="2" applyAlignment="1">
      <alignment horizontal="left" indent="1"/>
    </xf>
    <xf numFmtId="0" fontId="13" fillId="7" borderId="0" xfId="2" applyFont="1" applyFill="1" applyAlignment="1">
      <alignment horizontal="left"/>
    </xf>
    <xf numFmtId="0" fontId="5" fillId="7" borderId="0" xfId="2" applyFill="1" applyAlignment="1">
      <alignment horizontal="left" indent="7"/>
    </xf>
    <xf numFmtId="0" fontId="5" fillId="0" borderId="0" xfId="2" applyAlignment="1">
      <alignment horizontal="left" indent="7"/>
    </xf>
    <xf numFmtId="3" fontId="13" fillId="7" borderId="0" xfId="2" applyNumberFormat="1" applyFont="1" applyFill="1" applyAlignment="1">
      <alignment horizontal="right"/>
    </xf>
    <xf numFmtId="0" fontId="13" fillId="7" borderId="0" xfId="2" applyFont="1" applyFill="1" applyAlignment="1">
      <alignment horizontal="left" indent="6"/>
    </xf>
    <xf numFmtId="0" fontId="13" fillId="7" borderId="0" xfId="2" applyFont="1" applyFill="1" applyAlignment="1">
      <alignment horizontal="left" indent="3"/>
    </xf>
    <xf numFmtId="0" fontId="13" fillId="0" borderId="0" xfId="2" applyFont="1" applyAlignment="1">
      <alignment horizontal="left"/>
    </xf>
    <xf numFmtId="0" fontId="5" fillId="7" borderId="0" xfId="2" applyFill="1" applyAlignment="1">
      <alignment horizontal="left"/>
    </xf>
    <xf numFmtId="0" fontId="5" fillId="0" borderId="0" xfId="2" applyAlignment="1">
      <alignment horizontal="left"/>
    </xf>
    <xf numFmtId="0" fontId="14" fillId="8" borderId="0" xfId="2" applyFont="1" applyFill="1" applyAlignment="1">
      <alignment horizontal="left"/>
    </xf>
    <xf numFmtId="0" fontId="5" fillId="0" borderId="10" xfId="2" applyBorder="1"/>
    <xf numFmtId="0" fontId="5" fillId="0" borderId="11" xfId="2" applyBorder="1"/>
    <xf numFmtId="0" fontId="14" fillId="0" borderId="0" xfId="2" applyFont="1"/>
    <xf numFmtId="0" fontId="5" fillId="0" borderId="0" xfId="2" applyAlignment="1">
      <alignment horizontal="right"/>
    </xf>
    <xf numFmtId="0" fontId="5" fillId="7" borderId="0" xfId="2" applyFill="1" applyAlignment="1">
      <alignment horizontal="right"/>
    </xf>
    <xf numFmtId="3" fontId="14" fillId="7" borderId="0" xfId="2" applyNumberFormat="1" applyFont="1" applyFill="1" applyAlignment="1">
      <alignment horizontal="right"/>
    </xf>
    <xf numFmtId="0" fontId="14" fillId="7" borderId="0" xfId="2" applyFont="1" applyFill="1" applyAlignment="1">
      <alignment horizontal="left"/>
    </xf>
    <xf numFmtId="0" fontId="5" fillId="7" borderId="0" xfId="2" quotePrefix="1" applyFill="1" applyAlignment="1">
      <alignment horizontal="left"/>
    </xf>
    <xf numFmtId="0" fontId="5" fillId="0" borderId="0" xfId="2" quotePrefix="1" applyAlignment="1">
      <alignment horizontal="left"/>
    </xf>
    <xf numFmtId="3" fontId="14" fillId="0" borderId="0" xfId="2" applyNumberFormat="1" applyFont="1" applyAlignment="1">
      <alignment horizontal="right"/>
    </xf>
    <xf numFmtId="0" fontId="14" fillId="0" borderId="0" xfId="2" applyFont="1" applyAlignment="1">
      <alignment horizontal="left"/>
    </xf>
    <xf numFmtId="4" fontId="5" fillId="7" borderId="0" xfId="2" applyNumberFormat="1" applyFill="1" applyAlignment="1">
      <alignment horizontal="right"/>
    </xf>
    <xf numFmtId="4" fontId="13" fillId="0" borderId="0" xfId="2" applyNumberFormat="1" applyFont="1" applyAlignment="1">
      <alignment horizontal="right"/>
    </xf>
    <xf numFmtId="4" fontId="13" fillId="7" borderId="0" xfId="2" applyNumberFormat="1" applyFont="1" applyFill="1" applyAlignment="1">
      <alignment horizontal="right"/>
    </xf>
    <xf numFmtId="0" fontId="13" fillId="0" borderId="0" xfId="2" applyFont="1" applyAlignment="1">
      <alignment horizontal="left" indent="6"/>
    </xf>
    <xf numFmtId="3" fontId="2" fillId="0" borderId="0" xfId="0" applyNumberFormat="1" applyFont="1" applyAlignment="1">
      <alignment horizontal="center"/>
    </xf>
    <xf numFmtId="9" fontId="15" fillId="0" borderId="0" xfId="1" applyFont="1" applyAlignment="1">
      <alignment horizontal="center"/>
    </xf>
    <xf numFmtId="3" fontId="16" fillId="0" borderId="0" xfId="0" applyNumberFormat="1" applyFont="1"/>
    <xf numFmtId="9" fontId="16" fillId="0" borderId="0" xfId="1" applyFont="1"/>
    <xf numFmtId="3" fontId="17" fillId="0" borderId="0" xfId="0" applyNumberFormat="1" applyFont="1"/>
    <xf numFmtId="0" fontId="9" fillId="9" borderId="0" xfId="0" applyFont="1" applyFill="1"/>
    <xf numFmtId="0" fontId="0" fillId="9" borderId="0" xfId="0" applyFill="1"/>
    <xf numFmtId="16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10" borderId="13" xfId="0" applyNumberFormat="1" applyFill="1" applyBorder="1" applyAlignment="1">
      <alignment horizontal="right"/>
    </xf>
    <xf numFmtId="0" fontId="0" fillId="10" borderId="13" xfId="0" applyFill="1" applyBorder="1" applyAlignment="1">
      <alignment horizontal="right"/>
    </xf>
    <xf numFmtId="3" fontId="0" fillId="10" borderId="13" xfId="0" applyNumberFormat="1" applyFill="1" applyBorder="1" applyAlignment="1">
      <alignment horizontal="right"/>
    </xf>
    <xf numFmtId="0" fontId="19" fillId="0" borderId="1" xfId="0" applyFont="1" applyBorder="1" applyAlignment="1">
      <alignment horizontal="left" vertical="top"/>
    </xf>
    <xf numFmtId="0" fontId="9" fillId="4" borderId="0" xfId="0" applyFont="1" applyFill="1" applyAlignment="1">
      <alignment horizontal="center"/>
    </xf>
    <xf numFmtId="37" fontId="16" fillId="0" borderId="0" xfId="0" applyNumberFormat="1" applyFont="1"/>
    <xf numFmtId="0" fontId="3" fillId="3" borderId="12" xfId="0" applyFont="1" applyFill="1" applyBorder="1"/>
    <xf numFmtId="0" fontId="3" fillId="3" borderId="3" xfId="0" applyFont="1" applyFill="1" applyBorder="1"/>
    <xf numFmtId="164" fontId="4" fillId="2" borderId="0" xfId="0" applyNumberFormat="1" applyFont="1" applyFill="1" applyBorder="1" applyAlignment="1">
      <alignment horizontal="center"/>
    </xf>
    <xf numFmtId="14" fontId="0" fillId="10" borderId="13" xfId="0" applyNumberFormat="1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3" fillId="0" borderId="0" xfId="0" applyFont="1" applyBorder="1"/>
    <xf numFmtId="0" fontId="19" fillId="0" borderId="0" xfId="0" applyFont="1" applyBorder="1" applyAlignment="1">
      <alignment horizontal="left" vertical="top"/>
    </xf>
    <xf numFmtId="0" fontId="0" fillId="0" borderId="0" xfId="0" applyBorder="1"/>
    <xf numFmtId="14" fontId="24" fillId="6" borderId="0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25" fillId="0" borderId="0" xfId="0" applyNumberFormat="1" applyFont="1" applyAlignment="1">
      <alignment horizontal="center"/>
    </xf>
    <xf numFmtId="10" fontId="0" fillId="12" borderId="13" xfId="0" applyNumberFormat="1" applyFill="1" applyBorder="1" applyAlignment="1">
      <alignment horizontal="center"/>
    </xf>
    <xf numFmtId="2" fontId="0" fillId="0" borderId="0" xfId="0" applyNumberFormat="1"/>
    <xf numFmtId="0" fontId="3" fillId="0" borderId="12" xfId="0" applyFont="1" applyFill="1" applyBorder="1"/>
    <xf numFmtId="0" fontId="3" fillId="0" borderId="3" xfId="0" applyFont="1" applyFill="1" applyBorder="1"/>
    <xf numFmtId="3" fontId="18" fillId="0" borderId="3" xfId="0" applyNumberFormat="1" applyFont="1" applyFill="1" applyBorder="1"/>
    <xf numFmtId="3" fontId="18" fillId="0" borderId="4" xfId="0" applyNumberFormat="1" applyFont="1" applyFill="1" applyBorder="1"/>
    <xf numFmtId="0" fontId="3" fillId="0" borderId="5" xfId="0" applyFont="1" applyBorder="1"/>
    <xf numFmtId="0" fontId="3" fillId="0" borderId="6" xfId="0" applyFont="1" applyBorder="1"/>
    <xf numFmtId="3" fontId="3" fillId="0" borderId="6" xfId="0" applyNumberFormat="1" applyFont="1" applyBorder="1"/>
    <xf numFmtId="3" fontId="3" fillId="0" borderId="7" xfId="0" applyNumberFormat="1" applyFont="1" applyBorder="1"/>
    <xf numFmtId="0" fontId="3" fillId="0" borderId="8" xfId="0" applyFont="1" applyBorder="1"/>
    <xf numFmtId="3" fontId="3" fillId="0" borderId="1" xfId="0" applyNumberFormat="1" applyFont="1" applyBorder="1"/>
    <xf numFmtId="3" fontId="3" fillId="0" borderId="9" xfId="0" applyNumberFormat="1" applyFont="1" applyBorder="1"/>
    <xf numFmtId="39" fontId="0" fillId="0" borderId="0" xfId="0" applyNumberFormat="1"/>
    <xf numFmtId="180" fontId="0" fillId="0" borderId="0" xfId="0" applyNumberFormat="1"/>
    <xf numFmtId="3" fontId="0" fillId="0" borderId="0" xfId="0" applyNumberFormat="1" applyAlignment="1"/>
    <xf numFmtId="0" fontId="0" fillId="0" borderId="1" xfId="0" applyBorder="1" applyAlignment="1">
      <alignment horizontal="center"/>
    </xf>
    <xf numFmtId="0" fontId="19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9" fillId="2" borderId="0" xfId="0" applyFont="1" applyFill="1" applyAlignment="1">
      <alignment horizontal="left"/>
    </xf>
    <xf numFmtId="0" fontId="4" fillId="2" borderId="0" xfId="0" applyFont="1" applyFill="1" applyAlignment="1">
      <alignment horizontal="centerContinuous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39" fontId="26" fillId="13" borderId="13" xfId="0" applyNumberFormat="1" applyFont="1" applyFill="1" applyBorder="1" applyAlignment="1">
      <alignment horizontal="right"/>
    </xf>
    <xf numFmtId="0" fontId="27" fillId="0" borderId="0" xfId="0" applyFont="1" applyAlignment="1">
      <alignment horizontal="left"/>
    </xf>
    <xf numFmtId="180" fontId="26" fillId="13" borderId="13" xfId="0" applyNumberFormat="1" applyFont="1" applyFill="1" applyBorder="1" applyAlignment="1">
      <alignment horizontal="right"/>
    </xf>
    <xf numFmtId="181" fontId="16" fillId="0" borderId="0" xfId="0" applyNumberFormat="1" applyFont="1"/>
    <xf numFmtId="181" fontId="0" fillId="0" borderId="0" xfId="0" applyNumberFormat="1"/>
    <xf numFmtId="181" fontId="28" fillId="0" borderId="0" xfId="0" applyNumberFormat="1" applyFont="1"/>
    <xf numFmtId="0" fontId="3" fillId="0" borderId="0" xfId="0" applyFont="1" applyAlignment="1">
      <alignment horizontal="left"/>
    </xf>
    <xf numFmtId="181" fontId="3" fillId="0" borderId="0" xfId="0" applyNumberFormat="1" applyFont="1"/>
    <xf numFmtId="0" fontId="29" fillId="0" borderId="0" xfId="0" applyFont="1" applyAlignment="1">
      <alignment horizontal="right"/>
    </xf>
    <xf numFmtId="182" fontId="0" fillId="0" borderId="0" xfId="0" applyNumberFormat="1" applyAlignment="1">
      <alignment horizontal="left"/>
    </xf>
    <xf numFmtId="0" fontId="0" fillId="0" borderId="0" xfId="0" applyAlignment="1">
      <alignment horizontal="right" indent="1"/>
    </xf>
    <xf numFmtId="182" fontId="0" fillId="0" borderId="1" xfId="0" applyNumberFormat="1" applyBorder="1" applyAlignment="1">
      <alignment horizontal="left"/>
    </xf>
    <xf numFmtId="180" fontId="26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 indent="1"/>
    </xf>
    <xf numFmtId="2" fontId="3" fillId="3" borderId="4" xfId="0" applyNumberFormat="1" applyFont="1" applyFill="1" applyBorder="1" applyAlignment="1">
      <alignment horizontal="right" indent="1"/>
    </xf>
  </cellXfs>
  <cellStyles count="3">
    <cellStyle name="Normal" xfId="0" builtinId="0"/>
    <cellStyle name="Normal 2" xfId="2" xr:uid="{B62F82FD-F10D-4F03-9B9E-824AEAD50C76}"/>
    <cellStyle name="Percent" xfId="1" builtinId="5"/>
  </cellStyles>
  <dxfs count="0"/>
  <tableStyles count="0" defaultTableStyle="TableStyleMedium2" defaultPivotStyle="PivotStyleLight16"/>
  <colors>
    <mruColors>
      <color rgb="FFFFFF99"/>
      <color rgb="FFFF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3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zamzo\AppData\Roaming\Microsoft\Excel\2024.08%20(version%201).xlsb" TargetMode="External"/><Relationship Id="rId1" Type="http://schemas.openxmlformats.org/officeDocument/2006/relationships/externalLinkPath" Target="file:///C:\Users\zamzo\AppData\Roaming\Microsoft\Excel\2024.08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fc5d5c8c4852779/Desktop/2024.08.13%20-%20Burger%20King%20LBO%20Stream%20-%20Part%202.xlsx" TargetMode="External"/><Relationship Id="rId1" Type="http://schemas.openxmlformats.org/officeDocument/2006/relationships/externalLinkPath" Target="https://d.docs.live.net/4fc5d5c8c4852779/Desktop/Models/LBOs/2024.08.13%20-%20Burger%20King%20LBO%20Stream%20-%20Part%20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fc5d5c8c4852779/Desktop/Models/Chipotle/2024.07.27%20-%20Chipotle%20DCF.xlsx" TargetMode="External"/><Relationship Id="rId1" Type="http://schemas.openxmlformats.org/officeDocument/2006/relationships/externalLinkPath" Target="https://d.docs.live.net/4fc5d5c8c4852779/Desktop/Models/Chipotle/2024.07.27%20-%20Chipotle%20DCF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zamzo\Downloads\2024.08.-DCF-Tutorial-Part-1.xlsx" TargetMode="External"/><Relationship Id="rId1" Type="http://schemas.openxmlformats.org/officeDocument/2006/relationships/externalLinkPath" Target="file:///C:\Users\zamzo\Downloads\2024.08.-DCF-Tutorial-Part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DCF"/>
      <sheetName val="WACC"/>
      <sheetName val="Shares"/>
      <sheetName val="CFS"/>
    </sheetNames>
    <sheetDataSet>
      <sheetData sheetId="0"/>
      <sheetData sheetId="1"/>
      <sheetData sheetId="2"/>
      <sheetData sheetId="3"/>
      <sheetData sheetId="4">
        <row r="12">
          <cell r="C12">
            <v>5646</v>
          </cell>
          <cell r="D12">
            <v>7482</v>
          </cell>
          <cell r="E12">
            <v>10933</v>
          </cell>
          <cell r="F12">
            <v>15341</v>
          </cell>
          <cell r="G12">
            <v>21789</v>
          </cell>
          <cell r="H12">
            <v>25251</v>
          </cell>
          <cell r="I12">
            <v>34296</v>
          </cell>
          <cell r="J12">
            <v>41921</v>
          </cell>
          <cell r="K12">
            <v>48663</v>
          </cell>
          <cell r="L12">
            <v>49673</v>
          </cell>
        </row>
        <row r="19">
          <cell r="C19">
            <v>2557</v>
          </cell>
          <cell r="D19">
            <v>3916</v>
          </cell>
          <cell r="E19">
            <v>-173</v>
          </cell>
          <cell r="F19">
            <v>-1043</v>
          </cell>
          <cell r="G19">
            <v>-2438</v>
          </cell>
          <cell r="H19">
            <v>13481</v>
          </cell>
          <cell r="I19">
            <v>-19611</v>
          </cell>
          <cell r="J19">
            <v>-20886</v>
          </cell>
          <cell r="K19">
            <v>-11541</v>
          </cell>
          <cell r="L19">
            <v>-6898</v>
          </cell>
        </row>
        <row r="27">
          <cell r="C27">
            <v>-4589</v>
          </cell>
          <cell r="D27">
            <v>-6737</v>
          </cell>
          <cell r="E27">
            <v>-11955</v>
          </cell>
          <cell r="F27">
            <v>-13427</v>
          </cell>
          <cell r="G27">
            <v>-16861</v>
          </cell>
          <cell r="H27">
            <v>-40140</v>
          </cell>
          <cell r="I27">
            <v>-61053</v>
          </cell>
          <cell r="J27">
            <v>-63645</v>
          </cell>
          <cell r="K27">
            <v>-52729</v>
          </cell>
          <cell r="L27">
            <v>-59612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LBO"/>
      <sheetName val="Shares"/>
    </sheetNames>
    <sheetDataSet>
      <sheetData sheetId="0"/>
      <sheetData sheetId="1">
        <row r="6">
          <cell r="E6" t="str">
            <v>OFF</v>
          </cell>
        </row>
        <row r="8">
          <cell r="E8">
            <v>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DCF"/>
      <sheetName val="WACC"/>
      <sheetName val="Shares"/>
      <sheetName val="IS - Historicals"/>
      <sheetName val="IS - Forecast"/>
      <sheetName val="CFS - Historicals"/>
      <sheetName val="CFS - Forecast"/>
    </sheetNames>
    <sheetDataSet>
      <sheetData sheetId="0" refreshError="1"/>
      <sheetData sheetId="1" refreshError="1">
        <row r="18">
          <cell r="E18">
            <v>8.4806000000000006E-2</v>
          </cell>
        </row>
        <row r="19">
          <cell r="E19">
            <v>2.5000000000000001E-2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DCF"/>
      <sheetName val="WACC"/>
      <sheetName val="Shares"/>
      <sheetName val="Segments"/>
      <sheetName val="IS"/>
      <sheetName val="CFS"/>
      <sheetName val="CapEx"/>
    </sheetNames>
    <sheetDataSet>
      <sheetData sheetId="0"/>
      <sheetData sheetId="1"/>
      <sheetData sheetId="2"/>
      <sheetData sheetId="3"/>
      <sheetData sheetId="4">
        <row r="6">
          <cell r="C6">
            <v>63708</v>
          </cell>
          <cell r="D6">
            <v>79785</v>
          </cell>
          <cell r="E6">
            <v>106110</v>
          </cell>
          <cell r="F6">
            <v>141366</v>
          </cell>
          <cell r="G6">
            <v>170773</v>
          </cell>
          <cell r="H6">
            <v>236282</v>
          </cell>
          <cell r="I6">
            <v>279833</v>
          </cell>
          <cell r="J6">
            <v>315880</v>
          </cell>
          <cell r="K6">
            <v>352828</v>
          </cell>
          <cell r="L6">
            <v>386647</v>
          </cell>
          <cell r="M6">
            <v>423461</v>
          </cell>
          <cell r="N6">
            <v>461471</v>
          </cell>
          <cell r="O6">
            <v>497416</v>
          </cell>
          <cell r="P6">
            <v>546306</v>
          </cell>
          <cell r="Q6">
            <v>590847</v>
          </cell>
        </row>
        <row r="8">
          <cell r="C8">
            <v>35418</v>
          </cell>
          <cell r="D8">
            <v>43983</v>
          </cell>
          <cell r="E8">
            <v>54297</v>
          </cell>
          <cell r="F8">
            <v>65866</v>
          </cell>
          <cell r="G8">
            <v>74723</v>
          </cell>
          <cell r="H8">
            <v>104412</v>
          </cell>
          <cell r="I8">
            <v>127787</v>
          </cell>
          <cell r="J8">
            <v>118007</v>
          </cell>
          <cell r="K8">
            <v>131200</v>
          </cell>
          <cell r="L8">
            <v>141444</v>
          </cell>
          <cell r="M8">
            <v>154680</v>
          </cell>
          <cell r="N8">
            <v>171709</v>
          </cell>
          <cell r="O8">
            <v>192631</v>
          </cell>
          <cell r="P8">
            <v>199416</v>
          </cell>
          <cell r="Q8">
            <v>215930</v>
          </cell>
        </row>
        <row r="9">
          <cell r="C9">
            <v>7880</v>
          </cell>
          <cell r="D9">
            <v>12219</v>
          </cell>
          <cell r="E9">
            <v>17459</v>
          </cell>
          <cell r="F9">
            <v>25655</v>
          </cell>
          <cell r="G9">
            <v>35026</v>
          </cell>
          <cell r="H9">
            <v>45370</v>
          </cell>
          <cell r="I9">
            <v>62202</v>
          </cell>
          <cell r="J9">
            <v>80096</v>
          </cell>
          <cell r="K9">
            <v>90757</v>
          </cell>
          <cell r="L9">
            <v>107555</v>
          </cell>
          <cell r="M9">
            <v>127628</v>
          </cell>
          <cell r="N9">
            <v>151647</v>
          </cell>
          <cell r="O9">
            <v>176580</v>
          </cell>
          <cell r="P9">
            <v>208724</v>
          </cell>
          <cell r="Q9">
            <v>249139</v>
          </cell>
        </row>
        <row r="12">
          <cell r="C12">
            <v>2751</v>
          </cell>
          <cell r="D12">
            <v>4099</v>
          </cell>
          <cell r="E12">
            <v>2837</v>
          </cell>
          <cell r="F12">
            <v>7267</v>
          </cell>
          <cell r="G12">
            <v>7033</v>
          </cell>
          <cell r="H12">
            <v>8651</v>
          </cell>
          <cell r="I12">
            <v>7271</v>
          </cell>
          <cell r="J12">
            <v>-2847</v>
          </cell>
          <cell r="K12">
            <v>14877</v>
          </cell>
          <cell r="L12">
            <v>23233.5</v>
          </cell>
          <cell r="M12">
            <v>31059.3</v>
          </cell>
          <cell r="N12">
            <v>34190</v>
          </cell>
        </row>
        <row r="14">
          <cell r="C14">
            <v>-91</v>
          </cell>
          <cell r="D14">
            <v>-477</v>
          </cell>
          <cell r="E14">
            <v>-3062</v>
          </cell>
          <cell r="F14">
            <v>-2142</v>
          </cell>
          <cell r="G14">
            <v>-1693</v>
          </cell>
          <cell r="H14">
            <v>717</v>
          </cell>
          <cell r="I14">
            <v>-924</v>
          </cell>
          <cell r="J14">
            <v>-7746</v>
          </cell>
          <cell r="K14">
            <v>-2656</v>
          </cell>
          <cell r="L14">
            <v>1765.17</v>
          </cell>
          <cell r="M14">
            <v>3899.91</v>
          </cell>
          <cell r="N14">
            <v>9726</v>
          </cell>
        </row>
        <row r="15">
          <cell r="C15">
            <v>1863</v>
          </cell>
          <cell r="D15">
            <v>3706</v>
          </cell>
          <cell r="E15">
            <v>4331</v>
          </cell>
          <cell r="F15">
            <v>7296</v>
          </cell>
          <cell r="G15">
            <v>9201</v>
          </cell>
          <cell r="H15">
            <v>13531</v>
          </cell>
          <cell r="I15">
            <v>18532</v>
          </cell>
          <cell r="J15">
            <v>22841</v>
          </cell>
          <cell r="K15">
            <v>24631</v>
          </cell>
          <cell r="L15">
            <v>37271.5</v>
          </cell>
          <cell r="M15">
            <v>42816.2</v>
          </cell>
          <cell r="N15">
            <v>53907.1</v>
          </cell>
          <cell r="O15">
            <v>70418.5</v>
          </cell>
          <cell r="P15">
            <v>85067.5</v>
          </cell>
          <cell r="Q15">
            <v>102298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13DB-37A4-48D1-B8F6-F297DFA3C2A4}">
  <dimension ref="A2:S120"/>
  <sheetViews>
    <sheetView showGridLines="0" tabSelected="1" zoomScale="86" zoomScaleNormal="90" workbookViewId="0">
      <selection activeCell="L12" sqref="L12"/>
    </sheetView>
  </sheetViews>
  <sheetFormatPr defaultRowHeight="14.25" outlineLevelCol="1" x14ac:dyDescent="0.45"/>
  <cols>
    <col min="2" max="2" width="16.53125" customWidth="1"/>
    <col min="3" max="3" width="9.06640625" customWidth="1" outlineLevel="1"/>
    <col min="4" max="5" width="10.59765625" customWidth="1" outlineLevel="1"/>
    <col min="6" max="11" width="11.59765625" customWidth="1" outlineLevel="1"/>
    <col min="12" max="12" width="13.1328125" bestFit="1" customWidth="1"/>
    <col min="13" max="13" width="12.53125" bestFit="1" customWidth="1"/>
    <col min="14" max="16" width="10" bestFit="1" customWidth="1"/>
    <col min="17" max="17" width="13.265625" bestFit="1" customWidth="1"/>
    <col min="19" max="19" width="14.19921875" customWidth="1"/>
  </cols>
  <sheetData>
    <row r="2" spans="1:17" s="2" customFormat="1" ht="21" x14ac:dyDescent="0.45">
      <c r="A2" s="1"/>
      <c r="B2" s="86" t="s">
        <v>0</v>
      </c>
    </row>
    <row r="3" spans="1:17" s="96" customFormat="1" ht="21" x14ac:dyDescent="0.45">
      <c r="A3" s="94"/>
      <c r="B3" s="95"/>
    </row>
    <row r="4" spans="1:17" x14ac:dyDescent="0.45">
      <c r="A4" s="25"/>
      <c r="B4" t="s">
        <v>182</v>
      </c>
      <c r="L4" s="93" t="s">
        <v>185</v>
      </c>
    </row>
    <row r="5" spans="1:17" x14ac:dyDescent="0.45">
      <c r="A5" s="25"/>
      <c r="B5" t="s">
        <v>183</v>
      </c>
      <c r="L5" s="92">
        <v>45534</v>
      </c>
    </row>
    <row r="6" spans="1:17" x14ac:dyDescent="0.45">
      <c r="A6" s="25"/>
      <c r="B6" t="s">
        <v>184</v>
      </c>
      <c r="L6" s="92">
        <v>45657</v>
      </c>
    </row>
    <row r="7" spans="1:17" x14ac:dyDescent="0.45">
      <c r="A7" s="25"/>
      <c r="L7" s="97"/>
    </row>
    <row r="8" spans="1:17" x14ac:dyDescent="0.45">
      <c r="A8" s="25"/>
    </row>
    <row r="9" spans="1:17" x14ac:dyDescent="0.45">
      <c r="B9" s="3" t="s">
        <v>181</v>
      </c>
      <c r="C9" s="8">
        <v>2015</v>
      </c>
      <c r="D9" s="8">
        <f t="shared" ref="D9" si="0">C9+1</f>
        <v>2016</v>
      </c>
      <c r="E9" s="8">
        <f t="shared" ref="E9" si="1">D9+1</f>
        <v>2017</v>
      </c>
      <c r="F9" s="8">
        <f t="shared" ref="F9" si="2">E9+1</f>
        <v>2018</v>
      </c>
      <c r="G9" s="8">
        <f t="shared" ref="G9" si="3">F9+1</f>
        <v>2019</v>
      </c>
      <c r="H9" s="8">
        <f t="shared" ref="H9" si="4">G9+1</f>
        <v>2020</v>
      </c>
      <c r="I9" s="8">
        <f t="shared" ref="I9" si="5">H9+1</f>
        <v>2021</v>
      </c>
      <c r="J9" s="8">
        <f t="shared" ref="J9" si="6">I9+1</f>
        <v>2022</v>
      </c>
      <c r="K9" s="8">
        <f t="shared" ref="K9" si="7">J9+1</f>
        <v>2023</v>
      </c>
      <c r="L9" s="91"/>
      <c r="M9" s="91"/>
      <c r="N9" s="91"/>
      <c r="O9" s="91"/>
      <c r="P9" s="91"/>
      <c r="Q9" s="91"/>
    </row>
    <row r="10" spans="1:17" ht="5" customHeight="1" x14ac:dyDescent="0.45"/>
    <row r="11" spans="1:17" x14ac:dyDescent="0.45">
      <c r="A11" s="25"/>
      <c r="B11" t="s">
        <v>168</v>
      </c>
      <c r="L11" s="98">
        <f>WACC!F19</f>
        <v>8.4440123293892111E-2</v>
      </c>
    </row>
    <row r="12" spans="1:17" x14ac:dyDescent="0.45">
      <c r="A12" s="25"/>
      <c r="B12" t="s">
        <v>186</v>
      </c>
      <c r="L12" s="99">
        <v>2.5000000000000001E-2</v>
      </c>
    </row>
    <row r="13" spans="1:17" x14ac:dyDescent="0.45">
      <c r="A13" s="25"/>
    </row>
    <row r="14" spans="1:17" x14ac:dyDescent="0.45">
      <c r="A14" s="25"/>
    </row>
    <row r="15" spans="1:17" ht="13.5" customHeight="1" x14ac:dyDescent="0.45">
      <c r="B15" s="27" t="s">
        <v>14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17" ht="8" customHeight="1" x14ac:dyDescent="0.45">
      <c r="B16" s="25"/>
    </row>
    <row r="17" spans="2:17" x14ac:dyDescent="0.45">
      <c r="B17" s="3" t="s">
        <v>1</v>
      </c>
      <c r="C17" s="8">
        <v>2015</v>
      </c>
      <c r="D17" s="8">
        <f t="shared" ref="D17:M17" si="8">C17+1</f>
        <v>2016</v>
      </c>
      <c r="E17" s="8">
        <f t="shared" si="8"/>
        <v>2017</v>
      </c>
      <c r="F17" s="8">
        <f t="shared" si="8"/>
        <v>2018</v>
      </c>
      <c r="G17" s="8">
        <f t="shared" si="8"/>
        <v>2019</v>
      </c>
      <c r="H17" s="8">
        <f t="shared" si="8"/>
        <v>2020</v>
      </c>
      <c r="I17" s="8">
        <f t="shared" si="8"/>
        <v>2021</v>
      </c>
      <c r="J17" s="8">
        <f t="shared" si="8"/>
        <v>2022</v>
      </c>
      <c r="K17" s="8">
        <f t="shared" si="8"/>
        <v>2023</v>
      </c>
      <c r="L17" s="5">
        <f>K17+1</f>
        <v>2024</v>
      </c>
      <c r="M17" s="6">
        <f t="shared" si="8"/>
        <v>2025</v>
      </c>
      <c r="N17" s="6">
        <f t="shared" ref="N17:Q17" si="9">M17+1</f>
        <v>2026</v>
      </c>
      <c r="O17" s="6">
        <f t="shared" si="9"/>
        <v>2027</v>
      </c>
      <c r="P17" s="6">
        <f t="shared" si="9"/>
        <v>2028</v>
      </c>
      <c r="Q17" s="7">
        <f t="shared" si="9"/>
        <v>2029</v>
      </c>
    </row>
    <row r="18" spans="2:17" ht="5" customHeight="1" x14ac:dyDescent="0.45"/>
    <row r="19" spans="2:17" x14ac:dyDescent="0.45">
      <c r="B19" t="s">
        <v>2</v>
      </c>
      <c r="C19" s="4">
        <f>[4]Segments!C6</f>
        <v>63708</v>
      </c>
      <c r="D19" s="4">
        <f>[4]Segments!D6</f>
        <v>79785</v>
      </c>
      <c r="E19" s="4">
        <f>[4]Segments!E6</f>
        <v>106110</v>
      </c>
      <c r="F19" s="4">
        <f>[4]Segments!F6</f>
        <v>141366</v>
      </c>
      <c r="G19" s="4">
        <f>[4]Segments!G6</f>
        <v>170773</v>
      </c>
      <c r="H19" s="4">
        <f>[4]Segments!H6</f>
        <v>236282</v>
      </c>
      <c r="I19" s="4">
        <f>[4]Segments!I6</f>
        <v>279833</v>
      </c>
      <c r="J19" s="4">
        <f>[4]Segments!J6</f>
        <v>315880</v>
      </c>
      <c r="K19" s="4">
        <f>[4]Segments!K6</f>
        <v>352828</v>
      </c>
      <c r="L19" s="4">
        <f>[4]Segments!L6</f>
        <v>386647</v>
      </c>
      <c r="M19" s="4">
        <f>[4]Segments!M6</f>
        <v>423461</v>
      </c>
      <c r="N19" s="4">
        <f>[4]Segments!N6</f>
        <v>461471</v>
      </c>
      <c r="O19" s="4">
        <f>[4]Segments!O6</f>
        <v>497416</v>
      </c>
      <c r="P19" s="4">
        <f>[4]Segments!P6</f>
        <v>546306</v>
      </c>
      <c r="Q19" s="4">
        <f>[4]Segments!Q6</f>
        <v>590847</v>
      </c>
    </row>
    <row r="20" spans="2:17" x14ac:dyDescent="0.45">
      <c r="B20" s="10" t="s">
        <v>6</v>
      </c>
      <c r="C20" s="11" t="str">
        <f>IFERROR(((C19/#REF!)-1),"--")</f>
        <v>--</v>
      </c>
      <c r="D20" s="11">
        <f>IFERROR(((D19/C19)-1),"-")</f>
        <v>0.25235449237144469</v>
      </c>
      <c r="E20" s="11">
        <f t="shared" ref="E20:Q20" si="10">(E19/D19)-1</f>
        <v>0.32994923857868019</v>
      </c>
      <c r="F20" s="11">
        <f t="shared" si="10"/>
        <v>0.33225897653378578</v>
      </c>
      <c r="G20" s="11">
        <f t="shared" si="10"/>
        <v>0.20802031605902416</v>
      </c>
      <c r="H20" s="11">
        <f t="shared" si="10"/>
        <v>0.38360279435273736</v>
      </c>
      <c r="I20" s="11">
        <f t="shared" si="10"/>
        <v>0.1843178913332375</v>
      </c>
      <c r="J20" s="11">
        <f t="shared" si="10"/>
        <v>0.12881611532592663</v>
      </c>
      <c r="K20" s="11">
        <f t="shared" si="10"/>
        <v>0.11696846903887548</v>
      </c>
      <c r="L20" s="11">
        <f t="shared" si="10"/>
        <v>9.5851236296438991E-2</v>
      </c>
      <c r="M20" s="11">
        <f t="shared" si="10"/>
        <v>9.5213463443399204E-2</v>
      </c>
      <c r="N20" s="11">
        <f t="shared" si="10"/>
        <v>8.9760332120313313E-2</v>
      </c>
      <c r="O20" s="11">
        <f t="shared" si="10"/>
        <v>7.7892218579282302E-2</v>
      </c>
      <c r="P20" s="11">
        <f t="shared" si="10"/>
        <v>9.8287952136642209E-2</v>
      </c>
      <c r="Q20" s="11">
        <f t="shared" si="10"/>
        <v>8.1531229750359646E-2</v>
      </c>
    </row>
    <row r="21" spans="2:17" x14ac:dyDescent="0.45">
      <c r="B21" s="10" t="s">
        <v>9</v>
      </c>
      <c r="C21" s="11">
        <f>C19/C34</f>
        <v>0.59536848401024245</v>
      </c>
      <c r="D21" s="11">
        <f t="shared" ref="D21:Q21" si="11">D19/D34</f>
        <v>0.58671049438549272</v>
      </c>
      <c r="E21" s="11">
        <f t="shared" si="11"/>
        <v>0.59657270079722935</v>
      </c>
      <c r="F21" s="11">
        <f t="shared" si="11"/>
        <v>0.6070154194952917</v>
      </c>
      <c r="G21" s="11">
        <f t="shared" si="11"/>
        <v>0.60876865272598946</v>
      </c>
      <c r="H21" s="11">
        <f t="shared" si="11"/>
        <v>0.61202805752414102</v>
      </c>
      <c r="I21" s="11">
        <f t="shared" si="11"/>
        <v>0.59561493501794294</v>
      </c>
      <c r="J21" s="11">
        <f t="shared" si="11"/>
        <v>0.61457285552245888</v>
      </c>
      <c r="K21" s="11">
        <f t="shared" si="11"/>
        <v>0.61384343711126765</v>
      </c>
      <c r="L21" s="11">
        <f t="shared" si="11"/>
        <v>0.60827410225188239</v>
      </c>
      <c r="M21" s="11">
        <f t="shared" si="11"/>
        <v>0.59999943324232152</v>
      </c>
      <c r="N21" s="11">
        <f t="shared" si="11"/>
        <v>0.58799072916706485</v>
      </c>
      <c r="O21" s="11">
        <f t="shared" si="11"/>
        <v>0.57396780852662099</v>
      </c>
      <c r="P21" s="11">
        <f t="shared" si="11"/>
        <v>0.57238020799500444</v>
      </c>
      <c r="Q21" s="11">
        <f t="shared" si="11"/>
        <v>0.55955871489777598</v>
      </c>
    </row>
    <row r="22" spans="2:17" x14ac:dyDescent="0.4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2:17" x14ac:dyDescent="0.4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 x14ac:dyDescent="0.45">
      <c r="B24" t="s">
        <v>3</v>
      </c>
      <c r="C24" s="4">
        <f>[4]Segments!C8</f>
        <v>35418</v>
      </c>
      <c r="D24" s="4">
        <f>[4]Segments!D8</f>
        <v>43983</v>
      </c>
      <c r="E24" s="4">
        <f>[4]Segments!E8</f>
        <v>54297</v>
      </c>
      <c r="F24" s="4">
        <f>[4]Segments!F8</f>
        <v>65866</v>
      </c>
      <c r="G24" s="4">
        <f>[4]Segments!G8</f>
        <v>74723</v>
      </c>
      <c r="H24" s="4">
        <f>[4]Segments!H8</f>
        <v>104412</v>
      </c>
      <c r="I24" s="4">
        <f>[4]Segments!I8</f>
        <v>127787</v>
      </c>
      <c r="J24" s="4">
        <f>[4]Segments!J8</f>
        <v>118007</v>
      </c>
      <c r="K24" s="4">
        <f>[4]Segments!K8</f>
        <v>131200</v>
      </c>
      <c r="L24" s="4">
        <f>[4]Segments!L8</f>
        <v>141444</v>
      </c>
      <c r="M24" s="4">
        <f>[4]Segments!M8</f>
        <v>154680</v>
      </c>
      <c r="N24" s="4">
        <f>[4]Segments!N8</f>
        <v>171709</v>
      </c>
      <c r="O24" s="4">
        <f>[4]Segments!O8</f>
        <v>192631</v>
      </c>
      <c r="P24" s="4">
        <f>[4]Segments!P8</f>
        <v>199416</v>
      </c>
      <c r="Q24" s="4">
        <f>[4]Segments!Q8</f>
        <v>215930</v>
      </c>
    </row>
    <row r="25" spans="2:17" x14ac:dyDescent="0.45">
      <c r="B25" s="10" t="s">
        <v>6</v>
      </c>
      <c r="C25" s="11" t="str">
        <f>IFERROR(((C24/#REF!)-1),"--")</f>
        <v>--</v>
      </c>
      <c r="D25" s="11">
        <f>IFERROR(((D24/C24)-1),"-")</f>
        <v>0.24182619007284423</v>
      </c>
      <c r="E25" s="11">
        <f t="shared" ref="E25" si="12">(E24/D24)-1</f>
        <v>0.23449969306322904</v>
      </c>
      <c r="F25" s="11">
        <f t="shared" ref="F25" si="13">(F24/E24)-1</f>
        <v>0.21306886199974207</v>
      </c>
      <c r="G25" s="11">
        <f t="shared" ref="G25" si="14">(G24/F24)-1</f>
        <v>0.13446998451401337</v>
      </c>
      <c r="H25" s="11">
        <f t="shared" ref="H25" si="15">(H24/G24)-1</f>
        <v>0.39732077138230526</v>
      </c>
      <c r="I25" s="11">
        <f t="shared" ref="I25" si="16">(I24/H24)-1</f>
        <v>0.22387273493468185</v>
      </c>
      <c r="J25" s="11">
        <f t="shared" ref="J25" si="17">(J24/I24)-1</f>
        <v>-7.6533606704907386E-2</v>
      </c>
      <c r="K25" s="11">
        <f t="shared" ref="K25" si="18">(K24/J24)-1</f>
        <v>0.11179845263416577</v>
      </c>
      <c r="L25" s="11">
        <f t="shared" ref="L25" si="19">(L24/K24)-1</f>
        <v>7.8079268292682968E-2</v>
      </c>
      <c r="M25" s="11">
        <f t="shared" ref="M25" si="20">(M24/L24)-1</f>
        <v>9.3577670314753503E-2</v>
      </c>
      <c r="N25" s="11">
        <f t="shared" ref="N25" si="21">(N24/M24)-1</f>
        <v>0.11009180243082484</v>
      </c>
      <c r="O25" s="11">
        <f t="shared" ref="O25" si="22">(O24/N24)-1</f>
        <v>0.12184568077386748</v>
      </c>
      <c r="P25" s="11">
        <f t="shared" ref="P25" si="23">(P24/O24)-1</f>
        <v>3.5222783456452911E-2</v>
      </c>
      <c r="Q25" s="11">
        <f t="shared" ref="Q25" si="24">(Q24/P24)-1</f>
        <v>8.2811810486620896E-2</v>
      </c>
    </row>
    <row r="26" spans="2:17" x14ac:dyDescent="0.45">
      <c r="B26" s="10" t="s">
        <v>9</v>
      </c>
      <c r="C26" s="11">
        <f>C24/C34</f>
        <v>0.33099078556342637</v>
      </c>
      <c r="D26" s="11">
        <f t="shared" ref="D26:Q26" si="25">D24/D34</f>
        <v>0.32343532837697719</v>
      </c>
      <c r="E26" s="11">
        <f t="shared" si="25"/>
        <v>0.30526913519166116</v>
      </c>
      <c r="F26" s="11">
        <f t="shared" si="25"/>
        <v>0.28282385878129734</v>
      </c>
      <c r="G26" s="11">
        <f t="shared" si="25"/>
        <v>0.26637126499882363</v>
      </c>
      <c r="H26" s="11">
        <f t="shared" si="25"/>
        <v>0.27045256744995649</v>
      </c>
      <c r="I26" s="11">
        <f t="shared" si="25"/>
        <v>0.27199024311334929</v>
      </c>
      <c r="J26" s="11">
        <f t="shared" si="25"/>
        <v>0.22959319666214642</v>
      </c>
      <c r="K26" s="11">
        <f t="shared" si="25"/>
        <v>0.22825926215889419</v>
      </c>
      <c r="L26" s="11">
        <f t="shared" si="25"/>
        <v>0.22252008193239634</v>
      </c>
      <c r="M26" s="11">
        <f t="shared" si="25"/>
        <v>0.21916519427744771</v>
      </c>
      <c r="N26" s="11">
        <f t="shared" si="25"/>
        <v>0.21878579610538373</v>
      </c>
      <c r="O26" s="11">
        <f t="shared" si="25"/>
        <v>0.22227671189565984</v>
      </c>
      <c r="P26" s="11">
        <f t="shared" si="25"/>
        <v>0.20893376890887488</v>
      </c>
      <c r="Q26" s="11">
        <f t="shared" si="25"/>
        <v>0.20449543334886489</v>
      </c>
    </row>
    <row r="27" spans="2:17" x14ac:dyDescent="0.4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2:17" x14ac:dyDescent="0.4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x14ac:dyDescent="0.45">
      <c r="B29" t="s">
        <v>4</v>
      </c>
      <c r="C29" s="4">
        <f>[4]Segments!C9</f>
        <v>7880</v>
      </c>
      <c r="D29" s="4">
        <f>[4]Segments!D9</f>
        <v>12219</v>
      </c>
      <c r="E29" s="4">
        <f>[4]Segments!E9</f>
        <v>17459</v>
      </c>
      <c r="F29" s="4">
        <f>[4]Segments!F9</f>
        <v>25655</v>
      </c>
      <c r="G29" s="4">
        <f>[4]Segments!G9</f>
        <v>35026</v>
      </c>
      <c r="H29" s="4">
        <f>[4]Segments!H9</f>
        <v>45370</v>
      </c>
      <c r="I29" s="4">
        <f>[4]Segments!I9</f>
        <v>62202</v>
      </c>
      <c r="J29" s="4">
        <f>[4]Segments!J9</f>
        <v>80096</v>
      </c>
      <c r="K29" s="4">
        <f>[4]Segments!K9</f>
        <v>90757</v>
      </c>
      <c r="L29" s="4">
        <f>[4]Segments!L9</f>
        <v>107555</v>
      </c>
      <c r="M29" s="4">
        <f>[4]Segments!M9</f>
        <v>127628</v>
      </c>
      <c r="N29" s="4">
        <f>[4]Segments!N9</f>
        <v>151647</v>
      </c>
      <c r="O29" s="4">
        <f>[4]Segments!O9</f>
        <v>176580</v>
      </c>
      <c r="P29" s="4">
        <f>[4]Segments!P9</f>
        <v>208724</v>
      </c>
      <c r="Q29" s="4">
        <f>[4]Segments!Q9</f>
        <v>249139</v>
      </c>
    </row>
    <row r="30" spans="2:17" x14ac:dyDescent="0.45">
      <c r="B30" s="10" t="s">
        <v>6</v>
      </c>
      <c r="C30" s="11" t="str">
        <f>IFERROR(((C29/#REF!)-1),"--")</f>
        <v>--</v>
      </c>
      <c r="D30" s="11">
        <f>IFERROR(((D29/C29)-1),"-")</f>
        <v>0.55063451776649752</v>
      </c>
      <c r="E30" s="11">
        <f t="shared" ref="E30" si="26">(E29/D29)-1</f>
        <v>0.42884033063262139</v>
      </c>
      <c r="F30" s="11">
        <f t="shared" ref="F30" si="27">(F29/E29)-1</f>
        <v>0.46944269431238905</v>
      </c>
      <c r="G30" s="11">
        <f t="shared" ref="G30" si="28">(G29/F29)-1</f>
        <v>0.36526992788930035</v>
      </c>
      <c r="H30" s="11">
        <f t="shared" ref="H30" si="29">(H29/G29)-1</f>
        <v>0.29532347399074976</v>
      </c>
      <c r="I30" s="11">
        <f t="shared" ref="I30" si="30">(I29/H29)-1</f>
        <v>0.37099404893101173</v>
      </c>
      <c r="J30" s="11">
        <f t="shared" ref="J30" si="31">(J29/I29)-1</f>
        <v>0.28767563743931057</v>
      </c>
      <c r="K30" s="11">
        <f t="shared" ref="K30" si="32">(K29/J29)-1</f>
        <v>0.13310277666799841</v>
      </c>
      <c r="L30" s="11">
        <f t="shared" ref="L30" si="33">(L29/K29)-1</f>
        <v>0.18508765164119567</v>
      </c>
      <c r="M30" s="11">
        <f t="shared" ref="M30" si="34">(M29/L29)-1</f>
        <v>0.18663009622983595</v>
      </c>
      <c r="N30" s="11">
        <f t="shared" ref="N30" si="35">(N29/M29)-1</f>
        <v>0.1881953803240668</v>
      </c>
      <c r="O30" s="11">
        <f t="shared" ref="O30" si="36">(O29/N29)-1</f>
        <v>0.16441472630516918</v>
      </c>
      <c r="P30" s="11">
        <f t="shared" ref="P30" si="37">(P29/O29)-1</f>
        <v>0.1820364707214861</v>
      </c>
      <c r="Q30" s="11">
        <f t="shared" ref="Q30" si="38">(Q29/P29)-1</f>
        <v>0.19362890707345581</v>
      </c>
    </row>
    <row r="31" spans="2:17" x14ac:dyDescent="0.45">
      <c r="B31" s="10" t="s">
        <v>9</v>
      </c>
      <c r="C31" s="11">
        <f>C29/C34</f>
        <v>7.3640730426331236E-2</v>
      </c>
      <c r="D31" s="11">
        <f t="shared" ref="D31:Q31" si="39">D29/D34</f>
        <v>8.9854177237530058E-2</v>
      </c>
      <c r="E31" s="11">
        <f t="shared" si="39"/>
        <v>9.8158164011109481E-2</v>
      </c>
      <c r="F31" s="11">
        <f t="shared" si="39"/>
        <v>0.11016072172341093</v>
      </c>
      <c r="G31" s="11">
        <f t="shared" si="39"/>
        <v>0.12486008227518697</v>
      </c>
      <c r="H31" s="11">
        <f t="shared" si="39"/>
        <v>0.11751937502590244</v>
      </c>
      <c r="I31" s="11">
        <f t="shared" si="39"/>
        <v>0.13239482186870771</v>
      </c>
      <c r="J31" s="11">
        <f t="shared" si="39"/>
        <v>0.15583394781539467</v>
      </c>
      <c r="K31" s="11">
        <f t="shared" si="39"/>
        <v>0.15789730072983812</v>
      </c>
      <c r="L31" s="11">
        <f t="shared" si="39"/>
        <v>0.16920581581572133</v>
      </c>
      <c r="M31" s="11">
        <f t="shared" si="39"/>
        <v>0.18083537248023079</v>
      </c>
      <c r="N31" s="11">
        <f t="shared" si="39"/>
        <v>0.19322347472755141</v>
      </c>
      <c r="O31" s="11">
        <f t="shared" si="39"/>
        <v>0.20375547957771914</v>
      </c>
      <c r="P31" s="11">
        <f t="shared" si="39"/>
        <v>0.21868602309612067</v>
      </c>
      <c r="Q31" s="11">
        <f t="shared" si="39"/>
        <v>0.23594585175335916</v>
      </c>
    </row>
    <row r="32" spans="2:17" x14ac:dyDescent="0.45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2:19" x14ac:dyDescent="0.4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2:19" x14ac:dyDescent="0.45">
      <c r="B34" s="12" t="s">
        <v>5</v>
      </c>
      <c r="C34" s="15">
        <f t="shared" ref="C34:Q34" si="40">C19+C24+C29</f>
        <v>107006</v>
      </c>
      <c r="D34" s="15">
        <f t="shared" si="40"/>
        <v>135987</v>
      </c>
      <c r="E34" s="15">
        <f t="shared" si="40"/>
        <v>177866</v>
      </c>
      <c r="F34" s="15">
        <f t="shared" si="40"/>
        <v>232887</v>
      </c>
      <c r="G34" s="15">
        <f t="shared" si="40"/>
        <v>280522</v>
      </c>
      <c r="H34" s="15">
        <f t="shared" si="40"/>
        <v>386064</v>
      </c>
      <c r="I34" s="15">
        <f t="shared" si="40"/>
        <v>469822</v>
      </c>
      <c r="J34" s="15">
        <f t="shared" si="40"/>
        <v>513983</v>
      </c>
      <c r="K34" s="15">
        <f t="shared" si="40"/>
        <v>574785</v>
      </c>
      <c r="L34" s="15">
        <f t="shared" si="40"/>
        <v>635646</v>
      </c>
      <c r="M34" s="15">
        <f t="shared" si="40"/>
        <v>705769</v>
      </c>
      <c r="N34" s="15">
        <f t="shared" si="40"/>
        <v>784827</v>
      </c>
      <c r="O34" s="15">
        <f t="shared" si="40"/>
        <v>866627</v>
      </c>
      <c r="P34" s="15">
        <f t="shared" si="40"/>
        <v>954446</v>
      </c>
      <c r="Q34" s="18">
        <f t="shared" si="40"/>
        <v>1055916</v>
      </c>
    </row>
    <row r="35" spans="2:19" x14ac:dyDescent="0.45">
      <c r="B35" s="13" t="s">
        <v>6</v>
      </c>
      <c r="C35" s="14" t="str">
        <f>IFERROR(((C34/#REF!)-1),"--")</f>
        <v>--</v>
      </c>
      <c r="D35" s="14">
        <f>IFERROR(((D34/C34)-1),"-")</f>
        <v>0.27083528026465808</v>
      </c>
      <c r="E35" s="14">
        <f t="shared" ref="E35" si="41">(E34/D34)-1</f>
        <v>0.30796326119408479</v>
      </c>
      <c r="F35" s="14">
        <f t="shared" ref="F35" si="42">(F34/E34)-1</f>
        <v>0.3093396152159491</v>
      </c>
      <c r="G35" s="14">
        <f t="shared" ref="G35" si="43">(G34/F34)-1</f>
        <v>0.20454125820676983</v>
      </c>
      <c r="H35" s="14">
        <f t="shared" ref="H35" si="44">(H34/G34)-1</f>
        <v>0.37623430604373276</v>
      </c>
      <c r="I35" s="14">
        <f t="shared" ref="I35" si="45">(I34/H34)-1</f>
        <v>0.21695366571345676</v>
      </c>
      <c r="J35" s="14">
        <f t="shared" ref="J35" si="46">(J34/I34)-1</f>
        <v>9.399517263985091E-2</v>
      </c>
      <c r="K35" s="14">
        <f t="shared" ref="K35" si="47">(K34/J34)-1</f>
        <v>0.1182957412988368</v>
      </c>
      <c r="L35" s="14">
        <f t="shared" ref="L35" si="48">(L34/K34)-1</f>
        <v>0.10588480910253395</v>
      </c>
      <c r="M35" s="14">
        <f t="shared" ref="M35" si="49">(M34/L34)-1</f>
        <v>0.11031769255214385</v>
      </c>
      <c r="N35" s="14">
        <f t="shared" ref="N35" si="50">(N34/M34)-1</f>
        <v>0.11201682136789803</v>
      </c>
      <c r="O35" s="14">
        <f t="shared" ref="O35" si="51">(O34/N34)-1</f>
        <v>0.10422679138204982</v>
      </c>
      <c r="P35" s="14">
        <f t="shared" ref="P35" si="52">(P34/O34)-1</f>
        <v>0.10133425337544288</v>
      </c>
      <c r="Q35" s="19">
        <f t="shared" ref="Q35" si="53">(Q34/P34)-1</f>
        <v>0.10631298156207891</v>
      </c>
    </row>
    <row r="37" spans="2:19" s="24" customFormat="1" x14ac:dyDescent="0.45">
      <c r="S37" s="87" t="s">
        <v>179</v>
      </c>
    </row>
    <row r="38" spans="2:19" x14ac:dyDescent="0.45">
      <c r="B38" s="25"/>
    </row>
    <row r="39" spans="2:19" s="29" customFormat="1" ht="8" customHeight="1" x14ac:dyDescent="0.45">
      <c r="B39" s="30"/>
    </row>
    <row r="40" spans="2:19" x14ac:dyDescent="0.45">
      <c r="B40" s="3" t="s">
        <v>7</v>
      </c>
      <c r="C40" s="8">
        <v>2015</v>
      </c>
      <c r="D40" s="8">
        <v>2016</v>
      </c>
      <c r="E40" s="8">
        <v>2017</v>
      </c>
      <c r="F40" s="8">
        <v>2018</v>
      </c>
      <c r="G40" s="8">
        <v>2019</v>
      </c>
      <c r="H40" s="8">
        <v>2020</v>
      </c>
      <c r="I40" s="8">
        <v>2021</v>
      </c>
      <c r="J40" s="8">
        <v>2022</v>
      </c>
      <c r="K40" s="8">
        <v>2023</v>
      </c>
      <c r="L40" s="5">
        <v>2024</v>
      </c>
      <c r="M40" s="6">
        <v>2025</v>
      </c>
      <c r="N40" s="6">
        <v>2026</v>
      </c>
      <c r="O40" s="6">
        <v>2027</v>
      </c>
      <c r="P40" s="6">
        <v>2028</v>
      </c>
      <c r="Q40" s="7">
        <v>2029</v>
      </c>
      <c r="S40" s="23"/>
    </row>
    <row r="41" spans="2:19" ht="5" customHeight="1" x14ac:dyDescent="0.45"/>
    <row r="42" spans="2:19" x14ac:dyDescent="0.45">
      <c r="B42" t="s">
        <v>2</v>
      </c>
      <c r="C42" s="20">
        <f>[4]Segments!C12</f>
        <v>2751</v>
      </c>
      <c r="D42" s="20">
        <f>[4]Segments!D12</f>
        <v>4099</v>
      </c>
      <c r="E42" s="20">
        <f>[4]Segments!E12</f>
        <v>2837</v>
      </c>
      <c r="F42" s="20">
        <f>[4]Segments!F12</f>
        <v>7267</v>
      </c>
      <c r="G42" s="20">
        <f>[4]Segments!G12</f>
        <v>7033</v>
      </c>
      <c r="H42" s="20">
        <f>[4]Segments!H12</f>
        <v>8651</v>
      </c>
      <c r="I42" s="20">
        <f>[4]Segments!I12</f>
        <v>7271</v>
      </c>
      <c r="J42" s="20">
        <f>[4]Segments!J12</f>
        <v>-2847</v>
      </c>
      <c r="K42" s="20">
        <f>[4]Segments!K12</f>
        <v>14877</v>
      </c>
      <c r="L42" s="20">
        <f>[4]Segments!L12</f>
        <v>23233.5</v>
      </c>
      <c r="M42" s="20">
        <f>[4]Segments!M12</f>
        <v>31059.3</v>
      </c>
      <c r="N42" s="20">
        <f>[4]Segments!N12</f>
        <v>34190</v>
      </c>
      <c r="O42" s="22">
        <f>O19*O43</f>
        <v>34819.120000000003</v>
      </c>
      <c r="P42" s="22">
        <f>P19*P43</f>
        <v>38241.420000000006</v>
      </c>
      <c r="Q42" s="22">
        <f>Q19*Q43</f>
        <v>41359.29</v>
      </c>
    </row>
    <row r="43" spans="2:19" x14ac:dyDescent="0.45">
      <c r="B43" s="10" t="s">
        <v>8</v>
      </c>
      <c r="C43" s="16">
        <f t="shared" ref="C43:N43" si="54">C42/C19</f>
        <v>4.3181390092296101E-2</v>
      </c>
      <c r="D43" s="16">
        <f t="shared" si="54"/>
        <v>5.1375571849345117E-2</v>
      </c>
      <c r="E43" s="16">
        <f t="shared" si="54"/>
        <v>2.6736405616812741E-2</v>
      </c>
      <c r="F43" s="16">
        <f t="shared" si="54"/>
        <v>5.1405571353790869E-2</v>
      </c>
      <c r="G43" s="16">
        <f t="shared" si="54"/>
        <v>4.1183325232911523E-2</v>
      </c>
      <c r="H43" s="16">
        <f t="shared" si="54"/>
        <v>3.6613030192735797E-2</v>
      </c>
      <c r="I43" s="16">
        <f t="shared" si="54"/>
        <v>2.5983354357777676E-2</v>
      </c>
      <c r="J43" s="16">
        <f t="shared" si="54"/>
        <v>-9.0129162973280989E-3</v>
      </c>
      <c r="K43" s="16">
        <f t="shared" si="54"/>
        <v>4.2165020916707291E-2</v>
      </c>
      <c r="L43" s="16">
        <f t="shared" si="54"/>
        <v>6.0089694217205877E-2</v>
      </c>
      <c r="M43" s="16">
        <f t="shared" si="54"/>
        <v>7.3346305799117273E-2</v>
      </c>
      <c r="N43" s="16">
        <f t="shared" si="54"/>
        <v>7.4089162699281216E-2</v>
      </c>
      <c r="O43" s="21">
        <v>7.0000000000000007E-2</v>
      </c>
      <c r="P43" s="21">
        <v>7.0000000000000007E-2</v>
      </c>
      <c r="Q43" s="21">
        <v>7.0000000000000007E-2</v>
      </c>
    </row>
    <row r="44" spans="2:19" x14ac:dyDescent="0.45">
      <c r="B44" s="10" t="s">
        <v>10</v>
      </c>
      <c r="C44" s="16">
        <f>C42/C54</f>
        <v>1.0342105263157895</v>
      </c>
      <c r="D44" s="16">
        <f t="shared" ref="D44:Q44" si="55">D42/D54</f>
        <v>0.55936135371179041</v>
      </c>
      <c r="E44" s="16">
        <f t="shared" si="55"/>
        <v>0.69094008767657089</v>
      </c>
      <c r="F44" s="16">
        <f t="shared" si="55"/>
        <v>0.58505756380323648</v>
      </c>
      <c r="G44" s="16">
        <f t="shared" si="55"/>
        <v>0.48366687297985006</v>
      </c>
      <c r="H44" s="16">
        <f t="shared" si="55"/>
        <v>0.3777894231189135</v>
      </c>
      <c r="I44" s="16">
        <f t="shared" si="55"/>
        <v>0.29225451183729251</v>
      </c>
      <c r="J44" s="16">
        <f t="shared" si="55"/>
        <v>-0.23244611365120835</v>
      </c>
      <c r="K44" s="16">
        <f t="shared" si="55"/>
        <v>0.40369586453923806</v>
      </c>
      <c r="L44" s="16">
        <f t="shared" si="55"/>
        <v>0.37310802266960247</v>
      </c>
      <c r="M44" s="16">
        <f t="shared" si="55"/>
        <v>0.39934601437652334</v>
      </c>
      <c r="N44" s="16">
        <f t="shared" si="55"/>
        <v>0.3495084494357672</v>
      </c>
      <c r="O44" s="16">
        <f t="shared" si="55"/>
        <v>0.29978056293943106</v>
      </c>
      <c r="P44" s="16">
        <f t="shared" si="55"/>
        <v>0.28410249400314458</v>
      </c>
      <c r="Q44" s="16">
        <f t="shared" si="55"/>
        <v>0.2653140148989051</v>
      </c>
    </row>
    <row r="45" spans="2:19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2:19" x14ac:dyDescent="0.45">
      <c r="B46" t="s">
        <v>3</v>
      </c>
      <c r="C46" s="20">
        <f>[4]Segments!C14</f>
        <v>-91</v>
      </c>
      <c r="D46" s="20">
        <f>[4]Segments!D14</f>
        <v>-477</v>
      </c>
      <c r="E46" s="20">
        <f>[4]Segments!E14</f>
        <v>-3062</v>
      </c>
      <c r="F46" s="20">
        <f>[4]Segments!F14</f>
        <v>-2142</v>
      </c>
      <c r="G46" s="20">
        <f>[4]Segments!G14</f>
        <v>-1693</v>
      </c>
      <c r="H46" s="20">
        <f>[4]Segments!H14</f>
        <v>717</v>
      </c>
      <c r="I46" s="20">
        <f>[4]Segments!I14</f>
        <v>-924</v>
      </c>
      <c r="J46" s="20">
        <f>[4]Segments!J14</f>
        <v>-7746</v>
      </c>
      <c r="K46" s="20">
        <f>[4]Segments!K14</f>
        <v>-2656</v>
      </c>
      <c r="L46" s="20">
        <f>[4]Segments!L14</f>
        <v>1765.17</v>
      </c>
      <c r="M46" s="20">
        <f>[4]Segments!M14</f>
        <v>3899.91</v>
      </c>
      <c r="N46" s="20">
        <f>[4]Segments!N14</f>
        <v>9726</v>
      </c>
      <c r="O46" s="22">
        <f>O24*O47</f>
        <v>10911.071091206635</v>
      </c>
      <c r="P46" s="22">
        <f>P24*P47</f>
        <v>11295.38938553017</v>
      </c>
      <c r="Q46" s="22">
        <f>Q24*Q47</f>
        <v>12230.781030697284</v>
      </c>
    </row>
    <row r="47" spans="2:19" x14ac:dyDescent="0.45">
      <c r="B47" s="10" t="s">
        <v>8</v>
      </c>
      <c r="C47" s="16">
        <f t="shared" ref="C47:N47" si="56">C46/C24</f>
        <v>-2.5693150375515274E-3</v>
      </c>
      <c r="D47" s="16">
        <f t="shared" si="56"/>
        <v>-1.0845099242889298E-2</v>
      </c>
      <c r="E47" s="16">
        <f t="shared" si="56"/>
        <v>-5.6393539237895279E-2</v>
      </c>
      <c r="F47" s="16">
        <f t="shared" si="56"/>
        <v>-3.2520572070567515E-2</v>
      </c>
      <c r="G47" s="16">
        <f t="shared" si="56"/>
        <v>-2.2657013235549965E-2</v>
      </c>
      <c r="H47" s="16">
        <f t="shared" si="56"/>
        <v>6.8670267785312031E-3</v>
      </c>
      <c r="I47" s="16">
        <f t="shared" si="56"/>
        <v>-7.2307824739605746E-3</v>
      </c>
      <c r="J47" s="16">
        <f t="shared" si="56"/>
        <v>-6.5640173887989692E-2</v>
      </c>
      <c r="K47" s="16">
        <f t="shared" si="56"/>
        <v>-2.0243902439024391E-2</v>
      </c>
      <c r="L47" s="16">
        <f t="shared" si="56"/>
        <v>1.247963858488165E-2</v>
      </c>
      <c r="M47" s="16">
        <f t="shared" si="56"/>
        <v>2.5212761830876649E-2</v>
      </c>
      <c r="N47" s="16">
        <f t="shared" si="56"/>
        <v>5.6642342567949262E-2</v>
      </c>
      <c r="O47" s="21">
        <v>5.6642342567949262E-2</v>
      </c>
      <c r="P47" s="21">
        <v>5.6642342567949262E-2</v>
      </c>
      <c r="Q47" s="21">
        <v>5.6642342567949262E-2</v>
      </c>
    </row>
    <row r="48" spans="2:19" x14ac:dyDescent="0.45">
      <c r="B48" s="10" t="s">
        <v>10</v>
      </c>
      <c r="C48" s="16">
        <f>C46/C54</f>
        <v>-3.4210526315789476E-2</v>
      </c>
      <c r="D48" s="16">
        <f t="shared" ref="D48:Q48" si="57">D46/D54</f>
        <v>-6.5092794759825323E-2</v>
      </c>
      <c r="E48" s="16">
        <f t="shared" si="57"/>
        <v>-0.7457379444715051</v>
      </c>
      <c r="F48" s="16">
        <f t="shared" si="57"/>
        <v>-0.17244988326221722</v>
      </c>
      <c r="G48" s="16">
        <f t="shared" si="57"/>
        <v>-0.11642940650574238</v>
      </c>
      <c r="H48" s="16">
        <f t="shared" si="57"/>
        <v>3.1311410978645357E-2</v>
      </c>
      <c r="I48" s="16">
        <f t="shared" si="57"/>
        <v>-3.7139756421078016E-2</v>
      </c>
      <c r="J48" s="16">
        <f t="shared" si="57"/>
        <v>-0.63242978445460485</v>
      </c>
      <c r="K48" s="16">
        <f t="shared" si="57"/>
        <v>-7.2072072072072071E-2</v>
      </c>
      <c r="L48" s="16">
        <f t="shared" si="57"/>
        <v>2.8346959707995018E-2</v>
      </c>
      <c r="M48" s="16">
        <f t="shared" si="57"/>
        <v>5.0143226503081111E-2</v>
      </c>
      <c r="N48" s="16">
        <f t="shared" si="57"/>
        <v>9.9424369090736237E-2</v>
      </c>
      <c r="O48" s="16">
        <f t="shared" si="57"/>
        <v>9.3940542839511088E-2</v>
      </c>
      <c r="P48" s="16">
        <f t="shared" si="57"/>
        <v>8.391551085618075E-2</v>
      </c>
      <c r="Q48" s="16">
        <f t="shared" si="57"/>
        <v>7.845873612926299E-2</v>
      </c>
    </row>
    <row r="49" spans="2:17" x14ac:dyDescent="0.45">
      <c r="B49" s="10" t="s">
        <v>11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2:17" x14ac:dyDescent="0.45">
      <c r="B50" t="s">
        <v>4</v>
      </c>
      <c r="C50" s="20">
        <f>[4]Segments!C15</f>
        <v>1863</v>
      </c>
      <c r="D50" s="20">
        <f>[4]Segments!D15</f>
        <v>3706</v>
      </c>
      <c r="E50" s="20">
        <f>[4]Segments!E15</f>
        <v>4331</v>
      </c>
      <c r="F50" s="20">
        <f>[4]Segments!F15</f>
        <v>7296</v>
      </c>
      <c r="G50" s="20">
        <f>[4]Segments!G15</f>
        <v>9201</v>
      </c>
      <c r="H50" s="20">
        <f>[4]Segments!H15</f>
        <v>13531</v>
      </c>
      <c r="I50" s="20">
        <f>[4]Segments!I15</f>
        <v>18532</v>
      </c>
      <c r="J50" s="20">
        <f>[4]Segments!J15</f>
        <v>22841</v>
      </c>
      <c r="K50" s="20">
        <f>[4]Segments!K15</f>
        <v>24631</v>
      </c>
      <c r="L50" s="20">
        <f>[4]Segments!L15</f>
        <v>37271.5</v>
      </c>
      <c r="M50" s="20">
        <f>[4]Segments!M15</f>
        <v>42816.2</v>
      </c>
      <c r="N50" s="20">
        <f>[4]Segments!N15</f>
        <v>53907.1</v>
      </c>
      <c r="O50" s="20">
        <f>[4]Segments!O15</f>
        <v>70418.5</v>
      </c>
      <c r="P50" s="20">
        <f>[4]Segments!P15</f>
        <v>85067.5</v>
      </c>
      <c r="Q50" s="20">
        <f>[4]Segments!Q15</f>
        <v>102298</v>
      </c>
    </row>
    <row r="51" spans="2:17" x14ac:dyDescent="0.45">
      <c r="B51" s="10" t="s">
        <v>8</v>
      </c>
      <c r="C51" s="16">
        <f t="shared" ref="C51:Q51" si="58">C50/C29</f>
        <v>0.23642131979695433</v>
      </c>
      <c r="D51" s="16">
        <f t="shared" si="58"/>
        <v>0.30329814223749896</v>
      </c>
      <c r="E51" s="16">
        <f t="shared" si="58"/>
        <v>0.24806689959333295</v>
      </c>
      <c r="F51" s="16">
        <f t="shared" si="58"/>
        <v>0.28438900799064509</v>
      </c>
      <c r="G51" s="16">
        <f t="shared" si="58"/>
        <v>0.26269057271740992</v>
      </c>
      <c r="H51" s="16">
        <f t="shared" si="58"/>
        <v>0.29823672029975756</v>
      </c>
      <c r="I51" s="16">
        <f t="shared" si="58"/>
        <v>0.29793254236198191</v>
      </c>
      <c r="J51" s="16">
        <f t="shared" si="58"/>
        <v>0.28517029564522572</v>
      </c>
      <c r="K51" s="16">
        <f t="shared" si="58"/>
        <v>0.27139504390845887</v>
      </c>
      <c r="L51" s="16">
        <f t="shared" si="58"/>
        <v>0.34653433127237226</v>
      </c>
      <c r="M51" s="16">
        <f t="shared" si="58"/>
        <v>0.33547654119785625</v>
      </c>
      <c r="N51" s="16">
        <f t="shared" si="58"/>
        <v>0.3554775234590859</v>
      </c>
      <c r="O51" s="21">
        <f t="shared" si="58"/>
        <v>0.39879091629856156</v>
      </c>
      <c r="P51" s="21">
        <f t="shared" si="58"/>
        <v>0.40755974396811101</v>
      </c>
      <c r="Q51" s="21">
        <f t="shared" si="58"/>
        <v>0.41060612750312075</v>
      </c>
    </row>
    <row r="52" spans="2:17" x14ac:dyDescent="0.45">
      <c r="B52" s="10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2:17" x14ac:dyDescent="0.4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2:17" x14ac:dyDescent="0.45">
      <c r="B54" s="12" t="s">
        <v>5</v>
      </c>
      <c r="C54" s="15">
        <f>IFERROR(SUM(C46+C42),"--")</f>
        <v>2660</v>
      </c>
      <c r="D54" s="15">
        <f t="shared" ref="D54:M54" si="59">IFERROR(SUM(D50+D46+D42),"--")</f>
        <v>7328</v>
      </c>
      <c r="E54" s="15">
        <f t="shared" si="59"/>
        <v>4106</v>
      </c>
      <c r="F54" s="15">
        <f t="shared" si="59"/>
        <v>12421</v>
      </c>
      <c r="G54" s="15">
        <f t="shared" si="59"/>
        <v>14541</v>
      </c>
      <c r="H54" s="15">
        <f t="shared" si="59"/>
        <v>22899</v>
      </c>
      <c r="I54" s="15">
        <f t="shared" si="59"/>
        <v>24879</v>
      </c>
      <c r="J54" s="15">
        <f t="shared" si="59"/>
        <v>12248</v>
      </c>
      <c r="K54" s="15">
        <f t="shared" si="59"/>
        <v>36852</v>
      </c>
      <c r="L54" s="15">
        <f t="shared" si="59"/>
        <v>62270.17</v>
      </c>
      <c r="M54" s="15">
        <f t="shared" si="59"/>
        <v>77775.41</v>
      </c>
      <c r="N54" s="15">
        <f t="shared" ref="N54:Q54" si="60">IFERROR(SUM(N50+N46+N42),"--")</f>
        <v>97823.1</v>
      </c>
      <c r="O54" s="15">
        <f t="shared" si="60"/>
        <v>116148.69109120662</v>
      </c>
      <c r="P54" s="15">
        <f t="shared" si="60"/>
        <v>134604.30938553018</v>
      </c>
      <c r="Q54" s="15">
        <f t="shared" si="60"/>
        <v>155888.07103069729</v>
      </c>
    </row>
    <row r="55" spans="2:17" x14ac:dyDescent="0.45">
      <c r="B55" s="13" t="s">
        <v>8</v>
      </c>
      <c r="C55" s="14">
        <f t="shared" ref="C55:Q55" si="61">C54/C34</f>
        <v>2.4858419154066128E-2</v>
      </c>
      <c r="D55" s="14">
        <f t="shared" si="61"/>
        <v>5.3887503952583703E-2</v>
      </c>
      <c r="E55" s="14">
        <f t="shared" si="61"/>
        <v>2.3084794170892695E-2</v>
      </c>
      <c r="F55" s="14">
        <f t="shared" si="61"/>
        <v>5.3334879147397665E-2</v>
      </c>
      <c r="G55" s="14">
        <f t="shared" si="61"/>
        <v>5.1835506662579051E-2</v>
      </c>
      <c r="H55" s="14">
        <f t="shared" si="61"/>
        <v>5.9313999751336569E-2</v>
      </c>
      <c r="I55" s="14">
        <f t="shared" si="61"/>
        <v>5.2954097509269465E-2</v>
      </c>
      <c r="J55" s="14">
        <f t="shared" si="61"/>
        <v>2.3829581912242232E-2</v>
      </c>
      <c r="K55" s="14">
        <f t="shared" si="61"/>
        <v>6.4114407996033296E-2</v>
      </c>
      <c r="L55" s="14">
        <f t="shared" si="61"/>
        <v>9.7963599236052773E-2</v>
      </c>
      <c r="M55" s="14">
        <f t="shared" si="61"/>
        <v>0.1101995270407173</v>
      </c>
      <c r="N55" s="14">
        <f t="shared" si="61"/>
        <v>0.12464288308123957</v>
      </c>
      <c r="O55" s="14">
        <f t="shared" si="61"/>
        <v>0.13402385465858624</v>
      </c>
      <c r="P55" s="14">
        <f t="shared" si="61"/>
        <v>0.14102873225465892</v>
      </c>
      <c r="Q55" s="14">
        <f t="shared" si="61"/>
        <v>0.14763302292104419</v>
      </c>
    </row>
    <row r="58" spans="2:17" x14ac:dyDescent="0.45">
      <c r="B58" s="3" t="s">
        <v>12</v>
      </c>
      <c r="C58" s="8">
        <v>2015</v>
      </c>
      <c r="D58" s="8">
        <v>2016</v>
      </c>
      <c r="E58" s="8">
        <v>2017</v>
      </c>
      <c r="F58" s="8">
        <v>2018</v>
      </c>
      <c r="G58" s="8">
        <v>2019</v>
      </c>
      <c r="H58" s="8">
        <v>2020</v>
      </c>
      <c r="I58" s="8">
        <v>2021</v>
      </c>
      <c r="J58" s="8">
        <v>2022</v>
      </c>
      <c r="K58" s="8">
        <v>2023</v>
      </c>
      <c r="L58" s="5">
        <v>2024</v>
      </c>
      <c r="M58" s="6">
        <v>2025</v>
      </c>
      <c r="N58" s="6">
        <v>2026</v>
      </c>
      <c r="O58" s="6">
        <v>2027</v>
      </c>
      <c r="P58" s="6">
        <v>2028</v>
      </c>
      <c r="Q58" s="7">
        <v>2029</v>
      </c>
    </row>
    <row r="59" spans="2:17" ht="5" customHeight="1" x14ac:dyDescent="0.45"/>
    <row r="60" spans="2:17" x14ac:dyDescent="0.45">
      <c r="B60" t="s">
        <v>12</v>
      </c>
      <c r="C60" s="4">
        <f>IS!C31</f>
        <v>950</v>
      </c>
      <c r="D60" s="4">
        <f>IS!D31</f>
        <v>1425</v>
      </c>
      <c r="E60" s="4">
        <f>IS!E31</f>
        <v>769</v>
      </c>
      <c r="F60" s="4">
        <f>IS!F31</f>
        <v>1197</v>
      </c>
      <c r="G60" s="4">
        <f>IS!G31</f>
        <v>2374</v>
      </c>
      <c r="H60" s="4">
        <f>IS!H31</f>
        <v>2863</v>
      </c>
      <c r="I60" s="4">
        <f>IS!I31</f>
        <v>4791</v>
      </c>
      <c r="J60" s="4">
        <f>IS!J31</f>
        <v>-3217</v>
      </c>
      <c r="K60" s="4">
        <f>IS!K31</f>
        <v>7120</v>
      </c>
      <c r="L60" s="4">
        <f>IS!L31</f>
        <v>9602</v>
      </c>
      <c r="M60" s="4"/>
      <c r="N60" s="4"/>
      <c r="O60" s="4"/>
      <c r="P60" s="4"/>
      <c r="Q60" s="4"/>
    </row>
    <row r="61" spans="2:17" x14ac:dyDescent="0.45">
      <c r="B61" s="10" t="s">
        <v>13</v>
      </c>
      <c r="C61" s="11">
        <f>IF(C60&lt;0,"--",IS!C31/IS!C30)</f>
        <v>0.60586734693877553</v>
      </c>
      <c r="D61" s="11">
        <f>IF(D60&lt;0,"--",IS!D31/IS!D30)</f>
        <v>0.36613566289825283</v>
      </c>
      <c r="E61" s="11">
        <f>IF(E60&lt;0,"--",IS!E31/IS!E30)</f>
        <v>0.20204939569101418</v>
      </c>
      <c r="F61" s="11">
        <f>IF(F60&lt;0,"--",IS!F31/IS!F30)</f>
        <v>0.10629606606873279</v>
      </c>
      <c r="G61" s="11">
        <f>IF(G60&lt;0,"--",IS!G31/IS!G30)</f>
        <v>0.16986262163709215</v>
      </c>
      <c r="H61" s="11">
        <f>IF(H60&lt;0,"--",IS!H31/IS!H30)</f>
        <v>0.1184134337000579</v>
      </c>
      <c r="I61" s="11">
        <f>IF(I60&lt;0,"--",IS!I31/IS!I30)</f>
        <v>0.12557993237398757</v>
      </c>
      <c r="J61" s="11" t="str">
        <f>IF(J60&lt;0,"--",IS!J31/IS!J30)</f>
        <v>--</v>
      </c>
      <c r="K61" s="11">
        <f>IF(K60&lt;0,"--",IS!K31/IS!K30)</f>
        <v>0.18957850733551668</v>
      </c>
      <c r="L61" s="11">
        <f>IF(L60&lt;0,"--",IS!L31/IS!L30)</f>
        <v>0.17747629521468311</v>
      </c>
      <c r="M61" s="75">
        <f>AVERAGE(H61:L61)</f>
        <v>0.15276204215606132</v>
      </c>
      <c r="N61" s="75">
        <f t="shared" ref="N61:Q61" si="62">AVERAGE(I61:M61)</f>
        <v>0.16134919427006217</v>
      </c>
      <c r="O61" s="75">
        <f t="shared" si="62"/>
        <v>0.1702915097440808</v>
      </c>
      <c r="P61" s="75">
        <f t="shared" si="62"/>
        <v>0.1702915097440808</v>
      </c>
      <c r="Q61" s="75">
        <f t="shared" si="62"/>
        <v>0.16643411022579363</v>
      </c>
    </row>
    <row r="62" spans="2:17" x14ac:dyDescent="0.4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2:17" x14ac:dyDescent="0.4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2:17" x14ac:dyDescent="0.45">
      <c r="B64" s="3" t="s">
        <v>15</v>
      </c>
      <c r="C64" s="8">
        <v>2015</v>
      </c>
      <c r="D64" s="8">
        <v>2016</v>
      </c>
      <c r="E64" s="8">
        <v>2017</v>
      </c>
      <c r="F64" s="8">
        <v>2018</v>
      </c>
      <c r="G64" s="8">
        <v>2019</v>
      </c>
      <c r="H64" s="8">
        <v>2020</v>
      </c>
      <c r="I64" s="8">
        <v>2021</v>
      </c>
      <c r="J64" s="8">
        <v>2022</v>
      </c>
      <c r="K64" s="8">
        <v>2023</v>
      </c>
      <c r="L64" s="5">
        <v>2024</v>
      </c>
      <c r="M64" s="6">
        <v>2025</v>
      </c>
      <c r="N64" s="6">
        <v>2026</v>
      </c>
      <c r="O64" s="6">
        <v>2027</v>
      </c>
      <c r="P64" s="6">
        <v>2028</v>
      </c>
      <c r="Q64" s="7">
        <v>2029</v>
      </c>
    </row>
    <row r="65" spans="2:17" x14ac:dyDescent="0.4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2:17" x14ac:dyDescent="0.45">
      <c r="B66" t="s">
        <v>17</v>
      </c>
      <c r="C66" s="4">
        <f>[1]CFS!C12</f>
        <v>5646</v>
      </c>
      <c r="D66" s="4">
        <f>[1]CFS!D12</f>
        <v>7482</v>
      </c>
      <c r="E66" s="4">
        <f>[1]CFS!E12</f>
        <v>10933</v>
      </c>
      <c r="F66" s="4">
        <f>[1]CFS!F12</f>
        <v>15341</v>
      </c>
      <c r="G66" s="4">
        <f>[1]CFS!G12</f>
        <v>21789</v>
      </c>
      <c r="H66" s="4">
        <f>[1]CFS!H12</f>
        <v>25251</v>
      </c>
      <c r="I66" s="4">
        <f>[1]CFS!I12</f>
        <v>34296</v>
      </c>
      <c r="J66" s="4">
        <f>[1]CFS!J12</f>
        <v>41921</v>
      </c>
      <c r="K66" s="4">
        <f>[1]CFS!K12</f>
        <v>48663</v>
      </c>
      <c r="L66" s="4">
        <f>[1]CFS!L12</f>
        <v>49673</v>
      </c>
      <c r="M66" s="74">
        <f>M34*M67</f>
        <v>54029.981256774641</v>
      </c>
      <c r="N66" s="74">
        <f t="shared" ref="N66:P66" si="63">N34*N67</f>
        <v>61832.178815252708</v>
      </c>
      <c r="O66" s="74">
        <f t="shared" si="63"/>
        <v>69279.715031460539</v>
      </c>
      <c r="P66" s="74">
        <f t="shared" si="63"/>
        <v>75991.021748701343</v>
      </c>
      <c r="Q66" s="74">
        <f t="shared" ref="Q66" si="64">Q34*Q67</f>
        <v>83004.429599953422</v>
      </c>
    </row>
    <row r="67" spans="2:17" x14ac:dyDescent="0.45">
      <c r="B67" s="10" t="s">
        <v>8</v>
      </c>
      <c r="C67" s="11">
        <f>C66/C34</f>
        <v>5.2763396445059153E-2</v>
      </c>
      <c r="D67" s="11">
        <f t="shared" ref="D67:L67" si="65">D66/D34</f>
        <v>5.5019965143726972E-2</v>
      </c>
      <c r="E67" s="11">
        <f t="shared" si="65"/>
        <v>6.1467621692734981E-2</v>
      </c>
      <c r="F67" s="11">
        <f t="shared" si="65"/>
        <v>6.5873148780309768E-2</v>
      </c>
      <c r="G67" s="11">
        <f t="shared" si="65"/>
        <v>7.7673052380918428E-2</v>
      </c>
      <c r="H67" s="11">
        <f t="shared" si="65"/>
        <v>6.5406253885366153E-2</v>
      </c>
      <c r="I67" s="11">
        <f t="shared" si="65"/>
        <v>7.2997858763531723E-2</v>
      </c>
      <c r="J67" s="11">
        <f t="shared" si="65"/>
        <v>8.1561063303650122E-2</v>
      </c>
      <c r="K67" s="11">
        <f t="shared" si="65"/>
        <v>8.4662960933218512E-2</v>
      </c>
      <c r="L67" s="11">
        <f t="shared" si="65"/>
        <v>7.8145697447950593E-2</v>
      </c>
      <c r="M67" s="75">
        <f>AVERAGE(H67:L67)</f>
        <v>7.6554766866743423E-2</v>
      </c>
      <c r="N67" s="75">
        <f t="shared" ref="N67:P67" si="66">AVERAGE(I67:M67)</f>
        <v>7.8784469463018869E-2</v>
      </c>
      <c r="O67" s="75">
        <f t="shared" si="66"/>
        <v>7.9941791602916298E-2</v>
      </c>
      <c r="P67" s="75">
        <f t="shared" si="66"/>
        <v>7.9617937262769542E-2</v>
      </c>
      <c r="Q67" s="75">
        <f t="shared" ref="Q67" si="67">AVERAGE(L67:P67)</f>
        <v>7.8608932528679759E-2</v>
      </c>
    </row>
    <row r="68" spans="2:17" x14ac:dyDescent="0.45">
      <c r="B68" s="10" t="s">
        <v>18</v>
      </c>
      <c r="C68" s="16">
        <f>ABS(C66/C70)</f>
        <v>1.2303334059707998</v>
      </c>
      <c r="D68" s="16">
        <f t="shared" ref="D68:L68" si="68">ABS(D66/D70)</f>
        <v>1.1105833457028351</v>
      </c>
      <c r="E68" s="16">
        <f t="shared" si="68"/>
        <v>0.91451275616896699</v>
      </c>
      <c r="F68" s="16">
        <f t="shared" si="68"/>
        <v>1.142548596112311</v>
      </c>
      <c r="G68" s="16">
        <f t="shared" si="68"/>
        <v>1.2922721072297016</v>
      </c>
      <c r="H68" s="16">
        <f t="shared" si="68"/>
        <v>0.62907324364723471</v>
      </c>
      <c r="I68" s="16">
        <f t="shared" si="68"/>
        <v>0.56174143776718588</v>
      </c>
      <c r="J68" s="16">
        <f t="shared" si="68"/>
        <v>0.65866918061120272</v>
      </c>
      <c r="K68" s="16">
        <f t="shared" si="68"/>
        <v>0.92288873295529972</v>
      </c>
      <c r="L68" s="16">
        <f t="shared" si="68"/>
        <v>0.8332718244648728</v>
      </c>
      <c r="M68" s="33"/>
      <c r="N68" s="33"/>
      <c r="O68" s="33"/>
      <c r="P68" s="33"/>
      <c r="Q68" s="33"/>
    </row>
    <row r="69" spans="2:17" x14ac:dyDescent="0.45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spans="2:17" x14ac:dyDescent="0.45">
      <c r="B70" t="s">
        <v>19</v>
      </c>
      <c r="C70" s="34">
        <f>[1]CFS!C27</f>
        <v>-4589</v>
      </c>
      <c r="D70" s="34">
        <f>[1]CFS!D27</f>
        <v>-6737</v>
      </c>
      <c r="E70" s="34">
        <f>[1]CFS!E27</f>
        <v>-11955</v>
      </c>
      <c r="F70" s="34">
        <f>[1]CFS!F27</f>
        <v>-13427</v>
      </c>
      <c r="G70" s="34">
        <f>[1]CFS!G27</f>
        <v>-16861</v>
      </c>
      <c r="H70" s="34">
        <f>[1]CFS!H27</f>
        <v>-40140</v>
      </c>
      <c r="I70" s="34">
        <f>[1]CFS!I27</f>
        <v>-61053</v>
      </c>
      <c r="J70" s="34">
        <f>[1]CFS!J27</f>
        <v>-63645</v>
      </c>
      <c r="K70" s="34">
        <f>[1]CFS!K27</f>
        <v>-52729</v>
      </c>
      <c r="L70" s="34">
        <f>[1]CFS!L27</f>
        <v>-59612</v>
      </c>
      <c r="M70" s="74">
        <f>M71*M34</f>
        <v>79308.246396076458</v>
      </c>
      <c r="N70" s="74">
        <f t="shared" ref="N70:Q70" si="69">N71*N34</f>
        <v>86192.63184237844</v>
      </c>
      <c r="O70" s="74">
        <f t="shared" si="69"/>
        <v>91367.859778916056</v>
      </c>
      <c r="P70" s="74">
        <f t="shared" si="69"/>
        <v>97285.200813240241</v>
      </c>
      <c r="Q70" s="74">
        <f t="shared" si="69"/>
        <v>111242.37836667683</v>
      </c>
    </row>
    <row r="71" spans="2:17" x14ac:dyDescent="0.45">
      <c r="B71" s="10" t="s">
        <v>8</v>
      </c>
      <c r="C71" s="11">
        <f>ABS(C70/C34)</f>
        <v>4.2885445675943407E-2</v>
      </c>
      <c r="D71" s="11">
        <f t="shared" ref="D71:L71" si="70">ABS(D70/D34)</f>
        <v>4.9541500290468943E-2</v>
      </c>
      <c r="E71" s="11">
        <f t="shared" si="70"/>
        <v>6.7213520290555814E-2</v>
      </c>
      <c r="F71" s="11">
        <f t="shared" si="70"/>
        <v>5.7654570671613274E-2</v>
      </c>
      <c r="G71" s="11">
        <f t="shared" si="70"/>
        <v>6.0105802753438235E-2</v>
      </c>
      <c r="H71" s="11">
        <f t="shared" si="70"/>
        <v>0.10397239835882134</v>
      </c>
      <c r="I71" s="11">
        <f t="shared" si="70"/>
        <v>0.12994921480901278</v>
      </c>
      <c r="J71" s="11">
        <f t="shared" si="70"/>
        <v>0.12382705264571008</v>
      </c>
      <c r="K71" s="11">
        <f t="shared" si="70"/>
        <v>9.1736910322990334E-2</v>
      </c>
      <c r="L71" s="11">
        <f t="shared" si="70"/>
        <v>9.3781759029396866E-2</v>
      </c>
      <c r="M71" s="75">
        <f>AVERAGE(H71:K71)</f>
        <v>0.11237139403413363</v>
      </c>
      <c r="N71" s="75">
        <f t="shared" ref="N71:O71" si="71">AVERAGE(I71:L71)</f>
        <v>0.10982373420177752</v>
      </c>
      <c r="O71" s="75">
        <f t="shared" si="71"/>
        <v>0.10542927900805774</v>
      </c>
      <c r="P71" s="75">
        <f>AVERAGE(K71:N71)</f>
        <v>0.10192844939707457</v>
      </c>
      <c r="Q71" s="75">
        <f>AVERAGE(L71:O71)</f>
        <v>0.10535154156834145</v>
      </c>
    </row>
    <row r="73" spans="2:17" x14ac:dyDescent="0.45">
      <c r="B73" t="s">
        <v>20</v>
      </c>
      <c r="C73" s="32">
        <f>[1]CFS!C19</f>
        <v>2557</v>
      </c>
      <c r="D73" s="32">
        <f>[1]CFS!D19</f>
        <v>3916</v>
      </c>
      <c r="E73" s="32">
        <f>[1]CFS!E19</f>
        <v>-173</v>
      </c>
      <c r="F73" s="32">
        <f>[1]CFS!F19</f>
        <v>-1043</v>
      </c>
      <c r="G73" s="32">
        <f>[1]CFS!G19</f>
        <v>-2438</v>
      </c>
      <c r="H73" s="32">
        <f>[1]CFS!H19</f>
        <v>13481</v>
      </c>
      <c r="I73" s="32">
        <f>[1]CFS!I19</f>
        <v>-19611</v>
      </c>
      <c r="J73" s="32">
        <f>[1]CFS!J19</f>
        <v>-20886</v>
      </c>
      <c r="K73" s="32">
        <f>[1]CFS!K19</f>
        <v>-11541</v>
      </c>
      <c r="L73" s="32">
        <f>[1]CFS!L19</f>
        <v>-6898</v>
      </c>
      <c r="M73" s="74">
        <f>M74*M34</f>
        <v>-11064.850044354958</v>
      </c>
      <c r="N73" s="74">
        <f t="shared" ref="N73:Q73" si="72">N74*N34</f>
        <v>-20246.246731633495</v>
      </c>
      <c r="O73" s="74">
        <f t="shared" si="72"/>
        <v>-19592.903168684414</v>
      </c>
      <c r="P73" s="74">
        <f t="shared" si="72"/>
        <v>-18137.108104416817</v>
      </c>
      <c r="Q73" s="74">
        <f t="shared" si="72"/>
        <v>-19838.073985955692</v>
      </c>
    </row>
    <row r="74" spans="2:17" x14ac:dyDescent="0.45">
      <c r="B74" s="10" t="s">
        <v>8</v>
      </c>
      <c r="C74" s="11">
        <f>(C73/C34)</f>
        <v>2.3895856307122966E-2</v>
      </c>
      <c r="D74" s="11">
        <f t="shared" ref="D74:L74" si="73">(D73/D34)</f>
        <v>2.8796870289071748E-2</v>
      </c>
      <c r="E74" s="11">
        <f t="shared" si="73"/>
        <v>-9.7264232624560065E-4</v>
      </c>
      <c r="F74" s="11">
        <f t="shared" si="73"/>
        <v>-4.4785668586052466E-3</v>
      </c>
      <c r="G74" s="11">
        <f t="shared" si="73"/>
        <v>-8.6909404609977117E-3</v>
      </c>
      <c r="H74" s="11">
        <f t="shared" si="73"/>
        <v>3.4919080774172155E-2</v>
      </c>
      <c r="I74" s="11">
        <f t="shared" si="73"/>
        <v>-4.1741340337404377E-2</v>
      </c>
      <c r="J74" s="11">
        <f t="shared" si="73"/>
        <v>-4.0635585223635799E-2</v>
      </c>
      <c r="K74" s="11">
        <f t="shared" si="73"/>
        <v>-2.0078812077559436E-2</v>
      </c>
      <c r="L74" s="11">
        <f t="shared" si="73"/>
        <v>-1.0851952187223707E-2</v>
      </c>
      <c r="M74" s="75">
        <f>AVERAGE(H74:L74)</f>
        <v>-1.5677721810330232E-2</v>
      </c>
      <c r="N74" s="75">
        <f t="shared" ref="N74:Q74" si="74">AVERAGE(I74:M74)</f>
        <v>-2.5797082327230707E-2</v>
      </c>
      <c r="O74" s="75">
        <f t="shared" si="74"/>
        <v>-2.2608230725195976E-2</v>
      </c>
      <c r="P74" s="75">
        <f t="shared" si="74"/>
        <v>-1.900275982550801E-2</v>
      </c>
      <c r="Q74" s="75">
        <f t="shared" si="74"/>
        <v>-1.8787549375097728E-2</v>
      </c>
    </row>
    <row r="75" spans="2:17" x14ac:dyDescent="0.45">
      <c r="B75" s="10" t="s">
        <v>21</v>
      </c>
      <c r="C75" s="11" t="s">
        <v>16</v>
      </c>
      <c r="D75" s="11">
        <f>D73/(D34-C34)</f>
        <v>0.1351230116283082</v>
      </c>
      <c r="E75" s="11">
        <f t="shared" ref="E75:L75" si="75">E73/(E34-D34)</f>
        <v>-4.1309486854986983E-3</v>
      </c>
      <c r="F75" s="11">
        <f t="shared" si="75"/>
        <v>-1.895639846604024E-2</v>
      </c>
      <c r="G75" s="11">
        <f t="shared" si="75"/>
        <v>-5.118085441377139E-2</v>
      </c>
      <c r="H75" s="11">
        <f t="shared" si="75"/>
        <v>0.12773114020958481</v>
      </c>
      <c r="I75" s="11">
        <f t="shared" si="75"/>
        <v>-0.23413882852981208</v>
      </c>
      <c r="J75" s="11">
        <f t="shared" si="75"/>
        <v>-0.47295124657503229</v>
      </c>
      <c r="K75" s="11">
        <f t="shared" si="75"/>
        <v>-0.18981283510410843</v>
      </c>
      <c r="L75" s="11">
        <f t="shared" si="75"/>
        <v>-0.11334023430439855</v>
      </c>
      <c r="M75" s="11">
        <f t="shared" ref="M75" si="76">M73/(M34-L34)</f>
        <v>-0.15779202322141037</v>
      </c>
      <c r="N75" s="11">
        <f t="shared" ref="N75" si="77">N73/(N34-M34)</f>
        <v>-0.25609358612200528</v>
      </c>
      <c r="O75" s="11">
        <f t="shared" ref="O75" si="78">O73/(O34-N34)</f>
        <v>-0.23952204362694882</v>
      </c>
      <c r="P75" s="11">
        <f t="shared" ref="P75" si="79">P73/(P34-O34)</f>
        <v>-0.20652829233328571</v>
      </c>
      <c r="Q75" s="11">
        <f t="shared" ref="Q75" si="80">Q73/(Q34-P34)</f>
        <v>-0.19550679004588245</v>
      </c>
    </row>
    <row r="80" spans="2:17" x14ac:dyDescent="0.45">
      <c r="B80" s="27" t="s">
        <v>0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</row>
    <row r="81" spans="2:17" ht="8" customHeight="1" x14ac:dyDescent="0.45">
      <c r="B81" s="25"/>
    </row>
    <row r="82" spans="2:17" x14ac:dyDescent="0.45">
      <c r="B82" s="3"/>
      <c r="C82" s="8">
        <v>2015</v>
      </c>
      <c r="D82" s="8">
        <f t="shared" ref="D82" si="81">C82+1</f>
        <v>2016</v>
      </c>
      <c r="E82" s="8">
        <f t="shared" ref="E82" si="82">D82+1</f>
        <v>2017</v>
      </c>
      <c r="F82" s="8">
        <f t="shared" ref="F82" si="83">E82+1</f>
        <v>2018</v>
      </c>
      <c r="G82" s="8">
        <f t="shared" ref="G82" si="84">F82+1</f>
        <v>2019</v>
      </c>
      <c r="H82" s="8">
        <f t="shared" ref="H82" si="85">G82+1</f>
        <v>2020</v>
      </c>
      <c r="I82" s="8">
        <f t="shared" ref="I82" si="86">H82+1</f>
        <v>2021</v>
      </c>
      <c r="J82" s="8">
        <f t="shared" ref="J82" si="87">I82+1</f>
        <v>2022</v>
      </c>
      <c r="K82" s="8">
        <f t="shared" ref="K82" si="88">J82+1</f>
        <v>2023</v>
      </c>
      <c r="L82" s="5">
        <f>K82+1</f>
        <v>2024</v>
      </c>
      <c r="M82" s="6">
        <f t="shared" ref="M82" si="89">L82+1</f>
        <v>2025</v>
      </c>
      <c r="N82" s="6">
        <f t="shared" ref="N82" si="90">M82+1</f>
        <v>2026</v>
      </c>
      <c r="O82" s="6">
        <f t="shared" ref="O82" si="91">N82+1</f>
        <v>2027</v>
      </c>
      <c r="P82" s="6">
        <f t="shared" ref="P82" si="92">O82+1</f>
        <v>2028</v>
      </c>
      <c r="Q82" s="7">
        <f t="shared" ref="Q82" si="93">P82+1</f>
        <v>2029</v>
      </c>
    </row>
    <row r="83" spans="2:17" ht="5" customHeight="1" x14ac:dyDescent="0.45"/>
    <row r="84" spans="2:17" x14ac:dyDescent="0.45">
      <c r="B84" t="s">
        <v>1</v>
      </c>
      <c r="L84" s="76">
        <f>L34</f>
        <v>635646</v>
      </c>
      <c r="M84" s="76">
        <f t="shared" ref="M84:Q84" si="94">M34</f>
        <v>705769</v>
      </c>
      <c r="N84" s="76">
        <f t="shared" si="94"/>
        <v>784827</v>
      </c>
      <c r="O84" s="76">
        <f t="shared" si="94"/>
        <v>866627</v>
      </c>
      <c r="P84" s="76">
        <f t="shared" si="94"/>
        <v>954446</v>
      </c>
      <c r="Q84" s="76">
        <f t="shared" si="94"/>
        <v>1055916</v>
      </c>
    </row>
    <row r="85" spans="2:17" x14ac:dyDescent="0.45">
      <c r="B85" s="10" t="s">
        <v>6</v>
      </c>
      <c r="L85" s="77">
        <f t="shared" ref="L85:Q85" si="95">L35</f>
        <v>0.10588480910253395</v>
      </c>
      <c r="M85" s="77">
        <f t="shared" si="95"/>
        <v>0.11031769255214385</v>
      </c>
      <c r="N85" s="77">
        <f t="shared" si="95"/>
        <v>0.11201682136789803</v>
      </c>
      <c r="O85" s="77">
        <f t="shared" si="95"/>
        <v>0.10422679138204982</v>
      </c>
      <c r="P85" s="77">
        <f t="shared" si="95"/>
        <v>0.10133425337544288</v>
      </c>
      <c r="Q85" s="77">
        <f t="shared" si="95"/>
        <v>0.10631298156207891</v>
      </c>
    </row>
    <row r="86" spans="2:17" x14ac:dyDescent="0.45">
      <c r="B86" s="10"/>
    </row>
    <row r="87" spans="2:17" x14ac:dyDescent="0.45">
      <c r="B87" t="s">
        <v>7</v>
      </c>
      <c r="L87" s="76">
        <f>L54</f>
        <v>62270.17</v>
      </c>
      <c r="M87" s="76">
        <f t="shared" ref="M87:Q87" si="96">M54</f>
        <v>77775.41</v>
      </c>
      <c r="N87" s="76">
        <f t="shared" si="96"/>
        <v>97823.1</v>
      </c>
      <c r="O87" s="76">
        <f t="shared" si="96"/>
        <v>116148.69109120662</v>
      </c>
      <c r="P87" s="76">
        <f t="shared" si="96"/>
        <v>134604.30938553018</v>
      </c>
      <c r="Q87" s="76">
        <f t="shared" si="96"/>
        <v>155888.07103069729</v>
      </c>
    </row>
    <row r="88" spans="2:17" x14ac:dyDescent="0.45">
      <c r="B88" s="10" t="s">
        <v>8</v>
      </c>
      <c r="L88" s="77">
        <f t="shared" ref="L88:Q88" si="97">L55</f>
        <v>9.7963599236052773E-2</v>
      </c>
      <c r="M88" s="77">
        <f t="shared" si="97"/>
        <v>0.1101995270407173</v>
      </c>
      <c r="N88" s="77">
        <f t="shared" si="97"/>
        <v>0.12464288308123957</v>
      </c>
      <c r="O88" s="77">
        <f t="shared" si="97"/>
        <v>0.13402385465858624</v>
      </c>
      <c r="P88" s="77">
        <f t="shared" si="97"/>
        <v>0.14102873225465892</v>
      </c>
      <c r="Q88" s="77">
        <f t="shared" si="97"/>
        <v>0.14763302292104419</v>
      </c>
    </row>
    <row r="89" spans="2:17" x14ac:dyDescent="0.45">
      <c r="L89" s="76"/>
      <c r="M89" s="76"/>
      <c r="N89" s="76"/>
      <c r="O89" s="76"/>
      <c r="P89" s="76"/>
      <c r="Q89" s="76"/>
    </row>
    <row r="90" spans="2:17" x14ac:dyDescent="0.45">
      <c r="B90" t="s">
        <v>12</v>
      </c>
      <c r="L90" s="78">
        <f>L87*L91</f>
        <v>11051.479073988503</v>
      </c>
      <c r="M90" s="78">
        <f>M87*M91</f>
        <v>11881.130461124954</v>
      </c>
      <c r="N90" s="78">
        <f t="shared" ref="N90:Q90" si="98">N87*N91</f>
        <v>15783.67836599972</v>
      </c>
      <c r="O90" s="78">
        <f t="shared" si="98"/>
        <v>19779.135960720443</v>
      </c>
      <c r="P90" s="78">
        <f t="shared" si="98"/>
        <v>22921.971063321282</v>
      </c>
      <c r="Q90" s="78">
        <f t="shared" si="98"/>
        <v>25945.092396809421</v>
      </c>
    </row>
    <row r="91" spans="2:17" x14ac:dyDescent="0.45">
      <c r="B91" s="10" t="s">
        <v>166</v>
      </c>
      <c r="L91" s="77">
        <f>L61</f>
        <v>0.17747629521468311</v>
      </c>
      <c r="M91" s="77">
        <f t="shared" ref="M91:Q91" si="99">M61</f>
        <v>0.15276204215606132</v>
      </c>
      <c r="N91" s="77">
        <f t="shared" si="99"/>
        <v>0.16134919427006217</v>
      </c>
      <c r="O91" s="77">
        <f t="shared" si="99"/>
        <v>0.1702915097440808</v>
      </c>
      <c r="P91" s="77">
        <f t="shared" si="99"/>
        <v>0.1702915097440808</v>
      </c>
      <c r="Q91" s="77">
        <f t="shared" si="99"/>
        <v>0.16643411022579363</v>
      </c>
    </row>
    <row r="92" spans="2:17" x14ac:dyDescent="0.45">
      <c r="L92" s="77"/>
      <c r="M92" s="77"/>
      <c r="N92" s="77"/>
      <c r="O92" s="77"/>
      <c r="P92" s="77"/>
      <c r="Q92" s="77"/>
    </row>
    <row r="93" spans="2:17" x14ac:dyDescent="0.45">
      <c r="B93" s="102" t="s">
        <v>167</v>
      </c>
      <c r="C93" s="103"/>
      <c r="D93" s="103"/>
      <c r="E93" s="103"/>
      <c r="F93" s="103"/>
      <c r="G93" s="103"/>
      <c r="H93" s="103"/>
      <c r="I93" s="103"/>
      <c r="J93" s="103"/>
      <c r="K93" s="103"/>
      <c r="L93" s="104">
        <f>L87*(1-L91)</f>
        <v>51218.690926011492</v>
      </c>
      <c r="M93" s="104">
        <f t="shared" ref="M93:Q93" si="100">M87*(1-M91)</f>
        <v>65894.279538875053</v>
      </c>
      <c r="N93" s="104">
        <f t="shared" si="100"/>
        <v>82039.421634000275</v>
      </c>
      <c r="O93" s="104">
        <f t="shared" si="100"/>
        <v>96369.555130486173</v>
      </c>
      <c r="P93" s="104">
        <f t="shared" si="100"/>
        <v>111682.3383222089</v>
      </c>
      <c r="Q93" s="105">
        <f t="shared" si="100"/>
        <v>129942.97863388788</v>
      </c>
    </row>
    <row r="94" spans="2:17" x14ac:dyDescent="0.45">
      <c r="L94" s="77"/>
      <c r="M94" s="77"/>
      <c r="N94" s="77"/>
      <c r="O94" s="77"/>
      <c r="P94" s="77"/>
      <c r="Q94" s="77"/>
    </row>
    <row r="95" spans="2:17" x14ac:dyDescent="0.45">
      <c r="B95" t="s">
        <v>17</v>
      </c>
      <c r="L95" s="76" cm="1">
        <f t="array" ref="L95:P95">L66:P66</f>
        <v>49673</v>
      </c>
      <c r="M95" s="76">
        <v>54029.981256774641</v>
      </c>
      <c r="N95" s="76">
        <v>61832.178815252708</v>
      </c>
      <c r="O95" s="76">
        <v>69279.715031460539</v>
      </c>
      <c r="P95" s="76">
        <v>75991.021748701343</v>
      </c>
      <c r="Q95" s="76">
        <f>Q66</f>
        <v>83004.429599953422</v>
      </c>
    </row>
    <row r="96" spans="2:17" x14ac:dyDescent="0.45">
      <c r="B96" s="10" t="s">
        <v>8</v>
      </c>
      <c r="L96" s="77">
        <f>L67</f>
        <v>7.8145697447950593E-2</v>
      </c>
      <c r="M96" s="77">
        <f t="shared" ref="M96:Q96" si="101">M67</f>
        <v>7.6554766866743423E-2</v>
      </c>
      <c r="N96" s="77">
        <f t="shared" si="101"/>
        <v>7.8784469463018869E-2</v>
      </c>
      <c r="O96" s="77">
        <f t="shared" si="101"/>
        <v>7.9941791602916298E-2</v>
      </c>
      <c r="P96" s="77">
        <f t="shared" si="101"/>
        <v>7.9617937262769542E-2</v>
      </c>
      <c r="Q96" s="77">
        <f t="shared" si="101"/>
        <v>7.8608932528679759E-2</v>
      </c>
    </row>
    <row r="97" spans="2:17" x14ac:dyDescent="0.45">
      <c r="B97" s="10"/>
      <c r="L97" s="76"/>
      <c r="M97" s="76"/>
      <c r="N97" s="76"/>
      <c r="O97" s="76"/>
      <c r="P97" s="76"/>
      <c r="Q97" s="76"/>
    </row>
    <row r="98" spans="2:17" x14ac:dyDescent="0.45">
      <c r="B98" t="s">
        <v>19</v>
      </c>
      <c r="L98" s="88" cm="1">
        <f t="array" ref="L98:P98">L70:P70</f>
        <v>-59612</v>
      </c>
      <c r="M98" s="88">
        <v>79308.246396076458</v>
      </c>
      <c r="N98" s="88">
        <v>86192.63184237844</v>
      </c>
      <c r="O98" s="88">
        <v>91367.859778916056</v>
      </c>
      <c r="P98" s="88">
        <v>97285.200813240241</v>
      </c>
      <c r="Q98" s="88">
        <f>Q70</f>
        <v>111242.37836667683</v>
      </c>
    </row>
    <row r="99" spans="2:17" x14ac:dyDescent="0.45">
      <c r="B99" s="10" t="s">
        <v>8</v>
      </c>
      <c r="L99" s="77">
        <f>L71</f>
        <v>9.3781759029396866E-2</v>
      </c>
      <c r="M99" s="77">
        <f t="shared" ref="M99:Q99" si="102">M71</f>
        <v>0.11237139403413363</v>
      </c>
      <c r="N99" s="77">
        <f t="shared" si="102"/>
        <v>0.10982373420177752</v>
      </c>
      <c r="O99" s="77">
        <f t="shared" si="102"/>
        <v>0.10542927900805774</v>
      </c>
      <c r="P99" s="77">
        <f t="shared" si="102"/>
        <v>0.10192844939707457</v>
      </c>
      <c r="Q99" s="77">
        <f t="shared" si="102"/>
        <v>0.10535154156834145</v>
      </c>
    </row>
    <row r="100" spans="2:17" x14ac:dyDescent="0.45">
      <c r="B100" s="10"/>
      <c r="L100" s="77"/>
      <c r="M100" s="77"/>
      <c r="N100" s="77"/>
      <c r="O100" s="77"/>
      <c r="P100" s="77"/>
      <c r="Q100" s="77"/>
    </row>
    <row r="101" spans="2:17" x14ac:dyDescent="0.45">
      <c r="B101" t="s">
        <v>165</v>
      </c>
      <c r="L101" s="88">
        <f>L73</f>
        <v>-6898</v>
      </c>
      <c r="M101" s="88">
        <f t="shared" ref="M101:P101" si="103">M73</f>
        <v>-11064.850044354958</v>
      </c>
      <c r="N101" s="88">
        <f t="shared" si="103"/>
        <v>-20246.246731633495</v>
      </c>
      <c r="O101" s="88">
        <f t="shared" si="103"/>
        <v>-19592.903168684414</v>
      </c>
      <c r="P101" s="88">
        <f t="shared" si="103"/>
        <v>-18137.108104416817</v>
      </c>
      <c r="Q101" s="88">
        <f>Q73</f>
        <v>-19838.073985955692</v>
      </c>
    </row>
    <row r="102" spans="2:17" x14ac:dyDescent="0.45">
      <c r="B102" s="10" t="s">
        <v>8</v>
      </c>
      <c r="L102" s="77">
        <f>L74</f>
        <v>-1.0851952187223707E-2</v>
      </c>
      <c r="M102" s="77">
        <f t="shared" ref="M102:Q102" si="104">M74</f>
        <v>-1.5677721810330232E-2</v>
      </c>
      <c r="N102" s="77">
        <f t="shared" si="104"/>
        <v>-2.5797082327230707E-2</v>
      </c>
      <c r="O102" s="77">
        <f t="shared" si="104"/>
        <v>-2.2608230725195976E-2</v>
      </c>
      <c r="P102" s="77">
        <f t="shared" si="104"/>
        <v>-1.900275982550801E-2</v>
      </c>
      <c r="Q102" s="77">
        <f t="shared" si="104"/>
        <v>-1.8787549375097728E-2</v>
      </c>
    </row>
    <row r="103" spans="2:17" x14ac:dyDescent="0.45">
      <c r="B103" s="10"/>
    </row>
    <row r="104" spans="2:17" x14ac:dyDescent="0.45">
      <c r="B104" s="106" t="s">
        <v>180</v>
      </c>
      <c r="C104" s="107"/>
      <c r="D104" s="107"/>
      <c r="E104" s="107"/>
      <c r="F104" s="107"/>
      <c r="G104" s="107"/>
      <c r="H104" s="107"/>
      <c r="I104" s="107"/>
      <c r="J104" s="107"/>
      <c r="K104" s="107"/>
      <c r="L104" s="108">
        <f>L93+L95+L98-L101</f>
        <v>48177.690926011492</v>
      </c>
      <c r="M104" s="108">
        <f>M93+M95-M98-M101</f>
        <v>51680.864443928192</v>
      </c>
      <c r="N104" s="108">
        <f t="shared" ref="N104:Q104" si="105">N93+N95-N98-N101</f>
        <v>77925.215338508046</v>
      </c>
      <c r="O104" s="108">
        <f t="shared" si="105"/>
        <v>93874.313551715066</v>
      </c>
      <c r="P104" s="108">
        <f t="shared" si="105"/>
        <v>108525.26736208683</v>
      </c>
      <c r="Q104" s="109">
        <f t="shared" si="105"/>
        <v>121543.10385312016</v>
      </c>
    </row>
    <row r="105" spans="2:17" x14ac:dyDescent="0.45">
      <c r="B105" s="110" t="s">
        <v>187</v>
      </c>
      <c r="C105" s="1"/>
      <c r="D105" s="1"/>
      <c r="E105" s="1"/>
      <c r="F105" s="1"/>
      <c r="G105" s="1"/>
      <c r="H105" s="1"/>
      <c r="I105" s="1"/>
      <c r="J105" s="1"/>
      <c r="K105" s="1"/>
      <c r="L105" s="111">
        <f>(L104*L107)/(wacc+1)^L108</f>
        <v>15842.828222642123</v>
      </c>
      <c r="M105" s="111">
        <f>M104/(wacc+1)^M108</f>
        <v>48291.389741975268</v>
      </c>
      <c r="N105" s="111">
        <f>N104/(wacc+1)^N108</f>
        <v>67122.151237224636</v>
      </c>
      <c r="O105" s="111">
        <f>O104/(wacc+1)^O108</f>
        <v>74538.826576838212</v>
      </c>
      <c r="P105" s="111">
        <f>P104/(wacc+1)^P108</f>
        <v>79435.487135686839</v>
      </c>
      <c r="Q105" s="112">
        <f>Q104/(wacc+1)^Q108</f>
        <v>82009.08057118312</v>
      </c>
    </row>
    <row r="106" spans="2:17" x14ac:dyDescent="0.45">
      <c r="L106" t="s">
        <v>11</v>
      </c>
    </row>
    <row r="107" spans="2:17" x14ac:dyDescent="0.45">
      <c r="B107" t="s">
        <v>189</v>
      </c>
      <c r="L107" s="101">
        <f>YEARFRAC(L5,L6)</f>
        <v>0.33333333333333331</v>
      </c>
      <c r="M107" s="101"/>
    </row>
    <row r="108" spans="2:17" x14ac:dyDescent="0.45">
      <c r="B108" t="s">
        <v>188</v>
      </c>
      <c r="L108" s="101">
        <f>L107/2</f>
        <v>0.16666666666666666</v>
      </c>
      <c r="M108" s="101">
        <f>L107+0.5</f>
        <v>0.83333333333333326</v>
      </c>
      <c r="N108" s="101">
        <f>M108+1</f>
        <v>1.8333333333333333</v>
      </c>
      <c r="O108" s="101">
        <f t="shared" ref="O108:Q108" si="106">N108+1</f>
        <v>2.833333333333333</v>
      </c>
      <c r="P108" s="101">
        <f t="shared" si="106"/>
        <v>3.833333333333333</v>
      </c>
      <c r="Q108" s="101">
        <f t="shared" si="106"/>
        <v>4.833333333333333</v>
      </c>
    </row>
    <row r="111" spans="2:17" x14ac:dyDescent="0.45">
      <c r="B111" t="s">
        <v>190</v>
      </c>
      <c r="Q111" s="115">
        <f>Q104*(1+tgr)/(wacc-tgr)</f>
        <v>2083096.7034987817</v>
      </c>
    </row>
    <row r="112" spans="2:17" x14ac:dyDescent="0.45">
      <c r="B112" t="s">
        <v>191</v>
      </c>
      <c r="Q112" s="115">
        <f>Q111/(1+wacc)^Q108</f>
        <v>1405533.0165110971</v>
      </c>
    </row>
    <row r="113" spans="2:17" x14ac:dyDescent="0.45">
      <c r="Q113" s="115"/>
    </row>
    <row r="114" spans="2:17" x14ac:dyDescent="0.45">
      <c r="B114" t="s">
        <v>192</v>
      </c>
      <c r="Q114" s="115">
        <f>SUM(L105:Q105,Q112)</f>
        <v>1772772.7799966473</v>
      </c>
    </row>
    <row r="115" spans="2:17" x14ac:dyDescent="0.45">
      <c r="B115" t="s">
        <v>193</v>
      </c>
      <c r="Q115" s="31">
        <v>89092</v>
      </c>
    </row>
    <row r="116" spans="2:17" x14ac:dyDescent="0.45">
      <c r="B116" t="s">
        <v>194</v>
      </c>
      <c r="Q116" s="31">
        <v>54889</v>
      </c>
    </row>
    <row r="117" spans="2:17" x14ac:dyDescent="0.45">
      <c r="B117" t="s">
        <v>195</v>
      </c>
      <c r="Q117" s="31">
        <f>Q114+Q115-Q116</f>
        <v>1806975.7799966473</v>
      </c>
    </row>
    <row r="119" spans="2:17" x14ac:dyDescent="0.45">
      <c r="B119" t="s">
        <v>211</v>
      </c>
      <c r="Q119" s="31">
        <f>Shares!E14</f>
        <v>10876.1</v>
      </c>
    </row>
    <row r="120" spans="2:17" x14ac:dyDescent="0.45">
      <c r="B120" t="s">
        <v>212</v>
      </c>
      <c r="Q120" s="31">
        <f>Q117/Q119</f>
        <v>166.1418872570726</v>
      </c>
    </row>
  </sheetData>
  <sortState xmlns:xlrd2="http://schemas.microsoft.com/office/spreadsheetml/2017/richdata2" ref="B105:Q105">
    <sortCondition descending="1" ref="B104:B105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0BFF-B380-4BC6-B8AC-51AEBA1EC321}">
  <sheetPr>
    <outlinePr summaryBelow="0" summaryRight="0"/>
  </sheetPr>
  <dimension ref="A1:L53"/>
  <sheetViews>
    <sheetView topLeftCell="A13" zoomScale="98" zoomScaleNormal="98" workbookViewId="0">
      <selection activeCell="L30" sqref="L30"/>
    </sheetView>
  </sheetViews>
  <sheetFormatPr defaultColWidth="9.19921875" defaultRowHeight="15" customHeight="1" outlineLevelRow="3" x14ac:dyDescent="0.35"/>
  <cols>
    <col min="1" max="1" width="53.265625" style="35" customWidth="1"/>
    <col min="2" max="5" width="8.46484375" style="35" customWidth="1"/>
    <col min="6" max="12" width="9.46484375" style="35" customWidth="1"/>
    <col min="13" max="16384" width="9.19921875" style="35"/>
  </cols>
  <sheetData>
    <row r="1" spans="1:12" ht="15" customHeight="1" x14ac:dyDescent="0.4">
      <c r="A1" s="61" t="s">
        <v>80</v>
      </c>
    </row>
    <row r="2" spans="1:12" ht="15" customHeight="1" x14ac:dyDescent="0.35">
      <c r="A2" s="60" t="s">
        <v>79</v>
      </c>
    </row>
    <row r="3" spans="1:12" ht="1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</row>
    <row r="5" spans="1:12" ht="15" customHeight="1" x14ac:dyDescent="0.4">
      <c r="A5" s="58" t="s">
        <v>78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</row>
    <row r="6" spans="1:12" ht="15" customHeight="1" x14ac:dyDescent="0.4">
      <c r="A6" s="58" t="s">
        <v>77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</row>
    <row r="7" spans="1:12" ht="15" customHeight="1" x14ac:dyDescent="0.4">
      <c r="A7" s="58" t="s">
        <v>76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</row>
    <row r="8" spans="1:12" ht="15" customHeight="1" x14ac:dyDescent="0.4">
      <c r="A8" s="58"/>
      <c r="B8" s="58" t="s">
        <v>75</v>
      </c>
      <c r="C8" s="58" t="s">
        <v>74</v>
      </c>
      <c r="D8" s="58" t="s">
        <v>73</v>
      </c>
      <c r="E8" s="58" t="s">
        <v>72</v>
      </c>
      <c r="F8" s="58" t="s">
        <v>71</v>
      </c>
      <c r="G8" s="58" t="s">
        <v>70</v>
      </c>
      <c r="H8" s="58" t="s">
        <v>69</v>
      </c>
      <c r="I8" s="58" t="s">
        <v>68</v>
      </c>
      <c r="J8" s="58" t="s">
        <v>67</v>
      </c>
      <c r="K8" s="58" t="s">
        <v>66</v>
      </c>
      <c r="L8" s="58" t="s">
        <v>65</v>
      </c>
    </row>
    <row r="9" spans="1:12" ht="15" customHeight="1" x14ac:dyDescent="0.4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 t="s">
        <v>64</v>
      </c>
    </row>
    <row r="10" spans="1:12" ht="15" customHeight="1" x14ac:dyDescent="0.4">
      <c r="A10" s="49" t="s">
        <v>88</v>
      </c>
      <c r="B10" s="52">
        <v>88988</v>
      </c>
      <c r="C10" s="52">
        <v>107006</v>
      </c>
      <c r="D10" s="52">
        <v>135987</v>
      </c>
      <c r="E10" s="52">
        <v>177866</v>
      </c>
      <c r="F10" s="52">
        <v>232887</v>
      </c>
      <c r="G10" s="52">
        <v>280522</v>
      </c>
      <c r="H10" s="52">
        <v>386064</v>
      </c>
      <c r="I10" s="52">
        <v>469822</v>
      </c>
      <c r="J10" s="52">
        <v>513983</v>
      </c>
      <c r="K10" s="52">
        <v>574785</v>
      </c>
      <c r="L10" s="52">
        <v>604334</v>
      </c>
    </row>
    <row r="11" spans="1:12" ht="15" customHeight="1" outlineLevel="1" x14ac:dyDescent="0.4">
      <c r="A11" s="44" t="s">
        <v>159</v>
      </c>
      <c r="B11" s="43">
        <v>62752</v>
      </c>
      <c r="C11" s="43">
        <v>71651</v>
      </c>
      <c r="D11" s="43">
        <v>88265</v>
      </c>
      <c r="E11" s="43">
        <v>111934</v>
      </c>
      <c r="F11" s="43">
        <v>139156</v>
      </c>
      <c r="G11" s="43">
        <v>165536</v>
      </c>
      <c r="H11" s="43">
        <v>233307</v>
      </c>
      <c r="I11" s="43">
        <v>272344</v>
      </c>
      <c r="J11" s="43">
        <v>288831</v>
      </c>
      <c r="K11" s="43">
        <v>304739</v>
      </c>
      <c r="L11" s="43">
        <v>313993</v>
      </c>
    </row>
    <row r="12" spans="1:12" ht="15" customHeight="1" outlineLevel="2" x14ac:dyDescent="0.35">
      <c r="A12" s="42" t="s">
        <v>158</v>
      </c>
      <c r="B12" s="40">
        <v>59530</v>
      </c>
      <c r="C12" s="40">
        <v>67109</v>
      </c>
      <c r="D12" s="40">
        <v>82212</v>
      </c>
      <c r="E12" s="40">
        <v>103282</v>
      </c>
      <c r="F12" s="40">
        <v>123815</v>
      </c>
      <c r="G12" s="40">
        <v>143747</v>
      </c>
      <c r="H12" s="40">
        <v>208056</v>
      </c>
      <c r="I12" s="40">
        <v>238048</v>
      </c>
      <c r="J12" s="40">
        <v>246910</v>
      </c>
      <c r="K12" s="40">
        <v>256076</v>
      </c>
      <c r="L12" s="40">
        <v>264320</v>
      </c>
    </row>
    <row r="13" spans="1:12" ht="15" customHeight="1" outlineLevel="2" x14ac:dyDescent="0.4">
      <c r="A13" s="73" t="s">
        <v>123</v>
      </c>
      <c r="B13" s="43">
        <v>3222</v>
      </c>
      <c r="C13" s="43">
        <v>4542</v>
      </c>
      <c r="D13" s="43">
        <v>6053</v>
      </c>
      <c r="E13" s="43">
        <v>8652</v>
      </c>
      <c r="F13" s="43">
        <v>15341</v>
      </c>
      <c r="G13" s="43">
        <v>21789</v>
      </c>
      <c r="H13" s="43">
        <v>25251</v>
      </c>
      <c r="I13" s="43">
        <v>34296</v>
      </c>
      <c r="J13" s="43">
        <v>41921</v>
      </c>
      <c r="K13" s="43">
        <v>48663</v>
      </c>
      <c r="L13" s="43">
        <v>49673</v>
      </c>
    </row>
    <row r="14" spans="1:12" ht="15" customHeight="1" outlineLevel="3" x14ac:dyDescent="0.35">
      <c r="A14" s="50" t="s">
        <v>157</v>
      </c>
      <c r="B14" s="40">
        <v>3041</v>
      </c>
      <c r="C14" s="40">
        <v>4314</v>
      </c>
      <c r="D14" s="40">
        <v>5766</v>
      </c>
      <c r="E14" s="40">
        <v>8286</v>
      </c>
      <c r="F14" s="40">
        <v>14866</v>
      </c>
      <c r="G14" s="40">
        <v>21224</v>
      </c>
      <c r="H14" s="40">
        <v>24742</v>
      </c>
      <c r="I14" s="40">
        <v>33784</v>
      </c>
      <c r="J14" s="40">
        <v>41317</v>
      </c>
      <c r="K14" s="40">
        <v>47957</v>
      </c>
      <c r="L14" s="56"/>
    </row>
    <row r="15" spans="1:12" ht="15" customHeight="1" outlineLevel="3" x14ac:dyDescent="0.35">
      <c r="A15" s="51" t="s">
        <v>156</v>
      </c>
      <c r="B15" s="47">
        <v>181</v>
      </c>
      <c r="C15" s="47">
        <v>228</v>
      </c>
      <c r="D15" s="47">
        <v>287</v>
      </c>
      <c r="E15" s="47">
        <v>366</v>
      </c>
      <c r="F15" s="47">
        <v>475</v>
      </c>
      <c r="G15" s="47">
        <v>565</v>
      </c>
      <c r="H15" s="47">
        <v>509</v>
      </c>
      <c r="I15" s="47">
        <v>512</v>
      </c>
      <c r="J15" s="47">
        <v>604</v>
      </c>
      <c r="K15" s="47">
        <v>706</v>
      </c>
      <c r="L15" s="57"/>
    </row>
    <row r="16" spans="1:12" ht="15" customHeight="1" x14ac:dyDescent="0.4">
      <c r="A16" s="49" t="s">
        <v>155</v>
      </c>
      <c r="B16" s="52">
        <v>26236</v>
      </c>
      <c r="C16" s="52">
        <v>35355</v>
      </c>
      <c r="D16" s="52">
        <v>47722</v>
      </c>
      <c r="E16" s="52">
        <v>65932</v>
      </c>
      <c r="F16" s="52">
        <v>93731</v>
      </c>
      <c r="G16" s="52">
        <v>114986</v>
      </c>
      <c r="H16" s="52">
        <v>152757</v>
      </c>
      <c r="I16" s="52">
        <v>197478</v>
      </c>
      <c r="J16" s="52">
        <v>225152</v>
      </c>
      <c r="K16" s="52">
        <v>270046</v>
      </c>
      <c r="L16" s="52">
        <v>290341</v>
      </c>
    </row>
    <row r="17" spans="1:12" ht="15" customHeight="1" outlineLevel="1" x14ac:dyDescent="0.4">
      <c r="A17" s="44" t="s">
        <v>154</v>
      </c>
      <c r="B17" s="43">
        <v>25925</v>
      </c>
      <c r="C17" s="43">
        <v>32951</v>
      </c>
      <c r="D17" s="43">
        <v>43369</v>
      </c>
      <c r="E17" s="43">
        <v>61612</v>
      </c>
      <c r="F17" s="43">
        <v>81014</v>
      </c>
      <c r="G17" s="43">
        <v>100244</v>
      </c>
      <c r="H17" s="43">
        <v>129933</v>
      </c>
      <c r="I17" s="43">
        <v>172537</v>
      </c>
      <c r="J17" s="43">
        <v>211641</v>
      </c>
      <c r="K17" s="43">
        <v>232427</v>
      </c>
      <c r="L17" s="43">
        <v>235242</v>
      </c>
    </row>
    <row r="18" spans="1:12" ht="15" customHeight="1" outlineLevel="2" x14ac:dyDescent="0.35">
      <c r="A18" s="42" t="s">
        <v>153</v>
      </c>
      <c r="B18" s="40">
        <v>9275</v>
      </c>
      <c r="C18" s="40">
        <v>12540</v>
      </c>
      <c r="D18" s="40">
        <v>16085</v>
      </c>
      <c r="E18" s="40">
        <v>22620</v>
      </c>
      <c r="F18" s="40">
        <v>28837</v>
      </c>
      <c r="G18" s="40">
        <v>35931</v>
      </c>
      <c r="H18" s="40">
        <v>42740</v>
      </c>
      <c r="I18" s="40">
        <v>56052</v>
      </c>
      <c r="J18" s="40">
        <v>73213</v>
      </c>
      <c r="K18" s="40">
        <v>85622</v>
      </c>
      <c r="L18" s="40">
        <v>85969</v>
      </c>
    </row>
    <row r="19" spans="1:12" ht="15" customHeight="1" outlineLevel="2" x14ac:dyDescent="0.35">
      <c r="A19" s="39" t="s">
        <v>152</v>
      </c>
      <c r="B19" s="47">
        <v>16650</v>
      </c>
      <c r="C19" s="47">
        <v>20411</v>
      </c>
      <c r="D19" s="47">
        <v>27284</v>
      </c>
      <c r="E19" s="47">
        <v>38992</v>
      </c>
      <c r="F19" s="47">
        <v>52177</v>
      </c>
      <c r="G19" s="47">
        <v>64313</v>
      </c>
      <c r="H19" s="47">
        <v>87193</v>
      </c>
      <c r="I19" s="47">
        <v>116485</v>
      </c>
      <c r="J19" s="47">
        <v>138428</v>
      </c>
      <c r="K19" s="47">
        <v>146805</v>
      </c>
      <c r="L19" s="47">
        <v>149273</v>
      </c>
    </row>
    <row r="20" spans="1:12" ht="15" customHeight="1" x14ac:dyDescent="0.4">
      <c r="A20" s="49" t="s">
        <v>151</v>
      </c>
      <c r="B20" s="52">
        <v>311</v>
      </c>
      <c r="C20" s="52">
        <v>2404</v>
      </c>
      <c r="D20" s="52">
        <v>4353</v>
      </c>
      <c r="E20" s="52">
        <v>4320</v>
      </c>
      <c r="F20" s="52">
        <v>12717</v>
      </c>
      <c r="G20" s="52">
        <v>14742</v>
      </c>
      <c r="H20" s="52">
        <v>22824</v>
      </c>
      <c r="I20" s="52">
        <v>24941</v>
      </c>
      <c r="J20" s="52">
        <v>13511</v>
      </c>
      <c r="K20" s="52">
        <v>37619</v>
      </c>
      <c r="L20" s="52">
        <v>55099</v>
      </c>
    </row>
    <row r="21" spans="1:12" ht="15" customHeight="1" outlineLevel="1" x14ac:dyDescent="0.4">
      <c r="A21" s="44" t="s">
        <v>150</v>
      </c>
      <c r="B21" s="43">
        <v>-212</v>
      </c>
      <c r="C21" s="43">
        <v>-377</v>
      </c>
      <c r="D21" s="43">
        <v>-44</v>
      </c>
      <c r="E21" s="43">
        <v>225</v>
      </c>
      <c r="F21" s="43">
        <v>92</v>
      </c>
      <c r="G21" s="43">
        <v>823</v>
      </c>
      <c r="H21" s="43">
        <v>1501</v>
      </c>
      <c r="I21" s="43">
        <v>2178</v>
      </c>
      <c r="J21" s="43">
        <v>-1078</v>
      </c>
      <c r="K21" s="43">
        <v>2110</v>
      </c>
      <c r="L21" s="43">
        <v>2758</v>
      </c>
    </row>
    <row r="22" spans="1:12" ht="15" customHeight="1" outlineLevel="2" x14ac:dyDescent="0.35">
      <c r="A22" s="42" t="s">
        <v>149</v>
      </c>
      <c r="B22" s="40">
        <v>39</v>
      </c>
      <c r="C22" s="40">
        <v>50</v>
      </c>
      <c r="D22" s="40">
        <v>100</v>
      </c>
      <c r="E22" s="40">
        <v>202</v>
      </c>
      <c r="F22" s="40">
        <v>440</v>
      </c>
      <c r="G22" s="40">
        <v>832</v>
      </c>
      <c r="H22" s="40">
        <v>555</v>
      </c>
      <c r="I22" s="40">
        <v>448</v>
      </c>
      <c r="J22" s="40">
        <v>989</v>
      </c>
      <c r="K22" s="40">
        <v>2949</v>
      </c>
      <c r="L22" s="40">
        <v>3850</v>
      </c>
    </row>
    <row r="23" spans="1:12" ht="15" customHeight="1" outlineLevel="2" x14ac:dyDescent="0.35">
      <c r="A23" s="39" t="s">
        <v>148</v>
      </c>
      <c r="B23" s="46">
        <v>-251</v>
      </c>
      <c r="C23" s="46">
        <v>-427</v>
      </c>
      <c r="D23" s="46">
        <v>-144</v>
      </c>
      <c r="E23" s="47">
        <v>23</v>
      </c>
      <c r="F23" s="46">
        <v>-348</v>
      </c>
      <c r="G23" s="46">
        <v>-9</v>
      </c>
      <c r="H23" s="47">
        <v>946</v>
      </c>
      <c r="I23" s="47">
        <v>1730</v>
      </c>
      <c r="J23" s="46">
        <v>-2067</v>
      </c>
      <c r="K23" s="46">
        <v>-839</v>
      </c>
      <c r="L23" s="46">
        <v>-1092</v>
      </c>
    </row>
    <row r="24" spans="1:12" ht="15" customHeight="1" outlineLevel="1" x14ac:dyDescent="0.4">
      <c r="A24" s="54" t="s">
        <v>147</v>
      </c>
      <c r="B24" s="52">
        <v>210</v>
      </c>
      <c r="C24" s="52">
        <v>459</v>
      </c>
      <c r="D24" s="52">
        <v>484</v>
      </c>
      <c r="E24" s="52">
        <v>848</v>
      </c>
      <c r="F24" s="52">
        <v>1417</v>
      </c>
      <c r="G24" s="52">
        <v>1600</v>
      </c>
      <c r="H24" s="52">
        <v>1647</v>
      </c>
      <c r="I24" s="52">
        <v>1809</v>
      </c>
      <c r="J24" s="52">
        <v>2367</v>
      </c>
      <c r="K24" s="52">
        <v>3182</v>
      </c>
      <c r="L24" s="52">
        <v>2752</v>
      </c>
    </row>
    <row r="25" spans="1:12" ht="15" customHeight="1" outlineLevel="2" x14ac:dyDescent="0.35">
      <c r="A25" s="39" t="s">
        <v>146</v>
      </c>
      <c r="B25" s="47">
        <v>210</v>
      </c>
      <c r="C25" s="47">
        <v>459</v>
      </c>
      <c r="D25" s="47">
        <v>484</v>
      </c>
      <c r="E25" s="47">
        <v>848</v>
      </c>
      <c r="F25" s="47">
        <v>1417</v>
      </c>
      <c r="G25" s="47">
        <v>1600</v>
      </c>
      <c r="H25" s="47">
        <v>1647</v>
      </c>
      <c r="I25" s="47">
        <v>1809</v>
      </c>
      <c r="J25" s="47">
        <v>2367</v>
      </c>
      <c r="K25" s="47">
        <v>3182</v>
      </c>
      <c r="L25" s="47">
        <v>2752</v>
      </c>
    </row>
    <row r="26" spans="1:12" ht="15" customHeight="1" outlineLevel="1" x14ac:dyDescent="0.4">
      <c r="A26" s="54" t="s">
        <v>145</v>
      </c>
      <c r="B26" s="49"/>
      <c r="C26" s="49"/>
      <c r="D26" s="52">
        <v>-67</v>
      </c>
      <c r="E26" s="52">
        <v>-109</v>
      </c>
      <c r="F26" s="52">
        <v>131</v>
      </c>
      <c r="G26" s="52">
        <v>-11</v>
      </c>
      <c r="H26" s="52">
        <v>-1500</v>
      </c>
      <c r="I26" s="52">
        <v>-12841</v>
      </c>
      <c r="J26" s="52">
        <v>16002</v>
      </c>
      <c r="K26" s="52">
        <v>-1010</v>
      </c>
      <c r="L26" s="52">
        <v>1002</v>
      </c>
    </row>
    <row r="27" spans="1:12" ht="15" customHeight="1" outlineLevel="2" x14ac:dyDescent="0.4">
      <c r="A27" s="73" t="s">
        <v>144</v>
      </c>
      <c r="B27" s="55"/>
      <c r="C27" s="55"/>
      <c r="D27" s="43">
        <v>67</v>
      </c>
      <c r="E27" s="43">
        <v>109</v>
      </c>
      <c r="F27" s="43">
        <v>-131</v>
      </c>
      <c r="G27" s="43">
        <v>11</v>
      </c>
      <c r="H27" s="43">
        <v>1500</v>
      </c>
      <c r="I27" s="43">
        <v>12841</v>
      </c>
      <c r="J27" s="43">
        <v>-16002</v>
      </c>
      <c r="K27" s="43">
        <v>1010</v>
      </c>
      <c r="L27" s="43">
        <v>-832</v>
      </c>
    </row>
    <row r="28" spans="1:12" ht="15" customHeight="1" outlineLevel="3" x14ac:dyDescent="0.35">
      <c r="A28" s="50" t="s">
        <v>143</v>
      </c>
      <c r="B28" s="56"/>
      <c r="C28" s="56"/>
      <c r="D28" s="56"/>
      <c r="E28" s="56"/>
      <c r="F28" s="56"/>
      <c r="G28" s="56"/>
      <c r="H28" s="56"/>
      <c r="I28" s="40">
        <v>11526</v>
      </c>
      <c r="J28" s="41">
        <v>-13870</v>
      </c>
      <c r="K28" s="40">
        <v>984</v>
      </c>
      <c r="L28" s="41">
        <v>-518</v>
      </c>
    </row>
    <row r="29" spans="1:12" ht="15" customHeight="1" outlineLevel="3" x14ac:dyDescent="0.35">
      <c r="A29" s="51" t="s">
        <v>142</v>
      </c>
      <c r="B29" s="57"/>
      <c r="C29" s="57"/>
      <c r="D29" s="47">
        <v>67</v>
      </c>
      <c r="E29" s="47">
        <v>109</v>
      </c>
      <c r="F29" s="46">
        <v>-131</v>
      </c>
      <c r="G29" s="47">
        <v>11</v>
      </c>
      <c r="H29" s="47">
        <v>1500</v>
      </c>
      <c r="I29" s="47">
        <v>1315</v>
      </c>
      <c r="J29" s="46">
        <v>-2132</v>
      </c>
      <c r="K29" s="47">
        <v>26</v>
      </c>
      <c r="L29" s="46">
        <v>-314</v>
      </c>
    </row>
    <row r="30" spans="1:12" ht="15" customHeight="1" x14ac:dyDescent="0.4">
      <c r="A30" s="49" t="s">
        <v>141</v>
      </c>
      <c r="B30" s="52">
        <v>-111</v>
      </c>
      <c r="C30" s="52">
        <v>1568</v>
      </c>
      <c r="D30" s="52">
        <v>3892</v>
      </c>
      <c r="E30" s="52">
        <v>3806</v>
      </c>
      <c r="F30" s="52">
        <v>11261</v>
      </c>
      <c r="G30" s="52">
        <v>13976</v>
      </c>
      <c r="H30" s="52">
        <v>24178</v>
      </c>
      <c r="I30" s="52">
        <v>38151</v>
      </c>
      <c r="J30" s="52">
        <v>-5936</v>
      </c>
      <c r="K30" s="52">
        <v>37557</v>
      </c>
      <c r="L30" s="52">
        <v>54103</v>
      </c>
    </row>
    <row r="31" spans="1:12" ht="15" customHeight="1" outlineLevel="1" x14ac:dyDescent="0.4">
      <c r="A31" s="44" t="s">
        <v>140</v>
      </c>
      <c r="B31" s="43">
        <v>167</v>
      </c>
      <c r="C31" s="43">
        <v>950</v>
      </c>
      <c r="D31" s="43">
        <v>1425</v>
      </c>
      <c r="E31" s="43">
        <v>769</v>
      </c>
      <c r="F31" s="43">
        <v>1197</v>
      </c>
      <c r="G31" s="43">
        <v>2374</v>
      </c>
      <c r="H31" s="43">
        <v>2863</v>
      </c>
      <c r="I31" s="43">
        <v>4791</v>
      </c>
      <c r="J31" s="43">
        <v>-3217</v>
      </c>
      <c r="K31" s="43">
        <v>7120</v>
      </c>
      <c r="L31" s="43">
        <v>9602</v>
      </c>
    </row>
    <row r="32" spans="1:12" ht="15" customHeight="1" outlineLevel="2" x14ac:dyDescent="0.35">
      <c r="A32" s="42" t="s">
        <v>139</v>
      </c>
      <c r="B32" s="40">
        <v>279</v>
      </c>
      <c r="C32" s="40">
        <v>452</v>
      </c>
      <c r="D32" s="40">
        <v>1344</v>
      </c>
      <c r="E32" s="40">
        <v>74</v>
      </c>
      <c r="F32" s="40">
        <v>193</v>
      </c>
      <c r="G32" s="40">
        <v>438</v>
      </c>
      <c r="H32" s="40">
        <v>2461</v>
      </c>
      <c r="I32" s="40">
        <v>2892</v>
      </c>
      <c r="J32" s="40">
        <v>3249</v>
      </c>
      <c r="K32" s="40">
        <v>10810</v>
      </c>
      <c r="L32" s="56"/>
    </row>
    <row r="33" spans="1:12" ht="15" customHeight="1" outlineLevel="2" x14ac:dyDescent="0.35">
      <c r="A33" s="39" t="s">
        <v>138</v>
      </c>
      <c r="B33" s="47">
        <v>204</v>
      </c>
      <c r="C33" s="47">
        <v>417</v>
      </c>
      <c r="D33" s="47">
        <v>327</v>
      </c>
      <c r="E33" s="47">
        <v>724</v>
      </c>
      <c r="F33" s="47">
        <v>563</v>
      </c>
      <c r="G33" s="47">
        <v>1140</v>
      </c>
      <c r="H33" s="47">
        <v>956</v>
      </c>
      <c r="I33" s="47">
        <v>2209</v>
      </c>
      <c r="J33" s="47">
        <v>1682</v>
      </c>
      <c r="K33" s="47">
        <v>2186</v>
      </c>
      <c r="L33" s="57"/>
    </row>
    <row r="34" spans="1:12" ht="15" customHeight="1" outlineLevel="2" x14ac:dyDescent="0.35">
      <c r="A34" s="42" t="s">
        <v>137</v>
      </c>
      <c r="B34" s="41">
        <v>-136</v>
      </c>
      <c r="C34" s="40">
        <v>302</v>
      </c>
      <c r="D34" s="40">
        <v>85</v>
      </c>
      <c r="E34" s="41">
        <v>-228</v>
      </c>
      <c r="F34" s="40">
        <v>570</v>
      </c>
      <c r="G34" s="40">
        <v>922</v>
      </c>
      <c r="H34" s="41">
        <v>-341</v>
      </c>
      <c r="I34" s="41">
        <v>-23</v>
      </c>
      <c r="J34" s="41">
        <v>-7988</v>
      </c>
      <c r="K34" s="41">
        <v>-6003</v>
      </c>
      <c r="L34" s="56"/>
    </row>
    <row r="35" spans="1:12" ht="15" customHeight="1" outlineLevel="2" x14ac:dyDescent="0.35">
      <c r="A35" s="39" t="s">
        <v>136</v>
      </c>
      <c r="B35" s="46">
        <v>-180</v>
      </c>
      <c r="C35" s="46">
        <v>-221</v>
      </c>
      <c r="D35" s="46">
        <v>-331</v>
      </c>
      <c r="E35" s="47">
        <v>199</v>
      </c>
      <c r="F35" s="46">
        <v>-129</v>
      </c>
      <c r="G35" s="46">
        <v>-126</v>
      </c>
      <c r="H35" s="46">
        <v>-213</v>
      </c>
      <c r="I35" s="46">
        <v>-287</v>
      </c>
      <c r="J35" s="46">
        <v>-160</v>
      </c>
      <c r="K35" s="47">
        <v>127</v>
      </c>
      <c r="L35" s="57"/>
    </row>
    <row r="36" spans="1:12" ht="15" customHeight="1" outlineLevel="1" x14ac:dyDescent="0.35">
      <c r="A36" s="45" t="s">
        <v>135</v>
      </c>
      <c r="B36" s="40">
        <v>37</v>
      </c>
      <c r="C36" s="41">
        <v>-22</v>
      </c>
      <c r="D36" s="41">
        <v>-96</v>
      </c>
      <c r="E36" s="41">
        <v>-4</v>
      </c>
      <c r="F36" s="40">
        <v>9</v>
      </c>
      <c r="G36" s="41">
        <v>-14</v>
      </c>
      <c r="H36" s="40">
        <v>16</v>
      </c>
      <c r="I36" s="40">
        <v>4</v>
      </c>
      <c r="J36" s="41">
        <v>-3</v>
      </c>
      <c r="K36" s="41">
        <v>-12</v>
      </c>
      <c r="L36" s="41">
        <v>-82</v>
      </c>
    </row>
    <row r="37" spans="1:12" ht="15" customHeight="1" x14ac:dyDescent="0.35">
      <c r="A37" s="57" t="s">
        <v>134</v>
      </c>
      <c r="B37" s="46">
        <v>-241</v>
      </c>
      <c r="C37" s="47">
        <v>596</v>
      </c>
      <c r="D37" s="47">
        <v>2371</v>
      </c>
      <c r="E37" s="47">
        <v>3033</v>
      </c>
      <c r="F37" s="47">
        <v>10073</v>
      </c>
      <c r="G37" s="47">
        <v>11588</v>
      </c>
      <c r="H37" s="47">
        <v>21331</v>
      </c>
      <c r="I37" s="47">
        <v>33364</v>
      </c>
      <c r="J37" s="46">
        <v>-2722</v>
      </c>
      <c r="K37" s="47">
        <v>30425</v>
      </c>
      <c r="L37" s="47">
        <v>44419</v>
      </c>
    </row>
    <row r="38" spans="1:12" ht="15" customHeight="1" x14ac:dyDescent="0.4">
      <c r="A38" s="49" t="s">
        <v>133</v>
      </c>
      <c r="B38" s="52">
        <v>-241</v>
      </c>
      <c r="C38" s="52">
        <v>596</v>
      </c>
      <c r="D38" s="52">
        <v>2371</v>
      </c>
      <c r="E38" s="52">
        <v>3033</v>
      </c>
      <c r="F38" s="52">
        <v>10073</v>
      </c>
      <c r="G38" s="52">
        <v>11588</v>
      </c>
      <c r="H38" s="52">
        <v>21331</v>
      </c>
      <c r="I38" s="52">
        <v>33364</v>
      </c>
      <c r="J38" s="52">
        <v>-2722</v>
      </c>
      <c r="K38" s="52">
        <v>30425</v>
      </c>
      <c r="L38" s="52">
        <v>44419</v>
      </c>
    </row>
    <row r="39" spans="1:12" ht="15" customHeight="1" outlineLevel="1" x14ac:dyDescent="0.35">
      <c r="A39" s="48" t="s">
        <v>132</v>
      </c>
      <c r="B39" s="46">
        <v>-241</v>
      </c>
      <c r="C39" s="47">
        <v>596</v>
      </c>
      <c r="D39" s="47">
        <v>2371</v>
      </c>
      <c r="E39" s="47">
        <v>3033</v>
      </c>
      <c r="F39" s="47">
        <v>10073</v>
      </c>
      <c r="G39" s="47">
        <v>11588</v>
      </c>
      <c r="H39" s="47">
        <v>21331</v>
      </c>
      <c r="I39" s="47">
        <v>33364</v>
      </c>
      <c r="J39" s="46">
        <v>-2722</v>
      </c>
      <c r="K39" s="47">
        <v>30425</v>
      </c>
      <c r="L39" s="47">
        <v>44419</v>
      </c>
    </row>
    <row r="40" spans="1:12" ht="15" customHeight="1" x14ac:dyDescent="0.4">
      <c r="A40" s="49" t="s">
        <v>131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</row>
    <row r="41" spans="1:12" ht="15" customHeight="1" outlineLevel="1" x14ac:dyDescent="0.35">
      <c r="A41" s="48" t="s">
        <v>130</v>
      </c>
      <c r="B41" s="38">
        <v>-2.6082000000000001E-2</v>
      </c>
      <c r="C41" s="37">
        <v>6.2474000000000002E-2</v>
      </c>
      <c r="D41" s="37">
        <v>0.240093</v>
      </c>
      <c r="E41" s="37">
        <v>0.29986800000000002</v>
      </c>
      <c r="F41" s="37">
        <v>1.01647</v>
      </c>
      <c r="G41" s="37">
        <v>1.1488389999999999</v>
      </c>
      <c r="H41" s="37">
        <v>1.9883329999999999</v>
      </c>
      <c r="I41" s="37">
        <v>2.3665340000000001</v>
      </c>
      <c r="J41" s="37">
        <v>0.83221100000000003</v>
      </c>
      <c r="K41" s="37">
        <v>2.8324440000000002</v>
      </c>
      <c r="L41" s="37">
        <v>4.2137089999999997</v>
      </c>
    </row>
    <row r="42" spans="1:12" ht="15" customHeight="1" outlineLevel="1" x14ac:dyDescent="0.4">
      <c r="A42" s="54" t="s">
        <v>129</v>
      </c>
      <c r="B42" s="72">
        <v>-2.5999999999999999E-2</v>
      </c>
      <c r="C42" s="72">
        <v>6.4000000000000001E-2</v>
      </c>
      <c r="D42" s="72">
        <v>0.25009999999999999</v>
      </c>
      <c r="E42" s="72">
        <v>0.316</v>
      </c>
      <c r="F42" s="72">
        <v>1.034</v>
      </c>
      <c r="G42" s="72">
        <v>1.1729000000000001</v>
      </c>
      <c r="H42" s="72">
        <v>2.1331000000000002</v>
      </c>
      <c r="I42" s="72">
        <v>3.2968000000000002</v>
      </c>
      <c r="J42" s="72">
        <v>-0.26719999999999999</v>
      </c>
      <c r="K42" s="72">
        <v>2.9527000000000001</v>
      </c>
      <c r="L42" s="72">
        <v>4.2774000000000001</v>
      </c>
    </row>
    <row r="43" spans="1:12" ht="15" customHeight="1" outlineLevel="2" x14ac:dyDescent="0.35">
      <c r="A43" s="39" t="s">
        <v>128</v>
      </c>
      <c r="B43" s="37">
        <v>9240</v>
      </c>
      <c r="C43" s="37">
        <v>9340</v>
      </c>
      <c r="D43" s="37">
        <v>9480</v>
      </c>
      <c r="E43" s="37">
        <v>9600</v>
      </c>
      <c r="F43" s="37">
        <v>9740</v>
      </c>
      <c r="G43" s="37">
        <v>9880</v>
      </c>
      <c r="H43" s="37">
        <v>10000</v>
      </c>
      <c r="I43" s="37">
        <v>10120</v>
      </c>
      <c r="J43" s="37">
        <v>10189</v>
      </c>
      <c r="K43" s="37">
        <v>10304</v>
      </c>
      <c r="L43" s="37">
        <v>10447</v>
      </c>
    </row>
    <row r="44" spans="1:12" ht="15" customHeight="1" outlineLevel="2" x14ac:dyDescent="0.35">
      <c r="A44" s="42" t="s">
        <v>125</v>
      </c>
      <c r="B44" s="70">
        <v>9300</v>
      </c>
      <c r="C44" s="70">
        <v>9420</v>
      </c>
      <c r="D44" s="70">
        <v>9540</v>
      </c>
      <c r="E44" s="70">
        <v>9680</v>
      </c>
      <c r="F44" s="70">
        <v>9820</v>
      </c>
      <c r="G44" s="70">
        <v>9960</v>
      </c>
      <c r="H44" s="70">
        <v>10060</v>
      </c>
      <c r="I44" s="70">
        <v>10180</v>
      </c>
      <c r="J44" s="70">
        <v>10242</v>
      </c>
      <c r="K44" s="70">
        <v>10383</v>
      </c>
      <c r="L44" s="70">
        <v>10490</v>
      </c>
    </row>
    <row r="45" spans="1:12" ht="15" customHeight="1" outlineLevel="1" x14ac:dyDescent="0.4">
      <c r="A45" s="44" t="s">
        <v>127</v>
      </c>
      <c r="B45" s="71">
        <v>-2.5999999999999999E-2</v>
      </c>
      <c r="C45" s="71">
        <v>6.25E-2</v>
      </c>
      <c r="D45" s="71">
        <v>0.245</v>
      </c>
      <c r="E45" s="71">
        <v>0.3075</v>
      </c>
      <c r="F45" s="71">
        <v>1.0073000000000001</v>
      </c>
      <c r="G45" s="71">
        <v>1.1496</v>
      </c>
      <c r="H45" s="71">
        <v>2.0912999999999999</v>
      </c>
      <c r="I45" s="71">
        <v>3.2391999999999999</v>
      </c>
      <c r="J45" s="71">
        <v>-0.26719999999999999</v>
      </c>
      <c r="K45" s="71">
        <v>2.8997999999999999</v>
      </c>
      <c r="L45" s="71">
        <v>4.1738999999999997</v>
      </c>
    </row>
    <row r="46" spans="1:12" ht="15" customHeight="1" outlineLevel="2" x14ac:dyDescent="0.35">
      <c r="A46" s="42" t="s">
        <v>126</v>
      </c>
      <c r="B46" s="70">
        <v>9240</v>
      </c>
      <c r="C46" s="70">
        <v>9540</v>
      </c>
      <c r="D46" s="70">
        <v>9680</v>
      </c>
      <c r="E46" s="70">
        <v>9860</v>
      </c>
      <c r="F46" s="70">
        <v>10000</v>
      </c>
      <c r="G46" s="70">
        <v>10080</v>
      </c>
      <c r="H46" s="70">
        <v>10200</v>
      </c>
      <c r="I46" s="70">
        <v>10300</v>
      </c>
      <c r="J46" s="70">
        <v>10189</v>
      </c>
      <c r="K46" s="70">
        <v>10492</v>
      </c>
      <c r="L46" s="70">
        <v>10708</v>
      </c>
    </row>
    <row r="47" spans="1:12" ht="15" customHeight="1" outlineLevel="2" x14ac:dyDescent="0.35">
      <c r="A47" s="39" t="s">
        <v>125</v>
      </c>
      <c r="B47" s="37">
        <v>9300</v>
      </c>
      <c r="C47" s="37">
        <v>9420</v>
      </c>
      <c r="D47" s="37">
        <v>9540</v>
      </c>
      <c r="E47" s="37">
        <v>9680</v>
      </c>
      <c r="F47" s="37">
        <v>9820</v>
      </c>
      <c r="G47" s="37">
        <v>9960</v>
      </c>
      <c r="H47" s="37">
        <v>10060</v>
      </c>
      <c r="I47" s="37">
        <v>10180</v>
      </c>
      <c r="J47" s="37">
        <v>10242</v>
      </c>
      <c r="K47" s="37">
        <v>10383</v>
      </c>
      <c r="L47" s="37">
        <v>10490</v>
      </c>
    </row>
    <row r="48" spans="1:12" ht="15" customHeight="1" outlineLevel="1" x14ac:dyDescent="0.35">
      <c r="A48" s="45" t="s">
        <v>124</v>
      </c>
      <c r="B48" s="70">
        <v>63.042000000000002</v>
      </c>
      <c r="C48" s="70">
        <v>70.867999999999995</v>
      </c>
      <c r="D48" s="70">
        <v>74.055000000000007</v>
      </c>
      <c r="E48" s="70">
        <v>57.155000000000001</v>
      </c>
      <c r="F48" s="70">
        <v>76.614000000000004</v>
      </c>
      <c r="G48" s="70">
        <v>74.36</v>
      </c>
      <c r="H48" s="70">
        <v>77.337999999999994</v>
      </c>
      <c r="I48" s="70">
        <v>68.89</v>
      </c>
      <c r="J48" s="70">
        <v>79.504000000000005</v>
      </c>
      <c r="K48" s="70">
        <v>85.314999999999998</v>
      </c>
      <c r="L48" s="56"/>
    </row>
    <row r="49" spans="1:12" ht="15" customHeight="1" x14ac:dyDescent="0.4">
      <c r="A49" s="55" t="s">
        <v>83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0" spans="1:12" ht="15" customHeight="1" outlineLevel="1" x14ac:dyDescent="0.4">
      <c r="A50" s="54" t="s">
        <v>83</v>
      </c>
      <c r="B50" s="52">
        <v>3533</v>
      </c>
      <c r="C50" s="52">
        <v>6946</v>
      </c>
      <c r="D50" s="52">
        <v>10406</v>
      </c>
      <c r="E50" s="52">
        <v>12972</v>
      </c>
      <c r="F50" s="52">
        <v>28058</v>
      </c>
      <c r="G50" s="52">
        <v>36531</v>
      </c>
      <c r="H50" s="52">
        <v>48075</v>
      </c>
      <c r="I50" s="52">
        <v>59237</v>
      </c>
      <c r="J50" s="52">
        <v>55432</v>
      </c>
      <c r="K50" s="52">
        <v>86282</v>
      </c>
      <c r="L50" s="52">
        <v>104772</v>
      </c>
    </row>
    <row r="51" spans="1:12" ht="15" customHeight="1" outlineLevel="2" x14ac:dyDescent="0.35">
      <c r="A51" s="39" t="s">
        <v>7</v>
      </c>
      <c r="B51" s="47">
        <v>311</v>
      </c>
      <c r="C51" s="47">
        <v>2404</v>
      </c>
      <c r="D51" s="47">
        <v>4353</v>
      </c>
      <c r="E51" s="47">
        <v>4320</v>
      </c>
      <c r="F51" s="47">
        <v>12717</v>
      </c>
      <c r="G51" s="47">
        <v>14742</v>
      </c>
      <c r="H51" s="47">
        <v>22824</v>
      </c>
      <c r="I51" s="47">
        <v>24941</v>
      </c>
      <c r="J51" s="47">
        <v>13511</v>
      </c>
      <c r="K51" s="47">
        <v>37619</v>
      </c>
      <c r="L51" s="47">
        <v>55099</v>
      </c>
    </row>
    <row r="52" spans="1:12" ht="15" customHeight="1" outlineLevel="2" x14ac:dyDescent="0.35">
      <c r="A52" s="42" t="s">
        <v>123</v>
      </c>
      <c r="B52" s="40">
        <v>3222</v>
      </c>
      <c r="C52" s="40">
        <v>4542</v>
      </c>
      <c r="D52" s="40">
        <v>6053</v>
      </c>
      <c r="E52" s="40">
        <v>8652</v>
      </c>
      <c r="F52" s="40">
        <v>15341</v>
      </c>
      <c r="G52" s="40">
        <v>21789</v>
      </c>
      <c r="H52" s="40">
        <v>25251</v>
      </c>
      <c r="I52" s="40">
        <v>34296</v>
      </c>
      <c r="J52" s="40">
        <v>41921</v>
      </c>
      <c r="K52" s="40">
        <v>48663</v>
      </c>
      <c r="L52" s="40">
        <v>49673</v>
      </c>
    </row>
    <row r="53" spans="1:12" ht="15" customHeight="1" x14ac:dyDescent="0.35">
      <c r="A53" s="36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6361-BD4B-40A6-A780-24E36013A765}">
  <dimension ref="B4:F19"/>
  <sheetViews>
    <sheetView showGridLines="0" zoomScale="66" workbookViewId="0">
      <selection activeCell="F5" sqref="F5"/>
    </sheetView>
  </sheetViews>
  <sheetFormatPr defaultRowHeight="14.25" x14ac:dyDescent="0.45"/>
  <sheetData>
    <row r="4" spans="2:6" x14ac:dyDescent="0.45">
      <c r="B4" s="79" t="s">
        <v>168</v>
      </c>
      <c r="C4" s="80"/>
      <c r="D4" s="80"/>
      <c r="E4" s="80"/>
      <c r="F4" s="80"/>
    </row>
    <row r="5" spans="2:6" x14ac:dyDescent="0.45">
      <c r="B5" t="s">
        <v>169</v>
      </c>
      <c r="F5" s="31">
        <v>1873000</v>
      </c>
    </row>
    <row r="6" spans="2:6" x14ac:dyDescent="0.45">
      <c r="B6" t="s">
        <v>170</v>
      </c>
      <c r="F6" s="81">
        <f>F5/F17</f>
        <v>0.97152896250769627</v>
      </c>
    </row>
    <row r="7" spans="2:6" x14ac:dyDescent="0.45">
      <c r="B7" t="s">
        <v>171</v>
      </c>
      <c r="F7" s="82">
        <v>8.5800000000000001E-2</v>
      </c>
    </row>
    <row r="8" spans="2:6" x14ac:dyDescent="0.45">
      <c r="B8" t="s">
        <v>172</v>
      </c>
      <c r="F8" s="83">
        <v>3.9100000000000003E-2</v>
      </c>
    </row>
    <row r="9" spans="2:6" x14ac:dyDescent="0.45">
      <c r="B9" t="s">
        <v>173</v>
      </c>
      <c r="F9" s="84">
        <v>1.1499999999999999</v>
      </c>
    </row>
    <row r="10" spans="2:6" x14ac:dyDescent="0.45">
      <c r="B10" t="s">
        <v>174</v>
      </c>
      <c r="F10" s="83">
        <v>4.0599999999999997E-2</v>
      </c>
    </row>
    <row r="12" spans="2:6" x14ac:dyDescent="0.45">
      <c r="B12" t="s">
        <v>175</v>
      </c>
      <c r="F12" s="85">
        <v>54889</v>
      </c>
    </row>
    <row r="13" spans="2:6" x14ac:dyDescent="0.45">
      <c r="B13" t="s">
        <v>176</v>
      </c>
      <c r="F13" s="81">
        <f>F12/F5</f>
        <v>2.930539241857982E-2</v>
      </c>
    </row>
    <row r="14" spans="2:6" x14ac:dyDescent="0.45">
      <c r="B14" t="s">
        <v>177</v>
      </c>
      <c r="F14" s="83">
        <f>1233*2/F12</f>
        <v>4.4927034560658781E-2</v>
      </c>
    </row>
    <row r="15" spans="2:6" x14ac:dyDescent="0.45">
      <c r="B15" t="s">
        <v>178</v>
      </c>
      <c r="F15" s="83">
        <f>DCF!L61</f>
        <v>0.17747629521468311</v>
      </c>
    </row>
    <row r="17" spans="2:6" x14ac:dyDescent="0.45">
      <c r="B17" t="s">
        <v>5</v>
      </c>
      <c r="F17" s="31">
        <f>F5+F12</f>
        <v>1927889</v>
      </c>
    </row>
    <row r="19" spans="2:6" x14ac:dyDescent="0.45">
      <c r="B19" t="s">
        <v>168</v>
      </c>
      <c r="F19" s="100">
        <f>F6*F7+(F13*F14*(1-F15))</f>
        <v>8.4440123293892111E-2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429A-E813-4FE4-BDA0-FBD8098005E3}">
  <dimension ref="A2:G30"/>
  <sheetViews>
    <sheetView showGridLines="0" zoomScale="82" zoomScaleNormal="115" workbookViewId="0">
      <selection activeCell="E13" sqref="E13"/>
    </sheetView>
  </sheetViews>
  <sheetFormatPr defaultRowHeight="14.25" x14ac:dyDescent="0.45"/>
  <cols>
    <col min="1" max="1" width="3.53125" style="118" customWidth="1"/>
    <col min="2" max="2" width="36.53125" bestFit="1" customWidth="1"/>
    <col min="3" max="5" width="15.796875" customWidth="1"/>
  </cols>
  <sheetData>
    <row r="2" spans="1:5" s="2" customFormat="1" ht="21" x14ac:dyDescent="0.65">
      <c r="A2" s="116"/>
      <c r="B2" s="117" t="s">
        <v>196</v>
      </c>
    </row>
    <row r="3" spans="1:5" x14ac:dyDescent="0.45">
      <c r="B3" s="119"/>
    </row>
    <row r="4" spans="1:5" x14ac:dyDescent="0.45">
      <c r="A4" s="118" t="s">
        <v>197</v>
      </c>
      <c r="B4" s="120" t="s">
        <v>198</v>
      </c>
      <c r="C4" s="121"/>
      <c r="D4" s="121"/>
      <c r="E4" s="121"/>
    </row>
    <row r="5" spans="1:5" ht="5.2" customHeight="1" x14ac:dyDescent="0.45">
      <c r="B5" s="122"/>
      <c r="C5" s="123"/>
      <c r="D5" s="123"/>
      <c r="E5" s="123"/>
    </row>
    <row r="6" spans="1:5" x14ac:dyDescent="0.45">
      <c r="B6" s="23" t="s">
        <v>199</v>
      </c>
      <c r="E6" s="124">
        <v>178.5</v>
      </c>
    </row>
    <row r="7" spans="1:5" x14ac:dyDescent="0.45">
      <c r="B7" s="125" t="s">
        <v>200</v>
      </c>
      <c r="E7" s="126">
        <v>10495.6</v>
      </c>
    </row>
    <row r="8" spans="1:5" x14ac:dyDescent="0.45">
      <c r="B8" s="23" t="s">
        <v>201</v>
      </c>
      <c r="E8" s="127">
        <f>E30</f>
        <v>0</v>
      </c>
    </row>
    <row r="9" spans="1:5" x14ac:dyDescent="0.45">
      <c r="B9" s="23" t="s">
        <v>202</v>
      </c>
      <c r="E9" s="128">
        <f>SUMPRODUCT(D19:D28,E19:E28)</f>
        <v>0</v>
      </c>
    </row>
    <row r="10" spans="1:5" x14ac:dyDescent="0.45">
      <c r="B10" s="23" t="s">
        <v>203</v>
      </c>
      <c r="E10" s="128">
        <f>E9/E6</f>
        <v>0</v>
      </c>
    </row>
    <row r="11" spans="1:5" x14ac:dyDescent="0.45">
      <c r="B11" s="23" t="s">
        <v>204</v>
      </c>
      <c r="E11" s="128">
        <f>E8-E10</f>
        <v>0</v>
      </c>
    </row>
    <row r="12" spans="1:5" x14ac:dyDescent="0.45">
      <c r="B12" s="23" t="s">
        <v>205</v>
      </c>
      <c r="E12" s="126">
        <v>380.5</v>
      </c>
    </row>
    <row r="13" spans="1:5" x14ac:dyDescent="0.45">
      <c r="B13" s="23"/>
      <c r="E13" s="129"/>
    </row>
    <row r="14" spans="1:5" x14ac:dyDescent="0.45">
      <c r="B14" s="130" t="s">
        <v>206</v>
      </c>
      <c r="D14" s="114"/>
      <c r="E14" s="131">
        <f>E7+E11+E12</f>
        <v>10876.1</v>
      </c>
    </row>
    <row r="15" spans="1:5" x14ac:dyDescent="0.45">
      <c r="B15" s="130"/>
      <c r="D15" s="114"/>
      <c r="E15" s="128"/>
    </row>
    <row r="16" spans="1:5" x14ac:dyDescent="0.45">
      <c r="A16" s="118" t="s">
        <v>197</v>
      </c>
      <c r="B16" s="120" t="s">
        <v>207</v>
      </c>
      <c r="C16" s="121"/>
      <c r="D16" s="121"/>
      <c r="E16" s="121"/>
    </row>
    <row r="17" spans="1:7" ht="5.2" customHeight="1" x14ac:dyDescent="0.45">
      <c r="B17" s="122"/>
      <c r="C17" s="123"/>
      <c r="D17" s="123"/>
      <c r="E17" s="123"/>
    </row>
    <row r="18" spans="1:7" x14ac:dyDescent="0.45">
      <c r="C18" s="132" t="s">
        <v>208</v>
      </c>
      <c r="D18" s="132" t="s">
        <v>209</v>
      </c>
      <c r="E18" s="132" t="s">
        <v>210</v>
      </c>
    </row>
    <row r="19" spans="1:7" x14ac:dyDescent="0.45">
      <c r="B19" s="133">
        <v>1</v>
      </c>
      <c r="C19" s="126"/>
      <c r="D19" s="124"/>
      <c r="E19" s="134">
        <f t="shared" ref="E19:E28" si="0">IF(D19&lt;$E$6,C19)</f>
        <v>0</v>
      </c>
      <c r="G19" s="113"/>
    </row>
    <row r="20" spans="1:7" x14ac:dyDescent="0.45">
      <c r="B20" s="133">
        <f t="shared" ref="B20:B28" si="1">B19+1</f>
        <v>2</v>
      </c>
      <c r="C20" s="126"/>
      <c r="D20" s="126"/>
      <c r="E20" s="134">
        <f t="shared" si="0"/>
        <v>0</v>
      </c>
    </row>
    <row r="21" spans="1:7" x14ac:dyDescent="0.45">
      <c r="B21" s="133">
        <f t="shared" si="1"/>
        <v>3</v>
      </c>
      <c r="C21" s="126"/>
      <c r="D21" s="126"/>
      <c r="E21" s="134">
        <f t="shared" si="0"/>
        <v>0</v>
      </c>
    </row>
    <row r="22" spans="1:7" x14ac:dyDescent="0.45">
      <c r="B22" s="133">
        <f t="shared" si="1"/>
        <v>4</v>
      </c>
      <c r="C22" s="126"/>
      <c r="D22" s="126"/>
      <c r="E22" s="134">
        <f t="shared" si="0"/>
        <v>0</v>
      </c>
    </row>
    <row r="23" spans="1:7" x14ac:dyDescent="0.45">
      <c r="B23" s="133">
        <f t="shared" si="1"/>
        <v>5</v>
      </c>
      <c r="C23" s="126"/>
      <c r="D23" s="126"/>
      <c r="E23" s="134">
        <f t="shared" si="0"/>
        <v>0</v>
      </c>
    </row>
    <row r="24" spans="1:7" x14ac:dyDescent="0.45">
      <c r="B24" s="133">
        <f t="shared" si="1"/>
        <v>6</v>
      </c>
      <c r="C24" s="126"/>
      <c r="D24" s="126"/>
      <c r="E24" s="134">
        <f t="shared" si="0"/>
        <v>0</v>
      </c>
    </row>
    <row r="25" spans="1:7" x14ac:dyDescent="0.45">
      <c r="B25" s="133">
        <f t="shared" si="1"/>
        <v>7</v>
      </c>
      <c r="C25" s="126"/>
      <c r="D25" s="126"/>
      <c r="E25" s="134">
        <f t="shared" si="0"/>
        <v>0</v>
      </c>
    </row>
    <row r="26" spans="1:7" x14ac:dyDescent="0.45">
      <c r="B26" s="133">
        <f t="shared" si="1"/>
        <v>8</v>
      </c>
      <c r="C26" s="126"/>
      <c r="D26" s="126"/>
      <c r="E26" s="134">
        <f t="shared" si="0"/>
        <v>0</v>
      </c>
    </row>
    <row r="27" spans="1:7" x14ac:dyDescent="0.45">
      <c r="B27" s="133">
        <f t="shared" si="1"/>
        <v>9</v>
      </c>
      <c r="C27" s="126"/>
      <c r="D27" s="126"/>
      <c r="E27" s="134">
        <f t="shared" si="0"/>
        <v>0</v>
      </c>
    </row>
    <row r="28" spans="1:7" x14ac:dyDescent="0.45">
      <c r="B28" s="133">
        <f t="shared" si="1"/>
        <v>10</v>
      </c>
      <c r="C28" s="126"/>
      <c r="D28" s="126"/>
      <c r="E28" s="134">
        <f t="shared" si="0"/>
        <v>0</v>
      </c>
    </row>
    <row r="29" spans="1:7" ht="5.2" customHeight="1" x14ac:dyDescent="0.45">
      <c r="B29" s="135"/>
      <c r="C29" s="136"/>
      <c r="D29" s="136"/>
      <c r="E29" s="137"/>
    </row>
    <row r="30" spans="1:7" x14ac:dyDescent="0.45">
      <c r="A30" s="118" t="s">
        <v>197</v>
      </c>
      <c r="B30" s="89" t="s">
        <v>5</v>
      </c>
      <c r="C30" s="90"/>
      <c r="D30" s="90"/>
      <c r="E30" s="138">
        <f>SUM(E19:E28)</f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D0E-88A5-4849-AAFE-6310D7E567D6}">
  <sheetPr>
    <outlinePr summaryBelow="0" summaryRight="0"/>
  </sheetPr>
  <dimension ref="A1:Q10"/>
  <sheetViews>
    <sheetView zoomScaleNormal="100" workbookViewId="0">
      <selection activeCell="F18" sqref="F18"/>
    </sheetView>
  </sheetViews>
  <sheetFormatPr defaultColWidth="9.19921875" defaultRowHeight="15" customHeight="1" x14ac:dyDescent="0.35"/>
  <cols>
    <col min="1" max="1" width="23.73046875" style="35" customWidth="1"/>
    <col min="2" max="11" width="7.73046875" style="35" customWidth="1"/>
    <col min="12" max="17" width="8.796875" style="35" customWidth="1"/>
    <col min="18" max="16384" width="9.19921875" style="35"/>
  </cols>
  <sheetData>
    <row r="1" spans="1:17" ht="15" customHeight="1" x14ac:dyDescent="0.4">
      <c r="A1" s="61" t="s">
        <v>122</v>
      </c>
    </row>
    <row r="2" spans="1:17" ht="15" customHeight="1" x14ac:dyDescent="0.35">
      <c r="A2" s="35" t="s">
        <v>164</v>
      </c>
    </row>
    <row r="3" spans="1:17" ht="15" customHeight="1" x14ac:dyDescent="0.4">
      <c r="A3" s="58"/>
      <c r="B3" s="58" t="s">
        <v>120</v>
      </c>
      <c r="C3" s="58" t="s">
        <v>119</v>
      </c>
      <c r="D3" s="58" t="s">
        <v>118</v>
      </c>
      <c r="E3" s="58" t="s">
        <v>117</v>
      </c>
      <c r="F3" s="58" t="s">
        <v>116</v>
      </c>
      <c r="G3" s="58" t="s">
        <v>115</v>
      </c>
      <c r="H3" s="58" t="s">
        <v>114</v>
      </c>
      <c r="I3" s="58" t="s">
        <v>113</v>
      </c>
      <c r="J3" s="58" t="s">
        <v>112</v>
      </c>
      <c r="K3" s="58" t="s">
        <v>111</v>
      </c>
      <c r="L3" s="58" t="s">
        <v>110</v>
      </c>
      <c r="M3" s="58" t="s">
        <v>109</v>
      </c>
      <c r="N3" s="58" t="s">
        <v>108</v>
      </c>
      <c r="O3" s="58" t="s">
        <v>107</v>
      </c>
      <c r="P3" s="58" t="s">
        <v>106</v>
      </c>
      <c r="Q3" s="58" t="s">
        <v>105</v>
      </c>
    </row>
    <row r="4" spans="1:17" ht="15" customHeight="1" x14ac:dyDescent="0.4">
      <c r="A4" s="58"/>
      <c r="B4" s="58" t="s">
        <v>104</v>
      </c>
      <c r="C4" s="58" t="s">
        <v>103</v>
      </c>
      <c r="D4" s="58" t="s">
        <v>102</v>
      </c>
      <c r="E4" s="58" t="s">
        <v>101</v>
      </c>
      <c r="F4" s="58" t="s">
        <v>100</v>
      </c>
      <c r="G4" s="58" t="s">
        <v>99</v>
      </c>
      <c r="H4" s="58" t="s">
        <v>98</v>
      </c>
      <c r="I4" s="58" t="s">
        <v>97</v>
      </c>
      <c r="J4" s="58" t="s">
        <v>96</v>
      </c>
      <c r="K4" s="58" t="s">
        <v>95</v>
      </c>
      <c r="L4" s="58" t="s">
        <v>94</v>
      </c>
      <c r="M4" s="58" t="s">
        <v>93</v>
      </c>
      <c r="N4" s="58" t="s">
        <v>92</v>
      </c>
      <c r="O4" s="58" t="s">
        <v>91</v>
      </c>
      <c r="P4" s="58" t="s">
        <v>90</v>
      </c>
      <c r="Q4" s="58" t="s">
        <v>89</v>
      </c>
    </row>
    <row r="5" spans="1:17" ht="15" customHeight="1" x14ac:dyDescent="0.35">
      <c r="A5" s="57" t="s">
        <v>47</v>
      </c>
      <c r="B5" s="47">
        <v>4892</v>
      </c>
      <c r="C5" s="47">
        <v>4588</v>
      </c>
      <c r="D5" s="47">
        <v>6736</v>
      </c>
      <c r="E5" s="47">
        <v>10058</v>
      </c>
      <c r="F5" s="47">
        <v>11322</v>
      </c>
      <c r="G5" s="47">
        <v>12690</v>
      </c>
      <c r="H5" s="47">
        <v>35046</v>
      </c>
      <c r="I5" s="47">
        <v>55396</v>
      </c>
      <c r="J5" s="47">
        <v>58321</v>
      </c>
      <c r="K5" s="47">
        <v>52729</v>
      </c>
      <c r="L5" s="47">
        <v>65971.5</v>
      </c>
      <c r="M5" s="47">
        <v>71754.7</v>
      </c>
      <c r="N5" s="47">
        <v>71087</v>
      </c>
      <c r="O5" s="47">
        <v>80757.5</v>
      </c>
      <c r="P5" s="47">
        <v>84731.5</v>
      </c>
      <c r="Q5" s="47">
        <v>89516</v>
      </c>
    </row>
    <row r="6" spans="1:17" ht="15" customHeight="1" x14ac:dyDescent="0.35">
      <c r="A6" s="56" t="s">
        <v>25</v>
      </c>
      <c r="B6" s="40">
        <v>1949</v>
      </c>
      <c r="C6" s="40">
        <v>7331</v>
      </c>
      <c r="D6" s="40">
        <v>9706</v>
      </c>
      <c r="E6" s="40">
        <v>8377</v>
      </c>
      <c r="F6" s="40">
        <v>19402</v>
      </c>
      <c r="G6" s="40">
        <v>25825</v>
      </c>
      <c r="H6" s="40">
        <v>31018</v>
      </c>
      <c r="I6" s="41">
        <v>-9069</v>
      </c>
      <c r="J6" s="41">
        <v>-11569</v>
      </c>
      <c r="K6" s="40">
        <v>36658</v>
      </c>
      <c r="L6" s="40">
        <v>55427.3</v>
      </c>
      <c r="M6" s="40">
        <v>69788.899999999994</v>
      </c>
      <c r="N6" s="40">
        <v>98528.1</v>
      </c>
      <c r="O6" s="40">
        <v>126711</v>
      </c>
      <c r="P6" s="40">
        <v>149789</v>
      </c>
      <c r="Q6" s="40">
        <v>177525</v>
      </c>
    </row>
    <row r="7" spans="1:17" ht="15" customHeight="1" x14ac:dyDescent="0.35">
      <c r="A7" s="57" t="s">
        <v>163</v>
      </c>
      <c r="B7" s="47">
        <v>449</v>
      </c>
      <c r="C7" s="57" t="s">
        <v>81</v>
      </c>
      <c r="D7" s="57" t="s">
        <v>81</v>
      </c>
      <c r="E7" s="57" t="s">
        <v>81</v>
      </c>
      <c r="F7" s="57" t="s">
        <v>81</v>
      </c>
      <c r="G7" s="57" t="s">
        <v>81</v>
      </c>
      <c r="H7" s="57" t="s">
        <v>81</v>
      </c>
      <c r="I7" s="57" t="s">
        <v>81</v>
      </c>
      <c r="J7" s="57" t="s">
        <v>81</v>
      </c>
      <c r="K7" s="57" t="s">
        <v>81</v>
      </c>
      <c r="L7" s="57" t="s">
        <v>81</v>
      </c>
      <c r="M7" s="57" t="s">
        <v>81</v>
      </c>
      <c r="N7" s="57" t="s">
        <v>81</v>
      </c>
      <c r="O7" s="57" t="s">
        <v>81</v>
      </c>
      <c r="P7" s="57" t="s">
        <v>81</v>
      </c>
      <c r="Q7" s="57" t="s">
        <v>81</v>
      </c>
    </row>
    <row r="8" spans="1:17" ht="15" customHeight="1" x14ac:dyDescent="0.35">
      <c r="A8" s="56" t="s">
        <v>162</v>
      </c>
      <c r="B8" s="40">
        <v>6841</v>
      </c>
      <c r="C8" s="40">
        <v>11920</v>
      </c>
      <c r="D8" s="40">
        <v>16442</v>
      </c>
      <c r="E8" s="40">
        <v>18434</v>
      </c>
      <c r="F8" s="40">
        <v>30724</v>
      </c>
      <c r="G8" s="40">
        <v>38515</v>
      </c>
      <c r="H8" s="40">
        <v>66064</v>
      </c>
      <c r="I8" s="40">
        <v>46327</v>
      </c>
      <c r="J8" s="40">
        <v>46752</v>
      </c>
      <c r="K8" s="40">
        <v>84946</v>
      </c>
      <c r="L8" s="40">
        <v>114364</v>
      </c>
      <c r="M8" s="40">
        <v>142436</v>
      </c>
      <c r="N8" s="40">
        <v>172056</v>
      </c>
      <c r="O8" s="40">
        <v>210079</v>
      </c>
      <c r="P8" s="40">
        <v>244061</v>
      </c>
      <c r="Q8" s="40">
        <v>279962</v>
      </c>
    </row>
    <row r="9" spans="1:17" ht="15" customHeight="1" x14ac:dyDescent="0.35">
      <c r="A9" s="57" t="s">
        <v>161</v>
      </c>
      <c r="B9" s="46">
        <v>-5066</v>
      </c>
      <c r="C9" s="46">
        <v>-6450</v>
      </c>
      <c r="D9" s="46">
        <v>-9876</v>
      </c>
      <c r="E9" s="46">
        <v>-27819</v>
      </c>
      <c r="F9" s="46">
        <v>-12369</v>
      </c>
      <c r="G9" s="46">
        <v>-24282</v>
      </c>
      <c r="H9" s="46">
        <v>-59612</v>
      </c>
      <c r="I9" s="46">
        <v>-58154</v>
      </c>
      <c r="J9" s="46">
        <v>-37601</v>
      </c>
      <c r="K9" s="46">
        <v>-49833</v>
      </c>
      <c r="L9" s="46">
        <v>-70567.5</v>
      </c>
      <c r="M9" s="46">
        <v>-71130.600000000006</v>
      </c>
      <c r="N9" s="46">
        <v>-74942</v>
      </c>
      <c r="O9" s="46">
        <v>-79012.800000000003</v>
      </c>
      <c r="P9" s="46">
        <v>-81779.3</v>
      </c>
      <c r="Q9" s="46">
        <v>-85077.6</v>
      </c>
    </row>
    <row r="10" spans="1:17" ht="15" customHeight="1" x14ac:dyDescent="0.35">
      <c r="A10" s="56" t="s">
        <v>160</v>
      </c>
      <c r="B10" s="40">
        <v>4433</v>
      </c>
      <c r="C10" s="41">
        <v>-3763</v>
      </c>
      <c r="D10" s="41">
        <v>-2911</v>
      </c>
      <c r="E10" s="40">
        <v>9861</v>
      </c>
      <c r="F10" s="41">
        <v>-7687</v>
      </c>
      <c r="G10" s="41">
        <v>-10066</v>
      </c>
      <c r="H10" s="41">
        <v>-1104</v>
      </c>
      <c r="I10" s="40">
        <v>6291</v>
      </c>
      <c r="J10" s="40">
        <v>9718</v>
      </c>
      <c r="K10" s="41">
        <v>-15879</v>
      </c>
      <c r="L10" s="41">
        <v>-7287.05</v>
      </c>
      <c r="M10" s="41">
        <v>-4106.33</v>
      </c>
      <c r="N10" s="41">
        <v>-3515.48</v>
      </c>
      <c r="O10" s="41">
        <v>-4625</v>
      </c>
      <c r="P10" s="41">
        <v>-1125</v>
      </c>
      <c r="Q10" s="4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6C64-1E7A-4CE4-BB79-E66857C41381}">
  <sheetPr>
    <outlinePr summaryBelow="0" summaryRight="0"/>
  </sheetPr>
  <dimension ref="A1:L52"/>
  <sheetViews>
    <sheetView zoomScale="90" zoomScaleNormal="90" workbookViewId="0">
      <selection activeCell="A12" sqref="A12"/>
    </sheetView>
  </sheetViews>
  <sheetFormatPr defaultColWidth="9.19921875" defaultRowHeight="15" customHeight="1" outlineLevelRow="3" x14ac:dyDescent="0.35"/>
  <cols>
    <col min="1" max="1" width="53.265625" style="35" customWidth="1"/>
    <col min="2" max="11" width="8" style="35" customWidth="1"/>
    <col min="12" max="12" width="7.796875" style="35" customWidth="1"/>
    <col min="13" max="16384" width="9.19921875" style="35"/>
  </cols>
  <sheetData>
    <row r="1" spans="1:12" ht="15" customHeight="1" x14ac:dyDescent="0.4">
      <c r="A1" s="61" t="s">
        <v>80</v>
      </c>
    </row>
    <row r="2" spans="1:12" ht="15" customHeight="1" x14ac:dyDescent="0.35">
      <c r="A2" s="60" t="s">
        <v>79</v>
      </c>
    </row>
    <row r="3" spans="1:12" ht="15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</row>
    <row r="5" spans="1:12" ht="15" customHeight="1" x14ac:dyDescent="0.4">
      <c r="A5" s="58" t="s">
        <v>78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</row>
    <row r="6" spans="1:12" ht="15" customHeight="1" x14ac:dyDescent="0.4">
      <c r="A6" s="58" t="s">
        <v>77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</row>
    <row r="7" spans="1:12" ht="15" customHeight="1" x14ac:dyDescent="0.4">
      <c r="A7" s="58" t="s">
        <v>76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</row>
    <row r="8" spans="1:12" ht="15" customHeight="1" x14ac:dyDescent="0.4">
      <c r="A8" s="58"/>
      <c r="B8" s="58" t="s">
        <v>75</v>
      </c>
      <c r="C8" s="58" t="s">
        <v>74</v>
      </c>
      <c r="D8" s="58" t="s">
        <v>73</v>
      </c>
      <c r="E8" s="58" t="s">
        <v>72</v>
      </c>
      <c r="F8" s="58" t="s">
        <v>71</v>
      </c>
      <c r="G8" s="58" t="s">
        <v>70</v>
      </c>
      <c r="H8" s="58" t="s">
        <v>69</v>
      </c>
      <c r="I8" s="58" t="s">
        <v>68</v>
      </c>
      <c r="J8" s="58" t="s">
        <v>67</v>
      </c>
      <c r="K8" s="58" t="s">
        <v>66</v>
      </c>
      <c r="L8" s="58" t="s">
        <v>65</v>
      </c>
    </row>
    <row r="9" spans="1:12" ht="15" customHeight="1" x14ac:dyDescent="0.4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 t="s">
        <v>64</v>
      </c>
    </row>
    <row r="10" spans="1:12" ht="15" customHeight="1" x14ac:dyDescent="0.4">
      <c r="A10" s="49" t="s">
        <v>63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</row>
    <row r="11" spans="1:12" ht="15" customHeight="1" outlineLevel="1" x14ac:dyDescent="0.35">
      <c r="A11" s="48" t="s">
        <v>62</v>
      </c>
      <c r="B11" s="46">
        <v>-241</v>
      </c>
      <c r="C11" s="47">
        <v>596</v>
      </c>
      <c r="D11" s="47">
        <v>2371</v>
      </c>
      <c r="E11" s="47">
        <v>3033</v>
      </c>
      <c r="F11" s="47">
        <v>10073</v>
      </c>
      <c r="G11" s="47">
        <v>11588</v>
      </c>
      <c r="H11" s="47">
        <v>21331</v>
      </c>
      <c r="I11" s="47">
        <v>33364</v>
      </c>
      <c r="J11" s="46">
        <v>-2722</v>
      </c>
      <c r="K11" s="47">
        <v>30425</v>
      </c>
      <c r="L11" s="47">
        <v>44419</v>
      </c>
    </row>
    <row r="12" spans="1:12" ht="15" customHeight="1" outlineLevel="1" x14ac:dyDescent="0.4">
      <c r="A12" s="54" t="s">
        <v>61</v>
      </c>
      <c r="B12" s="52">
        <v>4187</v>
      </c>
      <c r="C12" s="52">
        <v>5646</v>
      </c>
      <c r="D12" s="52">
        <v>7482</v>
      </c>
      <c r="E12" s="52">
        <v>10933</v>
      </c>
      <c r="F12" s="52">
        <v>15341</v>
      </c>
      <c r="G12" s="52">
        <v>21789</v>
      </c>
      <c r="H12" s="52">
        <v>25251</v>
      </c>
      <c r="I12" s="52">
        <v>34296</v>
      </c>
      <c r="J12" s="52">
        <v>41921</v>
      </c>
      <c r="K12" s="52">
        <v>48663</v>
      </c>
      <c r="L12" s="52">
        <v>49673</v>
      </c>
    </row>
    <row r="13" spans="1:12" ht="15" customHeight="1" outlineLevel="2" x14ac:dyDescent="0.35">
      <c r="A13" s="39" t="s">
        <v>60</v>
      </c>
      <c r="B13" s="57"/>
      <c r="C13" s="57"/>
      <c r="D13" s="57"/>
      <c r="E13" s="57"/>
      <c r="F13" s="47">
        <v>14866</v>
      </c>
      <c r="G13" s="47">
        <v>21224</v>
      </c>
      <c r="H13" s="47">
        <v>24742</v>
      </c>
      <c r="I13" s="47">
        <v>33784</v>
      </c>
      <c r="J13" s="47">
        <v>41317</v>
      </c>
      <c r="K13" s="47">
        <v>47957</v>
      </c>
      <c r="L13" s="57"/>
    </row>
    <row r="14" spans="1:12" ht="15" customHeight="1" outlineLevel="2" x14ac:dyDescent="0.35">
      <c r="A14" s="42" t="s">
        <v>59</v>
      </c>
      <c r="B14" s="56"/>
      <c r="C14" s="56"/>
      <c r="D14" s="56"/>
      <c r="E14" s="56"/>
      <c r="F14" s="40">
        <v>475</v>
      </c>
      <c r="G14" s="40">
        <v>565</v>
      </c>
      <c r="H14" s="40">
        <v>509</v>
      </c>
      <c r="I14" s="40">
        <v>512</v>
      </c>
      <c r="J14" s="40">
        <v>604</v>
      </c>
      <c r="K14" s="40">
        <v>706</v>
      </c>
      <c r="L14" s="56"/>
    </row>
    <row r="15" spans="1:12" ht="15" customHeight="1" outlineLevel="1" x14ac:dyDescent="0.4">
      <c r="A15" s="44" t="s">
        <v>58</v>
      </c>
      <c r="B15" s="43">
        <v>-316</v>
      </c>
      <c r="C15" s="43">
        <v>81</v>
      </c>
      <c r="D15" s="43">
        <v>-246</v>
      </c>
      <c r="E15" s="43">
        <v>-29</v>
      </c>
      <c r="F15" s="43">
        <v>441</v>
      </c>
      <c r="G15" s="43">
        <v>796</v>
      </c>
      <c r="H15" s="43">
        <v>-554</v>
      </c>
      <c r="I15" s="43">
        <v>-310</v>
      </c>
      <c r="J15" s="43">
        <v>-8148</v>
      </c>
      <c r="K15" s="43">
        <v>-5876</v>
      </c>
      <c r="L15" s="43">
        <v>-4383</v>
      </c>
    </row>
    <row r="16" spans="1:12" ht="15" customHeight="1" outlineLevel="2" x14ac:dyDescent="0.35">
      <c r="A16" s="42" t="s">
        <v>57</v>
      </c>
      <c r="B16" s="41">
        <v>-316</v>
      </c>
      <c r="C16" s="40">
        <v>81</v>
      </c>
      <c r="D16" s="41">
        <v>-246</v>
      </c>
      <c r="E16" s="41">
        <v>-29</v>
      </c>
      <c r="F16" s="40">
        <v>441</v>
      </c>
      <c r="G16" s="40">
        <v>796</v>
      </c>
      <c r="H16" s="41">
        <v>-554</v>
      </c>
      <c r="I16" s="41">
        <v>-310</v>
      </c>
      <c r="J16" s="41">
        <v>-8148</v>
      </c>
      <c r="K16" s="41">
        <v>-5876</v>
      </c>
      <c r="L16" s="41">
        <v>-4383</v>
      </c>
    </row>
    <row r="17" spans="1:12" ht="15" customHeight="1" outlineLevel="1" x14ac:dyDescent="0.35">
      <c r="A17" s="48" t="s">
        <v>31</v>
      </c>
      <c r="B17" s="47">
        <v>2238</v>
      </c>
      <c r="C17" s="47">
        <v>3040</v>
      </c>
      <c r="D17" s="47">
        <v>2920</v>
      </c>
      <c r="E17" s="47">
        <v>4670</v>
      </c>
      <c r="F17" s="47">
        <v>5911</v>
      </c>
      <c r="G17" s="47">
        <v>6779</v>
      </c>
      <c r="H17" s="47">
        <v>6555</v>
      </c>
      <c r="I17" s="46">
        <v>-1412</v>
      </c>
      <c r="J17" s="47">
        <v>36587</v>
      </c>
      <c r="K17" s="47">
        <v>23275</v>
      </c>
      <c r="L17" s="47">
        <v>25141</v>
      </c>
    </row>
    <row r="18" spans="1:12" ht="15" customHeight="1" outlineLevel="1" x14ac:dyDescent="0.35">
      <c r="A18" s="45" t="s">
        <v>56</v>
      </c>
      <c r="B18" s="40">
        <v>5868</v>
      </c>
      <c r="C18" s="40">
        <v>9363</v>
      </c>
      <c r="D18" s="40">
        <v>12527</v>
      </c>
      <c r="E18" s="40">
        <v>18607</v>
      </c>
      <c r="F18" s="40">
        <v>31766</v>
      </c>
      <c r="G18" s="40">
        <v>40952</v>
      </c>
      <c r="H18" s="40">
        <v>52583</v>
      </c>
      <c r="I18" s="40">
        <v>65938</v>
      </c>
      <c r="J18" s="40">
        <v>67638</v>
      </c>
      <c r="K18" s="40">
        <v>96487</v>
      </c>
      <c r="L18" s="40">
        <v>114850</v>
      </c>
    </row>
    <row r="19" spans="1:12" ht="15" customHeight="1" outlineLevel="1" x14ac:dyDescent="0.4">
      <c r="A19" s="44" t="s">
        <v>55</v>
      </c>
      <c r="B19" s="43">
        <v>974</v>
      </c>
      <c r="C19" s="43">
        <v>2557</v>
      </c>
      <c r="D19" s="43">
        <v>3916</v>
      </c>
      <c r="E19" s="43">
        <v>-173</v>
      </c>
      <c r="F19" s="43">
        <v>-1043</v>
      </c>
      <c r="G19" s="43">
        <v>-2438</v>
      </c>
      <c r="H19" s="43">
        <v>13481</v>
      </c>
      <c r="I19" s="43">
        <v>-19611</v>
      </c>
      <c r="J19" s="43">
        <v>-20886</v>
      </c>
      <c r="K19" s="43">
        <v>-11541</v>
      </c>
      <c r="L19" s="43">
        <v>-6898</v>
      </c>
    </row>
    <row r="20" spans="1:12" ht="15" customHeight="1" outlineLevel="2" x14ac:dyDescent="0.35">
      <c r="A20" s="42" t="s">
        <v>54</v>
      </c>
      <c r="B20" s="41">
        <v>-1039</v>
      </c>
      <c r="C20" s="41">
        <v>-1755</v>
      </c>
      <c r="D20" s="41">
        <v>-3367</v>
      </c>
      <c r="E20" s="41">
        <v>-4786</v>
      </c>
      <c r="F20" s="41">
        <v>-4615</v>
      </c>
      <c r="G20" s="41">
        <v>-7681</v>
      </c>
      <c r="H20" s="41">
        <v>-8169</v>
      </c>
      <c r="I20" s="41">
        <v>-18163</v>
      </c>
      <c r="J20" s="41">
        <v>-21897</v>
      </c>
      <c r="K20" s="41">
        <v>-8348</v>
      </c>
      <c r="L20" s="41">
        <v>-3227</v>
      </c>
    </row>
    <row r="21" spans="1:12" ht="15" customHeight="1" outlineLevel="2" x14ac:dyDescent="0.35">
      <c r="A21" s="39" t="s">
        <v>53</v>
      </c>
      <c r="B21" s="46">
        <v>-1193</v>
      </c>
      <c r="C21" s="46">
        <v>-2187</v>
      </c>
      <c r="D21" s="46">
        <v>-1426</v>
      </c>
      <c r="E21" s="46">
        <v>-3583</v>
      </c>
      <c r="F21" s="46">
        <v>-1314</v>
      </c>
      <c r="G21" s="46">
        <v>-3278</v>
      </c>
      <c r="H21" s="46">
        <v>-2849</v>
      </c>
      <c r="I21" s="46">
        <v>-9487</v>
      </c>
      <c r="J21" s="46">
        <v>-2592</v>
      </c>
      <c r="K21" s="47">
        <v>1449</v>
      </c>
      <c r="L21" s="47">
        <v>2142</v>
      </c>
    </row>
    <row r="22" spans="1:12" ht="15" customHeight="1" outlineLevel="2" x14ac:dyDescent="0.35">
      <c r="A22" s="42" t="s">
        <v>52</v>
      </c>
      <c r="B22" s="40">
        <v>1759</v>
      </c>
      <c r="C22" s="40">
        <v>4294</v>
      </c>
      <c r="D22" s="40">
        <v>5030</v>
      </c>
      <c r="E22" s="40">
        <v>7175</v>
      </c>
      <c r="F22" s="40">
        <v>3263</v>
      </c>
      <c r="G22" s="40">
        <v>8193</v>
      </c>
      <c r="H22" s="40">
        <v>17480</v>
      </c>
      <c r="I22" s="40">
        <v>3602</v>
      </c>
      <c r="J22" s="40">
        <v>2945</v>
      </c>
      <c r="K22" s="40">
        <v>5473</v>
      </c>
      <c r="L22" s="40">
        <v>8431</v>
      </c>
    </row>
    <row r="23" spans="1:12" ht="15" customHeight="1" outlineLevel="2" x14ac:dyDescent="0.35">
      <c r="A23" s="39" t="s">
        <v>51</v>
      </c>
      <c r="B23" s="47">
        <v>706</v>
      </c>
      <c r="C23" s="47">
        <v>913</v>
      </c>
      <c r="D23" s="47">
        <v>1724</v>
      </c>
      <c r="E23" s="47">
        <v>283</v>
      </c>
      <c r="F23" s="47">
        <v>472</v>
      </c>
      <c r="G23" s="46">
        <v>-1383</v>
      </c>
      <c r="H23" s="47">
        <v>5754</v>
      </c>
      <c r="I23" s="47">
        <v>2123</v>
      </c>
      <c r="J23" s="46">
        <v>-1558</v>
      </c>
      <c r="K23" s="46">
        <v>-2428</v>
      </c>
      <c r="L23" s="46">
        <v>-1802</v>
      </c>
    </row>
    <row r="24" spans="1:12" ht="15" customHeight="1" outlineLevel="2" x14ac:dyDescent="0.35">
      <c r="A24" s="42" t="s">
        <v>50</v>
      </c>
      <c r="B24" s="40">
        <v>741</v>
      </c>
      <c r="C24" s="40">
        <v>1292</v>
      </c>
      <c r="D24" s="40">
        <v>1955</v>
      </c>
      <c r="E24" s="40">
        <v>738</v>
      </c>
      <c r="F24" s="40">
        <v>1151</v>
      </c>
      <c r="G24" s="40">
        <v>1711</v>
      </c>
      <c r="H24" s="40">
        <v>1265</v>
      </c>
      <c r="I24" s="40">
        <v>2314</v>
      </c>
      <c r="J24" s="40">
        <v>2216</v>
      </c>
      <c r="K24" s="41">
        <v>-7687</v>
      </c>
      <c r="L24" s="41">
        <v>-12442</v>
      </c>
    </row>
    <row r="25" spans="1:12" ht="15" customHeight="1" outlineLevel="1" x14ac:dyDescent="0.35">
      <c r="A25" s="48" t="s">
        <v>49</v>
      </c>
      <c r="B25" s="47">
        <v>6842</v>
      </c>
      <c r="C25" s="47">
        <v>11920</v>
      </c>
      <c r="D25" s="47">
        <v>16443</v>
      </c>
      <c r="E25" s="47">
        <v>18434</v>
      </c>
      <c r="F25" s="47">
        <v>30723</v>
      </c>
      <c r="G25" s="47">
        <v>38514</v>
      </c>
      <c r="H25" s="47">
        <v>66064</v>
      </c>
      <c r="I25" s="47">
        <v>46327</v>
      </c>
      <c r="J25" s="47">
        <v>46752</v>
      </c>
      <c r="K25" s="47">
        <v>84946</v>
      </c>
      <c r="L25" s="47">
        <v>107952</v>
      </c>
    </row>
    <row r="26" spans="1:12" ht="15" customHeight="1" x14ac:dyDescent="0.4">
      <c r="A26" s="49" t="s">
        <v>48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2" ht="15" customHeight="1" outlineLevel="1" x14ac:dyDescent="0.4">
      <c r="A27" s="44" t="s">
        <v>47</v>
      </c>
      <c r="B27" s="43">
        <v>-4893</v>
      </c>
      <c r="C27" s="43">
        <v>-4589</v>
      </c>
      <c r="D27" s="43">
        <v>-6737</v>
      </c>
      <c r="E27" s="43">
        <v>-11955</v>
      </c>
      <c r="F27" s="43">
        <v>-13427</v>
      </c>
      <c r="G27" s="43">
        <v>-16861</v>
      </c>
      <c r="H27" s="43">
        <v>-40140</v>
      </c>
      <c r="I27" s="43">
        <v>-61053</v>
      </c>
      <c r="J27" s="43">
        <v>-63645</v>
      </c>
      <c r="K27" s="43">
        <v>-52729</v>
      </c>
      <c r="L27" s="43">
        <v>-59612</v>
      </c>
    </row>
    <row r="28" spans="1:12" ht="15" customHeight="1" outlineLevel="2" x14ac:dyDescent="0.35">
      <c r="A28" s="42" t="s">
        <v>46</v>
      </c>
      <c r="B28" s="41">
        <v>-4893</v>
      </c>
      <c r="C28" s="41">
        <v>-4589</v>
      </c>
      <c r="D28" s="41">
        <v>-6737</v>
      </c>
      <c r="E28" s="41">
        <v>-11955</v>
      </c>
      <c r="F28" s="41">
        <v>-13427</v>
      </c>
      <c r="G28" s="41">
        <v>-16861</v>
      </c>
      <c r="H28" s="41">
        <v>-40140</v>
      </c>
      <c r="I28" s="41">
        <v>-61053</v>
      </c>
      <c r="J28" s="41">
        <v>-63645</v>
      </c>
      <c r="K28" s="41">
        <v>-52729</v>
      </c>
      <c r="L28" s="41">
        <v>-59612</v>
      </c>
    </row>
    <row r="29" spans="1:12" ht="15" customHeight="1" outlineLevel="1" x14ac:dyDescent="0.35">
      <c r="A29" s="48" t="s">
        <v>45</v>
      </c>
      <c r="B29" s="46">
        <v>-979</v>
      </c>
      <c r="C29" s="46">
        <v>-795</v>
      </c>
      <c r="D29" s="46">
        <v>-116</v>
      </c>
      <c r="E29" s="46">
        <v>-13972</v>
      </c>
      <c r="F29" s="46">
        <v>-2186</v>
      </c>
      <c r="G29" s="46">
        <v>-2461</v>
      </c>
      <c r="H29" s="46">
        <v>-2325</v>
      </c>
      <c r="I29" s="46">
        <v>-1985</v>
      </c>
      <c r="J29" s="46">
        <v>-8316</v>
      </c>
      <c r="K29" s="46">
        <v>-5839</v>
      </c>
      <c r="L29" s="46">
        <v>-5935</v>
      </c>
    </row>
    <row r="30" spans="1:12" ht="15" customHeight="1" outlineLevel="1" x14ac:dyDescent="0.35">
      <c r="A30" s="45" t="s">
        <v>44</v>
      </c>
      <c r="B30" s="40">
        <v>0</v>
      </c>
      <c r="C30" s="40">
        <v>0</v>
      </c>
      <c r="D30" s="40">
        <v>0</v>
      </c>
      <c r="E30" s="40">
        <v>1897</v>
      </c>
      <c r="F30" s="40">
        <v>2104</v>
      </c>
      <c r="G30" s="40">
        <v>4172</v>
      </c>
      <c r="H30" s="40">
        <v>5096</v>
      </c>
      <c r="I30" s="40">
        <v>5657</v>
      </c>
      <c r="J30" s="40">
        <v>5324</v>
      </c>
      <c r="K30" s="40">
        <v>4596</v>
      </c>
      <c r="L30" s="40">
        <v>4633</v>
      </c>
    </row>
    <row r="31" spans="1:12" ht="15" customHeight="1" outlineLevel="1" x14ac:dyDescent="0.4">
      <c r="A31" s="44" t="s">
        <v>43</v>
      </c>
      <c r="B31" s="43">
        <v>807</v>
      </c>
      <c r="C31" s="43">
        <v>-1066</v>
      </c>
      <c r="D31" s="43">
        <v>-3023</v>
      </c>
      <c r="E31" s="43">
        <v>-3789</v>
      </c>
      <c r="F31" s="43">
        <v>1140</v>
      </c>
      <c r="G31" s="43">
        <v>-9131</v>
      </c>
      <c r="H31" s="43">
        <v>-22242</v>
      </c>
      <c r="I31" s="43">
        <v>-773</v>
      </c>
      <c r="J31" s="43">
        <v>29036</v>
      </c>
      <c r="K31" s="43">
        <v>4139</v>
      </c>
      <c r="L31" s="43">
        <v>-3440</v>
      </c>
    </row>
    <row r="32" spans="1:12" ht="15" customHeight="1" outlineLevel="2" x14ac:dyDescent="0.35">
      <c r="A32" s="42" t="s">
        <v>42</v>
      </c>
      <c r="B32" s="40">
        <v>2542</v>
      </c>
      <c r="C32" s="40">
        <v>4091</v>
      </c>
      <c r="D32" s="40">
        <v>7756</v>
      </c>
      <c r="E32" s="40">
        <v>13777</v>
      </c>
      <c r="F32" s="40">
        <v>7100</v>
      </c>
      <c r="G32" s="40">
        <v>31812</v>
      </c>
      <c r="H32" s="40">
        <v>72479</v>
      </c>
      <c r="I32" s="40">
        <v>60157</v>
      </c>
      <c r="J32" s="40">
        <v>2565</v>
      </c>
      <c r="K32" s="40">
        <v>1488</v>
      </c>
      <c r="L32" s="40">
        <v>11058</v>
      </c>
    </row>
    <row r="33" spans="1:12" ht="15" customHeight="1" outlineLevel="2" x14ac:dyDescent="0.35">
      <c r="A33" s="39" t="s">
        <v>41</v>
      </c>
      <c r="B33" s="47">
        <v>3349</v>
      </c>
      <c r="C33" s="47">
        <v>3025</v>
      </c>
      <c r="D33" s="47">
        <v>4733</v>
      </c>
      <c r="E33" s="47">
        <v>9988</v>
      </c>
      <c r="F33" s="47">
        <v>8240</v>
      </c>
      <c r="G33" s="47">
        <v>22681</v>
      </c>
      <c r="H33" s="47">
        <v>50237</v>
      </c>
      <c r="I33" s="47">
        <v>59384</v>
      </c>
      <c r="J33" s="47">
        <v>31601</v>
      </c>
      <c r="K33" s="47">
        <v>5627</v>
      </c>
      <c r="L33" s="47">
        <v>7618</v>
      </c>
    </row>
    <row r="34" spans="1:12" ht="15" customHeight="1" outlineLevel="1" x14ac:dyDescent="0.35">
      <c r="A34" s="45" t="s">
        <v>40</v>
      </c>
      <c r="B34" s="41">
        <v>-5065</v>
      </c>
      <c r="C34" s="41">
        <v>-6450</v>
      </c>
      <c r="D34" s="41">
        <v>-9876</v>
      </c>
      <c r="E34" s="41">
        <v>-27819</v>
      </c>
      <c r="F34" s="41">
        <v>-12369</v>
      </c>
      <c r="G34" s="41">
        <v>-24281</v>
      </c>
      <c r="H34" s="41">
        <v>-59611</v>
      </c>
      <c r="I34" s="41">
        <v>-58154</v>
      </c>
      <c r="J34" s="41">
        <v>-37601</v>
      </c>
      <c r="K34" s="41">
        <v>-49833</v>
      </c>
      <c r="L34" s="41">
        <v>-64354</v>
      </c>
    </row>
    <row r="35" spans="1:12" ht="15" customHeight="1" x14ac:dyDescent="0.4">
      <c r="A35" s="55" t="s">
        <v>39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</row>
    <row r="36" spans="1:12" ht="15" customHeight="1" outlineLevel="1" x14ac:dyDescent="0.4">
      <c r="A36" s="54" t="s">
        <v>38</v>
      </c>
      <c r="B36" s="52">
        <v>0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-6000</v>
      </c>
      <c r="K36" s="52">
        <v>0</v>
      </c>
      <c r="L36" s="52">
        <v>0</v>
      </c>
    </row>
    <row r="37" spans="1:12" ht="15" customHeight="1" outlineLevel="2" x14ac:dyDescent="0.35">
      <c r="A37" s="39" t="s">
        <v>37</v>
      </c>
      <c r="B37" s="47">
        <v>0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6">
        <v>-6000</v>
      </c>
      <c r="K37" s="47">
        <v>0</v>
      </c>
      <c r="L37" s="47">
        <v>0</v>
      </c>
    </row>
    <row r="38" spans="1:12" ht="15" customHeight="1" outlineLevel="1" x14ac:dyDescent="0.4">
      <c r="A38" s="54" t="s">
        <v>36</v>
      </c>
      <c r="B38" s="52">
        <v>4426</v>
      </c>
      <c r="C38" s="52">
        <v>-3882</v>
      </c>
      <c r="D38" s="52">
        <v>-3740</v>
      </c>
      <c r="E38" s="52">
        <v>9860</v>
      </c>
      <c r="F38" s="52">
        <v>-7686</v>
      </c>
      <c r="G38" s="52">
        <v>-10066</v>
      </c>
      <c r="H38" s="52">
        <v>-1104</v>
      </c>
      <c r="I38" s="52">
        <v>6291</v>
      </c>
      <c r="J38" s="52">
        <v>15718</v>
      </c>
      <c r="K38" s="52">
        <v>-15879</v>
      </c>
      <c r="L38" s="52">
        <v>-21440</v>
      </c>
    </row>
    <row r="39" spans="1:12" ht="15" customHeight="1" outlineLevel="2" x14ac:dyDescent="0.35">
      <c r="A39" s="39" t="s">
        <v>35</v>
      </c>
      <c r="B39" s="47">
        <v>0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619</v>
      </c>
      <c r="I39" s="47">
        <v>203</v>
      </c>
      <c r="J39" s="47">
        <v>3999</v>
      </c>
      <c r="K39" s="46">
        <v>-7548</v>
      </c>
      <c r="L39" s="46">
        <v>-13253</v>
      </c>
    </row>
    <row r="40" spans="1:12" ht="15" customHeight="1" outlineLevel="2" x14ac:dyDescent="0.4">
      <c r="A40" s="53" t="s">
        <v>34</v>
      </c>
      <c r="B40" s="52">
        <v>4426</v>
      </c>
      <c r="C40" s="52">
        <v>-3882</v>
      </c>
      <c r="D40" s="52">
        <v>-3740</v>
      </c>
      <c r="E40" s="52">
        <v>9860</v>
      </c>
      <c r="F40" s="52">
        <v>-7686</v>
      </c>
      <c r="G40" s="52">
        <v>-10066</v>
      </c>
      <c r="H40" s="52">
        <v>-1723</v>
      </c>
      <c r="I40" s="52">
        <v>6088</v>
      </c>
      <c r="J40" s="52">
        <v>11719</v>
      </c>
      <c r="K40" s="52">
        <v>-8331</v>
      </c>
      <c r="L40" s="52">
        <v>-8187</v>
      </c>
    </row>
    <row r="41" spans="1:12" ht="15" customHeight="1" outlineLevel="3" x14ac:dyDescent="0.35">
      <c r="A41" s="51" t="s">
        <v>33</v>
      </c>
      <c r="B41" s="47">
        <v>6359</v>
      </c>
      <c r="C41" s="47">
        <v>353</v>
      </c>
      <c r="D41" s="47">
        <v>621</v>
      </c>
      <c r="E41" s="47">
        <v>16231</v>
      </c>
      <c r="F41" s="47">
        <v>768</v>
      </c>
      <c r="G41" s="47">
        <v>2273</v>
      </c>
      <c r="H41" s="47">
        <v>10525</v>
      </c>
      <c r="I41" s="47">
        <v>19003</v>
      </c>
      <c r="J41" s="47">
        <v>21166</v>
      </c>
      <c r="K41" s="47">
        <v>0</v>
      </c>
      <c r="L41" s="47">
        <v>0</v>
      </c>
    </row>
    <row r="42" spans="1:12" ht="15" customHeight="1" outlineLevel="3" x14ac:dyDescent="0.35">
      <c r="A42" s="50" t="s">
        <v>32</v>
      </c>
      <c r="B42" s="41">
        <v>-1933</v>
      </c>
      <c r="C42" s="41">
        <v>-4235</v>
      </c>
      <c r="D42" s="41">
        <v>-4361</v>
      </c>
      <c r="E42" s="41">
        <v>-6371</v>
      </c>
      <c r="F42" s="41">
        <v>-8454</v>
      </c>
      <c r="G42" s="41">
        <v>-12339</v>
      </c>
      <c r="H42" s="41">
        <v>-12248</v>
      </c>
      <c r="I42" s="41">
        <v>-12915</v>
      </c>
      <c r="J42" s="41">
        <v>-9447</v>
      </c>
      <c r="K42" s="41">
        <v>-8331</v>
      </c>
      <c r="L42" s="41">
        <v>-8187</v>
      </c>
    </row>
    <row r="43" spans="1:12" ht="15" customHeight="1" outlineLevel="1" x14ac:dyDescent="0.4">
      <c r="A43" s="44" t="s">
        <v>31</v>
      </c>
      <c r="B43" s="43">
        <v>6</v>
      </c>
      <c r="C43" s="43">
        <v>119</v>
      </c>
      <c r="D43" s="43">
        <v>829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</row>
    <row r="44" spans="1:12" ht="15" customHeight="1" outlineLevel="2" x14ac:dyDescent="0.35">
      <c r="A44" s="42" t="s">
        <v>30</v>
      </c>
      <c r="B44" s="40">
        <v>6</v>
      </c>
      <c r="C44" s="40">
        <v>119</v>
      </c>
      <c r="D44" s="40">
        <v>829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</row>
    <row r="45" spans="1:12" ht="15" customHeight="1" outlineLevel="1" x14ac:dyDescent="0.35">
      <c r="A45" s="48" t="s">
        <v>29</v>
      </c>
      <c r="B45" s="47">
        <v>4432</v>
      </c>
      <c r="C45" s="46">
        <v>-3763</v>
      </c>
      <c r="D45" s="46">
        <v>-2911</v>
      </c>
      <c r="E45" s="47">
        <v>9860</v>
      </c>
      <c r="F45" s="46">
        <v>-7686</v>
      </c>
      <c r="G45" s="46">
        <v>-10066</v>
      </c>
      <c r="H45" s="46">
        <v>-1104</v>
      </c>
      <c r="I45" s="47">
        <v>6291</v>
      </c>
      <c r="J45" s="47">
        <v>9718</v>
      </c>
      <c r="K45" s="46">
        <v>-15879</v>
      </c>
      <c r="L45" s="46">
        <v>-21440</v>
      </c>
    </row>
    <row r="46" spans="1:12" ht="15" customHeight="1" x14ac:dyDescent="0.4">
      <c r="A46" s="49" t="s">
        <v>28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spans="1:12" ht="15" customHeight="1" outlineLevel="1" x14ac:dyDescent="0.35">
      <c r="A47" s="48" t="s">
        <v>27</v>
      </c>
      <c r="B47" s="46">
        <v>-310</v>
      </c>
      <c r="C47" s="46">
        <v>-374</v>
      </c>
      <c r="D47" s="46">
        <v>-212</v>
      </c>
      <c r="E47" s="47">
        <v>713</v>
      </c>
      <c r="F47" s="46">
        <v>-351</v>
      </c>
      <c r="G47" s="47">
        <v>70</v>
      </c>
      <c r="H47" s="47">
        <v>618</v>
      </c>
      <c r="I47" s="46">
        <v>-364</v>
      </c>
      <c r="J47" s="46">
        <v>-1093</v>
      </c>
      <c r="K47" s="47">
        <v>403</v>
      </c>
      <c r="L47" s="46">
        <v>-552</v>
      </c>
    </row>
    <row r="48" spans="1:12" ht="15" customHeight="1" outlineLevel="1" x14ac:dyDescent="0.35">
      <c r="A48" s="45" t="s">
        <v>26</v>
      </c>
      <c r="B48" s="40">
        <v>5899</v>
      </c>
      <c r="C48" s="40">
        <v>1333</v>
      </c>
      <c r="D48" s="40">
        <v>3444</v>
      </c>
      <c r="E48" s="40">
        <v>1188</v>
      </c>
      <c r="F48" s="40">
        <v>10317</v>
      </c>
      <c r="G48" s="40">
        <v>4237</v>
      </c>
      <c r="H48" s="40">
        <v>5967</v>
      </c>
      <c r="I48" s="41">
        <v>-5900</v>
      </c>
      <c r="J48" s="40">
        <v>17776</v>
      </c>
      <c r="K48" s="40">
        <v>19637</v>
      </c>
      <c r="L48" s="40">
        <v>21606</v>
      </c>
    </row>
    <row r="49" spans="1:12" ht="15" customHeight="1" outlineLevel="1" x14ac:dyDescent="0.4">
      <c r="A49" s="44" t="s">
        <v>25</v>
      </c>
      <c r="B49" s="43">
        <v>1949</v>
      </c>
      <c r="C49" s="43">
        <v>7331</v>
      </c>
      <c r="D49" s="43">
        <v>9706</v>
      </c>
      <c r="E49" s="43">
        <v>6479</v>
      </c>
      <c r="F49" s="43">
        <v>17296</v>
      </c>
      <c r="G49" s="43">
        <v>21653</v>
      </c>
      <c r="H49" s="43">
        <v>25924</v>
      </c>
      <c r="I49" s="43">
        <v>-14726</v>
      </c>
      <c r="J49" s="43">
        <v>-16893</v>
      </c>
      <c r="K49" s="43">
        <v>32217</v>
      </c>
      <c r="L49" s="43">
        <v>48340</v>
      </c>
    </row>
    <row r="50" spans="1:12" ht="15" customHeight="1" outlineLevel="2" x14ac:dyDescent="0.35">
      <c r="A50" s="42" t="s">
        <v>24</v>
      </c>
      <c r="B50" s="40">
        <v>0.21093100000000001</v>
      </c>
      <c r="C50" s="40">
        <v>0.76844900000000005</v>
      </c>
      <c r="D50" s="40">
        <v>1.002686</v>
      </c>
      <c r="E50" s="40">
        <v>0.65709899999999999</v>
      </c>
      <c r="F50" s="40">
        <v>1.7296</v>
      </c>
      <c r="G50" s="40">
        <v>2.1481150000000002</v>
      </c>
      <c r="H50" s="40">
        <v>2.541569</v>
      </c>
      <c r="I50" s="41">
        <v>-1.4297089999999999</v>
      </c>
      <c r="J50" s="41">
        <v>-1.657964</v>
      </c>
      <c r="K50" s="40">
        <v>3.0706250000000002</v>
      </c>
      <c r="L50" s="40">
        <v>4.5143820000000003</v>
      </c>
    </row>
    <row r="51" spans="1:12" ht="15" customHeight="1" outlineLevel="2" x14ac:dyDescent="0.35">
      <c r="A51" s="39" t="s">
        <v>23</v>
      </c>
      <c r="B51" s="37">
        <v>1.3593090000000001</v>
      </c>
      <c r="C51" s="37">
        <v>2.2738870000000002</v>
      </c>
      <c r="D51" s="37">
        <v>2.674293</v>
      </c>
      <c r="E51" s="37">
        <v>1.123756</v>
      </c>
      <c r="F51" s="37">
        <v>2.3031079999999999</v>
      </c>
      <c r="G51" s="37">
        <v>2.3250009999999999</v>
      </c>
      <c r="H51" s="37">
        <v>1.5607139999999999</v>
      </c>
      <c r="I51" s="38">
        <v>-0.85756600000000005</v>
      </c>
      <c r="J51" s="38">
        <v>-1.973767</v>
      </c>
      <c r="K51" s="37">
        <v>2.0209459999999999</v>
      </c>
      <c r="L51" s="37">
        <v>2.3360319999999999</v>
      </c>
    </row>
    <row r="52" spans="1:12" ht="15" customHeight="1" x14ac:dyDescent="0.35">
      <c r="A52" s="36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4550-1B80-473C-90AB-EC1056DFCD6C}">
  <sheetPr>
    <outlinePr summaryBelow="0" summaryRight="0"/>
  </sheetPr>
  <dimension ref="A1:Q21"/>
  <sheetViews>
    <sheetView zoomScale="97" zoomScaleNormal="97" workbookViewId="0">
      <selection activeCell="F18" sqref="F18"/>
    </sheetView>
  </sheetViews>
  <sheetFormatPr defaultColWidth="9.19921875" defaultRowHeight="15" customHeight="1" outlineLevelRow="1" x14ac:dyDescent="0.35"/>
  <cols>
    <col min="1" max="1" width="23" style="35" customWidth="1"/>
    <col min="2" max="2" width="7.73046875" style="35" customWidth="1"/>
    <col min="3" max="11" width="7.796875" style="35" customWidth="1"/>
    <col min="12" max="16" width="8.796875" style="35" customWidth="1"/>
    <col min="17" max="17" width="9.46484375" style="35" customWidth="1"/>
    <col min="18" max="16384" width="9.19921875" style="35"/>
  </cols>
  <sheetData>
    <row r="1" spans="1:17" ht="15" customHeight="1" x14ac:dyDescent="0.4">
      <c r="A1" s="61" t="s">
        <v>122</v>
      </c>
    </row>
    <row r="2" spans="1:17" ht="15" customHeight="1" x14ac:dyDescent="0.35">
      <c r="A2" s="35" t="s">
        <v>121</v>
      </c>
    </row>
    <row r="3" spans="1:17" ht="15" customHeight="1" x14ac:dyDescent="0.4">
      <c r="A3" s="58"/>
      <c r="B3" s="58" t="s">
        <v>120</v>
      </c>
      <c r="C3" s="58" t="s">
        <v>119</v>
      </c>
      <c r="D3" s="58" t="s">
        <v>118</v>
      </c>
      <c r="E3" s="58" t="s">
        <v>117</v>
      </c>
      <c r="F3" s="58" t="s">
        <v>116</v>
      </c>
      <c r="G3" s="58" t="s">
        <v>115</v>
      </c>
      <c r="H3" s="58" t="s">
        <v>114</v>
      </c>
      <c r="I3" s="58" t="s">
        <v>113</v>
      </c>
      <c r="J3" s="58" t="s">
        <v>112</v>
      </c>
      <c r="K3" s="58" t="s">
        <v>111</v>
      </c>
      <c r="L3" s="58" t="s">
        <v>110</v>
      </c>
      <c r="M3" s="58" t="s">
        <v>109</v>
      </c>
      <c r="N3" s="58" t="s">
        <v>108</v>
      </c>
      <c r="O3" s="58" t="s">
        <v>107</v>
      </c>
      <c r="P3" s="58" t="s">
        <v>106</v>
      </c>
      <c r="Q3" s="58" t="s">
        <v>105</v>
      </c>
    </row>
    <row r="4" spans="1:17" ht="15" customHeight="1" x14ac:dyDescent="0.4">
      <c r="A4" s="58"/>
      <c r="B4" s="58" t="s">
        <v>104</v>
      </c>
      <c r="C4" s="58" t="s">
        <v>103</v>
      </c>
      <c r="D4" s="58" t="s">
        <v>102</v>
      </c>
      <c r="E4" s="58" t="s">
        <v>101</v>
      </c>
      <c r="F4" s="58" t="s">
        <v>100</v>
      </c>
      <c r="G4" s="58" t="s">
        <v>99</v>
      </c>
      <c r="H4" s="58" t="s">
        <v>98</v>
      </c>
      <c r="I4" s="58" t="s">
        <v>97</v>
      </c>
      <c r="J4" s="58" t="s">
        <v>96</v>
      </c>
      <c r="K4" s="58" t="s">
        <v>95</v>
      </c>
      <c r="L4" s="58" t="s">
        <v>94</v>
      </c>
      <c r="M4" s="58" t="s">
        <v>93</v>
      </c>
      <c r="N4" s="58" t="s">
        <v>92</v>
      </c>
      <c r="O4" s="58" t="s">
        <v>91</v>
      </c>
      <c r="P4" s="58" t="s">
        <v>90</v>
      </c>
      <c r="Q4" s="58" t="s">
        <v>89</v>
      </c>
    </row>
    <row r="5" spans="1:17" ht="15" customHeight="1" x14ac:dyDescent="0.4">
      <c r="A5" s="69" t="s">
        <v>88</v>
      </c>
      <c r="B5" s="68">
        <v>88988</v>
      </c>
      <c r="C5" s="68">
        <v>107006</v>
      </c>
      <c r="D5" s="68">
        <v>135987</v>
      </c>
      <c r="E5" s="68">
        <v>177866</v>
      </c>
      <c r="F5" s="68">
        <v>232887</v>
      </c>
      <c r="G5" s="68">
        <v>280522</v>
      </c>
      <c r="H5" s="68">
        <v>386064</v>
      </c>
      <c r="I5" s="68">
        <v>469822</v>
      </c>
      <c r="J5" s="68">
        <v>513983</v>
      </c>
      <c r="K5" s="68">
        <v>574785</v>
      </c>
      <c r="L5" s="68">
        <v>635548</v>
      </c>
      <c r="M5" s="68">
        <v>704509</v>
      </c>
      <c r="N5" s="68">
        <v>779688</v>
      </c>
      <c r="O5" s="68">
        <v>858282</v>
      </c>
      <c r="P5" s="68">
        <v>942468</v>
      </c>
      <c r="Q5" s="68">
        <v>1029190</v>
      </c>
    </row>
    <row r="6" spans="1:17" ht="15" customHeight="1" collapsed="1" x14ac:dyDescent="0.35">
      <c r="A6" s="56" t="s">
        <v>2</v>
      </c>
      <c r="B6" s="40">
        <v>55469</v>
      </c>
      <c r="C6" s="40">
        <v>63708</v>
      </c>
      <c r="D6" s="40">
        <v>79785</v>
      </c>
      <c r="E6" s="40">
        <v>106110</v>
      </c>
      <c r="F6" s="40">
        <v>141366</v>
      </c>
      <c r="G6" s="40">
        <v>170773</v>
      </c>
      <c r="H6" s="40">
        <v>236282</v>
      </c>
      <c r="I6" s="40">
        <v>279833</v>
      </c>
      <c r="J6" s="40">
        <v>315880</v>
      </c>
      <c r="K6" s="40">
        <v>352828</v>
      </c>
      <c r="L6" s="40">
        <v>386647</v>
      </c>
      <c r="M6" s="40">
        <v>423461</v>
      </c>
      <c r="N6" s="40">
        <v>461471</v>
      </c>
      <c r="O6" s="40">
        <v>497416</v>
      </c>
      <c r="P6" s="40">
        <v>546306</v>
      </c>
      <c r="Q6" s="40">
        <v>590847</v>
      </c>
    </row>
    <row r="7" spans="1:17" ht="15" hidden="1" customHeight="1" outlineLevel="1" x14ac:dyDescent="0.35">
      <c r="A7" s="67" t="s">
        <v>87</v>
      </c>
      <c r="B7" s="62" t="s">
        <v>81</v>
      </c>
      <c r="C7" s="62" t="s">
        <v>81</v>
      </c>
      <c r="D7" s="47">
        <v>1318</v>
      </c>
      <c r="E7" s="62" t="s">
        <v>81</v>
      </c>
      <c r="F7" s="62" t="s">
        <v>81</v>
      </c>
      <c r="G7" s="62" t="s">
        <v>81</v>
      </c>
      <c r="H7" s="62" t="s">
        <v>81</v>
      </c>
      <c r="I7" s="62" t="s">
        <v>81</v>
      </c>
      <c r="J7" s="47">
        <v>4247</v>
      </c>
      <c r="K7" s="62" t="s">
        <v>81</v>
      </c>
      <c r="L7" s="47">
        <v>5380</v>
      </c>
      <c r="M7" s="62" t="s">
        <v>81</v>
      </c>
      <c r="N7" s="62" t="s">
        <v>81</v>
      </c>
      <c r="O7" s="62" t="s">
        <v>81</v>
      </c>
      <c r="P7" s="62" t="s">
        <v>81</v>
      </c>
      <c r="Q7" s="62" t="s">
        <v>81</v>
      </c>
    </row>
    <row r="8" spans="1:17" ht="15" customHeight="1" x14ac:dyDescent="0.35">
      <c r="A8" s="57" t="s">
        <v>3</v>
      </c>
      <c r="B8" s="47">
        <v>33519</v>
      </c>
      <c r="C8" s="47">
        <v>35418</v>
      </c>
      <c r="D8" s="47">
        <v>43983</v>
      </c>
      <c r="E8" s="47">
        <v>54297</v>
      </c>
      <c r="F8" s="47">
        <v>65866</v>
      </c>
      <c r="G8" s="47">
        <v>74723</v>
      </c>
      <c r="H8" s="47">
        <v>104412</v>
      </c>
      <c r="I8" s="47">
        <v>127787</v>
      </c>
      <c r="J8" s="47">
        <v>118007</v>
      </c>
      <c r="K8" s="47">
        <v>131200</v>
      </c>
      <c r="L8" s="47">
        <v>141444</v>
      </c>
      <c r="M8" s="47">
        <v>154680</v>
      </c>
      <c r="N8" s="47">
        <v>171709</v>
      </c>
      <c r="O8" s="47">
        <v>192631</v>
      </c>
      <c r="P8" s="47">
        <v>199416</v>
      </c>
      <c r="Q8" s="47">
        <v>215930</v>
      </c>
    </row>
    <row r="9" spans="1:17" ht="15" customHeight="1" x14ac:dyDescent="0.35">
      <c r="A9" s="56" t="s">
        <v>82</v>
      </c>
      <c r="B9" s="40" t="s">
        <v>81</v>
      </c>
      <c r="C9" s="40">
        <v>7880</v>
      </c>
      <c r="D9" s="40">
        <v>12219</v>
      </c>
      <c r="E9" s="40">
        <v>17459</v>
      </c>
      <c r="F9" s="40">
        <v>25655</v>
      </c>
      <c r="G9" s="40">
        <v>35026</v>
      </c>
      <c r="H9" s="40">
        <v>45370</v>
      </c>
      <c r="I9" s="40">
        <v>62202</v>
      </c>
      <c r="J9" s="40">
        <v>80096</v>
      </c>
      <c r="K9" s="40">
        <v>90757</v>
      </c>
      <c r="L9" s="40">
        <v>107555</v>
      </c>
      <c r="M9" s="40">
        <v>127628</v>
      </c>
      <c r="N9" s="40">
        <v>151647</v>
      </c>
      <c r="O9" s="40">
        <v>176580</v>
      </c>
      <c r="P9" s="40">
        <v>208724</v>
      </c>
      <c r="Q9" s="40">
        <v>249139</v>
      </c>
    </row>
    <row r="10" spans="1:17" ht="15" customHeight="1" x14ac:dyDescent="0.35">
      <c r="A10" s="57"/>
      <c r="B10" s="62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</row>
    <row r="11" spans="1:17" ht="15" customHeight="1" x14ac:dyDescent="0.4">
      <c r="A11" s="65" t="s">
        <v>86</v>
      </c>
      <c r="B11" s="64">
        <v>178</v>
      </c>
      <c r="C11" s="64">
        <v>2233</v>
      </c>
      <c r="D11" s="64">
        <v>4186</v>
      </c>
      <c r="E11" s="64">
        <v>4106</v>
      </c>
      <c r="F11" s="64">
        <v>12421</v>
      </c>
      <c r="G11" s="64">
        <v>14541</v>
      </c>
      <c r="H11" s="64">
        <v>22899</v>
      </c>
      <c r="I11" s="64">
        <v>24879</v>
      </c>
      <c r="J11" s="64">
        <v>12248</v>
      </c>
      <c r="K11" s="64">
        <v>36852</v>
      </c>
      <c r="L11" s="64">
        <v>62364.9</v>
      </c>
      <c r="M11" s="64">
        <v>76519.399999999994</v>
      </c>
      <c r="N11" s="64">
        <v>95065</v>
      </c>
      <c r="O11" s="64">
        <v>119029</v>
      </c>
      <c r="P11" s="64">
        <v>143146</v>
      </c>
      <c r="Q11" s="64">
        <v>174540</v>
      </c>
    </row>
    <row r="12" spans="1:17" ht="15" customHeight="1" collapsed="1" x14ac:dyDescent="0.35">
      <c r="A12" s="57" t="s">
        <v>2</v>
      </c>
      <c r="B12" s="47">
        <v>2105</v>
      </c>
      <c r="C12" s="47">
        <v>2751</v>
      </c>
      <c r="D12" s="47">
        <v>4099</v>
      </c>
      <c r="E12" s="47">
        <v>2837</v>
      </c>
      <c r="F12" s="47">
        <v>7267</v>
      </c>
      <c r="G12" s="47">
        <v>7033</v>
      </c>
      <c r="H12" s="47">
        <v>8651</v>
      </c>
      <c r="I12" s="47">
        <v>7271</v>
      </c>
      <c r="J12" s="46">
        <v>-2847</v>
      </c>
      <c r="K12" s="47">
        <v>14877</v>
      </c>
      <c r="L12" s="47">
        <v>23233.5</v>
      </c>
      <c r="M12" s="47">
        <v>31059.3</v>
      </c>
      <c r="N12" s="47">
        <v>34190</v>
      </c>
      <c r="O12" s="62" t="s">
        <v>81</v>
      </c>
      <c r="P12" s="62" t="s">
        <v>81</v>
      </c>
      <c r="Q12" s="62" t="s">
        <v>81</v>
      </c>
    </row>
    <row r="13" spans="1:17" ht="15" hidden="1" customHeight="1" outlineLevel="1" x14ac:dyDescent="0.35">
      <c r="A13" s="66" t="s">
        <v>85</v>
      </c>
      <c r="B13" s="63" t="s">
        <v>81</v>
      </c>
      <c r="C13" s="63" t="s">
        <v>81</v>
      </c>
      <c r="D13" s="63" t="s">
        <v>81</v>
      </c>
      <c r="E13" s="63" t="s">
        <v>81</v>
      </c>
      <c r="F13" s="63" t="s">
        <v>81</v>
      </c>
      <c r="G13" s="63" t="s">
        <v>81</v>
      </c>
      <c r="H13" s="63" t="s">
        <v>81</v>
      </c>
      <c r="I13" s="63" t="s">
        <v>81</v>
      </c>
      <c r="J13" s="41">
        <v>-2847</v>
      </c>
      <c r="K13" s="63" t="s">
        <v>81</v>
      </c>
      <c r="L13" s="63" t="s">
        <v>81</v>
      </c>
      <c r="M13" s="63" t="s">
        <v>81</v>
      </c>
      <c r="N13" s="63" t="s">
        <v>81</v>
      </c>
      <c r="O13" s="63" t="s">
        <v>81</v>
      </c>
      <c r="P13" s="63" t="s">
        <v>81</v>
      </c>
      <c r="Q13" s="63" t="s">
        <v>81</v>
      </c>
    </row>
    <row r="14" spans="1:17" ht="15" customHeight="1" x14ac:dyDescent="0.35">
      <c r="A14" s="56" t="s">
        <v>3</v>
      </c>
      <c r="B14" s="63">
        <v>-297</v>
      </c>
      <c r="C14" s="40">
        <v>-91</v>
      </c>
      <c r="D14" s="40">
        <v>-477</v>
      </c>
      <c r="E14" s="40">
        <v>-3062</v>
      </c>
      <c r="F14" s="40">
        <v>-2142</v>
      </c>
      <c r="G14" s="40">
        <v>-1693</v>
      </c>
      <c r="H14" s="40">
        <v>717</v>
      </c>
      <c r="I14" s="40">
        <v>-924</v>
      </c>
      <c r="J14" s="40">
        <v>-7746</v>
      </c>
      <c r="K14" s="40">
        <v>-2656</v>
      </c>
      <c r="L14" s="40">
        <v>1765.17</v>
      </c>
      <c r="M14" s="40">
        <v>3899.91</v>
      </c>
      <c r="N14" s="40">
        <v>9726</v>
      </c>
      <c r="O14" s="40" t="s">
        <v>81</v>
      </c>
      <c r="P14" s="40" t="s">
        <v>81</v>
      </c>
      <c r="Q14" s="40" t="s">
        <v>81</v>
      </c>
    </row>
    <row r="15" spans="1:17" ht="15" customHeight="1" collapsed="1" x14ac:dyDescent="0.35">
      <c r="A15" s="57" t="s">
        <v>82</v>
      </c>
      <c r="B15" s="47" t="s">
        <v>81</v>
      </c>
      <c r="C15" s="47">
        <v>1863</v>
      </c>
      <c r="D15" s="47">
        <v>3706</v>
      </c>
      <c r="E15" s="47">
        <v>4331</v>
      </c>
      <c r="F15" s="47">
        <v>7296</v>
      </c>
      <c r="G15" s="47">
        <v>9201</v>
      </c>
      <c r="H15" s="47">
        <v>13531</v>
      </c>
      <c r="I15" s="47">
        <v>18532</v>
      </c>
      <c r="J15" s="46">
        <v>22841</v>
      </c>
      <c r="K15" s="47">
        <v>24631</v>
      </c>
      <c r="L15" s="47">
        <v>37271.5</v>
      </c>
      <c r="M15" s="47">
        <v>42816.2</v>
      </c>
      <c r="N15" s="47">
        <v>53907.1</v>
      </c>
      <c r="O15" s="62">
        <v>70418.5</v>
      </c>
      <c r="P15" s="62">
        <v>85067.5</v>
      </c>
      <c r="Q15" s="62">
        <v>102298</v>
      </c>
    </row>
    <row r="16" spans="1:17" ht="15" hidden="1" customHeight="1" outlineLevel="1" x14ac:dyDescent="0.35">
      <c r="A16" s="57" t="s">
        <v>84</v>
      </c>
      <c r="B16" s="62" t="s">
        <v>81</v>
      </c>
      <c r="C16" s="62" t="s">
        <v>81</v>
      </c>
      <c r="D16" s="62" t="s">
        <v>81</v>
      </c>
      <c r="E16" s="62" t="s">
        <v>81</v>
      </c>
      <c r="F16" s="62" t="s">
        <v>81</v>
      </c>
      <c r="G16" s="62" t="s">
        <v>81</v>
      </c>
      <c r="H16" s="62" t="s">
        <v>81</v>
      </c>
      <c r="I16" s="47">
        <v>495.17500000000001</v>
      </c>
      <c r="J16" s="47">
        <v>568.89</v>
      </c>
      <c r="K16" s="62" t="s">
        <v>81</v>
      </c>
      <c r="L16" s="62" t="s">
        <v>81</v>
      </c>
      <c r="M16" s="62" t="s">
        <v>81</v>
      </c>
      <c r="N16" s="62" t="s">
        <v>81</v>
      </c>
      <c r="O16" s="62" t="s">
        <v>81</v>
      </c>
      <c r="P16" s="62" t="s">
        <v>81</v>
      </c>
      <c r="Q16" s="62" t="s">
        <v>81</v>
      </c>
    </row>
    <row r="17" spans="1:17" ht="15" customHeight="1" x14ac:dyDescent="0.35">
      <c r="A17" s="57"/>
      <c r="B17" s="62"/>
      <c r="C17" s="62"/>
      <c r="D17" s="62"/>
      <c r="E17" s="62"/>
      <c r="F17" s="62"/>
      <c r="G17" s="62"/>
      <c r="H17" s="62"/>
      <c r="I17" s="47"/>
      <c r="J17" s="47"/>
      <c r="K17" s="62"/>
      <c r="L17" s="62"/>
      <c r="M17" s="62"/>
      <c r="N17" s="62"/>
      <c r="O17" s="62"/>
      <c r="P17" s="62"/>
      <c r="Q17" s="62"/>
    </row>
    <row r="18" spans="1:17" ht="15" customHeight="1" x14ac:dyDescent="0.4">
      <c r="A18" s="65" t="s">
        <v>83</v>
      </c>
      <c r="B18" s="64">
        <v>6553</v>
      </c>
      <c r="C18" s="64">
        <v>10805</v>
      </c>
      <c r="D18" s="64">
        <v>15440</v>
      </c>
      <c r="E18" s="64">
        <v>20007</v>
      </c>
      <c r="F18" s="64">
        <v>33476</v>
      </c>
      <c r="G18" s="64">
        <v>43245</v>
      </c>
      <c r="H18" s="64">
        <v>57284</v>
      </c>
      <c r="I18" s="64">
        <v>71994</v>
      </c>
      <c r="J18" s="64">
        <v>73836</v>
      </c>
      <c r="K18" s="64">
        <v>109538</v>
      </c>
      <c r="L18" s="64">
        <v>137679</v>
      </c>
      <c r="M18" s="64">
        <v>159786</v>
      </c>
      <c r="N18" s="64">
        <v>184965</v>
      </c>
      <c r="O18" s="64">
        <v>217623</v>
      </c>
      <c r="P18" s="64">
        <v>248736</v>
      </c>
      <c r="Q18" s="64">
        <v>289356</v>
      </c>
    </row>
    <row r="19" spans="1:17" ht="15" customHeight="1" x14ac:dyDescent="0.35">
      <c r="A19" s="57" t="s">
        <v>2</v>
      </c>
      <c r="B19" s="62" t="s">
        <v>81</v>
      </c>
      <c r="C19" s="62" t="s">
        <v>81</v>
      </c>
      <c r="D19" s="62" t="s">
        <v>81</v>
      </c>
      <c r="E19" s="47">
        <v>7463</v>
      </c>
      <c r="F19" s="47">
        <v>13492</v>
      </c>
      <c r="G19" s="47">
        <v>16504</v>
      </c>
      <c r="H19" s="47">
        <v>17413</v>
      </c>
      <c r="I19" s="47">
        <v>22762</v>
      </c>
      <c r="J19" s="47">
        <v>17894</v>
      </c>
      <c r="K19" s="47">
        <v>41189</v>
      </c>
      <c r="L19" s="47">
        <v>47377</v>
      </c>
      <c r="M19" s="47">
        <v>53874</v>
      </c>
      <c r="N19" s="62" t="s">
        <v>81</v>
      </c>
      <c r="O19" s="62" t="s">
        <v>81</v>
      </c>
      <c r="P19" s="62" t="s">
        <v>81</v>
      </c>
      <c r="Q19" s="62" t="s">
        <v>81</v>
      </c>
    </row>
    <row r="20" spans="1:17" ht="15" customHeight="1" x14ac:dyDescent="0.35">
      <c r="A20" s="56" t="s">
        <v>3</v>
      </c>
      <c r="B20" s="63" t="s">
        <v>81</v>
      </c>
      <c r="C20" s="63" t="s">
        <v>81</v>
      </c>
      <c r="D20" s="63" t="s">
        <v>81</v>
      </c>
      <c r="E20" s="40">
        <v>1945</v>
      </c>
      <c r="F20" s="63" t="s">
        <v>81</v>
      </c>
      <c r="G20" s="40">
        <v>5921</v>
      </c>
      <c r="H20" s="40">
        <v>7269</v>
      </c>
      <c r="I20" s="40">
        <v>14485</v>
      </c>
      <c r="J20" s="40">
        <v>14198</v>
      </c>
      <c r="K20" s="40">
        <v>16832</v>
      </c>
      <c r="L20" s="40">
        <v>25226</v>
      </c>
      <c r="M20" s="40">
        <v>28198</v>
      </c>
      <c r="N20" s="63" t="s">
        <v>81</v>
      </c>
      <c r="O20" s="63" t="s">
        <v>81</v>
      </c>
      <c r="P20" s="63" t="s">
        <v>81</v>
      </c>
      <c r="Q20" s="63" t="s">
        <v>81</v>
      </c>
    </row>
    <row r="21" spans="1:17" ht="15" customHeight="1" x14ac:dyDescent="0.35">
      <c r="A21" s="57" t="s">
        <v>82</v>
      </c>
      <c r="B21" s="62" t="s">
        <v>81</v>
      </c>
      <c r="C21" s="62" t="s">
        <v>81</v>
      </c>
      <c r="D21" s="62" t="s">
        <v>81</v>
      </c>
      <c r="E21" s="47">
        <v>9128</v>
      </c>
      <c r="F21" s="47">
        <v>14189</v>
      </c>
      <c r="G21" s="47">
        <v>18239.599999999999</v>
      </c>
      <c r="H21" s="47">
        <v>22953.5</v>
      </c>
      <c r="I21" s="47">
        <v>31239</v>
      </c>
      <c r="J21" s="47">
        <v>37506</v>
      </c>
      <c r="K21" s="47">
        <v>46916</v>
      </c>
      <c r="L21" s="47">
        <v>65410.5</v>
      </c>
      <c r="M21" s="47">
        <v>76791.5</v>
      </c>
      <c r="N21" s="47">
        <v>99377</v>
      </c>
      <c r="O21" s="47">
        <v>118602</v>
      </c>
      <c r="P21" s="47">
        <v>140497</v>
      </c>
      <c r="Q21" s="47">
        <v>165221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D1029CB39344AB26135B4856BE9CD" ma:contentTypeVersion="10" ma:contentTypeDescription="Create a new document." ma:contentTypeScope="" ma:versionID="901eaaba89b604c0b8298b46099b6462">
  <xsd:schema xmlns:xsd="http://www.w3.org/2001/XMLSchema" xmlns:xs="http://www.w3.org/2001/XMLSchema" xmlns:p="http://schemas.microsoft.com/office/2006/metadata/properties" xmlns:ns3="74d6bd87-cc14-42d5-98fd-d6e0bec92e54" targetNamespace="http://schemas.microsoft.com/office/2006/metadata/properties" ma:root="true" ma:fieldsID="573b5261bc07dd259c6acf102cf97837" ns3:_="">
    <xsd:import namespace="74d6bd87-cc14-42d5-98fd-d6e0bec92e5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6bd87-cc14-42d5-98fd-d6e0bec92e5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d6bd87-cc14-42d5-98fd-d6e0bec92e5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F6EC66-37C8-4FA5-8466-E73CD7A43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6bd87-cc14-42d5-98fd-d6e0bec92e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56AAB3-3049-4601-9EA2-281DC100DF40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74d6bd87-cc14-42d5-98fd-d6e0bec92e54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71F4368-1721-488F-9787-2127204CCF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DCF</vt:lpstr>
      <vt:lpstr>IS</vt:lpstr>
      <vt:lpstr>WACC</vt:lpstr>
      <vt:lpstr>Shares</vt:lpstr>
      <vt:lpstr>CapEx</vt:lpstr>
      <vt:lpstr>CFS </vt:lpstr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Mehdi Mahjoub</dc:creator>
  <cp:lastModifiedBy>Mohamed Mehdi Mahjoub</cp:lastModifiedBy>
  <dcterms:created xsi:type="dcterms:W3CDTF">2025-10-21T15:41:54Z</dcterms:created>
  <dcterms:modified xsi:type="dcterms:W3CDTF">2025-10-28T12:14:26Z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0x01010010FD1029CB39344AB26135B4856BE9CD</vt:lpwstr>
  </property>
</Properties>
</file>