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mzo\OneDrive - South Mediterranean University\Desktop\Portfolio\"/>
    </mc:Choice>
  </mc:AlternateContent>
  <xr:revisionPtr revIDLastSave="0" documentId="8_{BAF18898-761A-47E2-A00B-045C09455C52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Inputs (2)" sheetId="14" r:id="rId1"/>
    <sheet name="Inputs" sheetId="1" r:id="rId2"/>
    <sheet name="TBA" sheetId="2" r:id="rId3"/>
    <sheet name="Construction" sheetId="3" r:id="rId4"/>
    <sheet name="Operations" sheetId="5" r:id="rId5"/>
    <sheet name="P&amp;L Statement" sheetId="6" r:id="rId6"/>
    <sheet name="Debt" sheetId="9" r:id="rId7"/>
    <sheet name="A&amp;D " sheetId="7" r:id="rId8"/>
    <sheet name="CFS" sheetId="10" r:id="rId9"/>
    <sheet name="Balance Sheet" sheetId="12" r:id="rId10"/>
    <sheet name="RATIO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4" l="1"/>
  <c r="E37" i="14"/>
  <c r="E33" i="14"/>
  <c r="E32" i="14"/>
  <c r="E31" i="14"/>
  <c r="E30" i="14"/>
  <c r="E29" i="14"/>
  <c r="E25" i="14"/>
  <c r="E22" i="14"/>
  <c r="E21" i="14"/>
  <c r="E18" i="14"/>
  <c r="E17" i="14"/>
  <c r="E15" i="14"/>
  <c r="E14" i="14"/>
  <c r="E12" i="14"/>
  <c r="E11" i="14"/>
  <c r="E8" i="14"/>
  <c r="E7" i="14"/>
  <c r="E6" i="14"/>
  <c r="AS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J23" i="13"/>
  <c r="AK23" i="13"/>
  <c r="AL23" i="13"/>
  <c r="AM23" i="13"/>
  <c r="AN23" i="13"/>
  <c r="AO23" i="13"/>
  <c r="AP23" i="13"/>
  <c r="AQ23" i="13"/>
  <c r="AR23" i="13"/>
  <c r="G7" i="13"/>
  <c r="H7" i="13"/>
  <c r="I7" i="13"/>
  <c r="J7" i="13"/>
  <c r="J11" i="13" s="1"/>
  <c r="K7" i="13"/>
  <c r="K11" i="13" s="1"/>
  <c r="L7" i="13"/>
  <c r="L11" i="13" s="1"/>
  <c r="M7" i="13"/>
  <c r="M11" i="13" s="1"/>
  <c r="N7" i="13"/>
  <c r="N11" i="13" s="1"/>
  <c r="O7" i="13"/>
  <c r="O11" i="13" s="1"/>
  <c r="P7" i="13"/>
  <c r="P11" i="13" s="1"/>
  <c r="Q7" i="13"/>
  <c r="Q11" i="13" s="1"/>
  <c r="R7" i="13"/>
  <c r="R11" i="13" s="1"/>
  <c r="S7" i="13"/>
  <c r="S11" i="13" s="1"/>
  <c r="T7" i="13"/>
  <c r="T11" i="13" s="1"/>
  <c r="U7" i="13"/>
  <c r="U11" i="13" s="1"/>
  <c r="V7" i="13"/>
  <c r="V11" i="13" s="1"/>
  <c r="W7" i="13"/>
  <c r="W11" i="13" s="1"/>
  <c r="X7" i="13"/>
  <c r="X11" i="13" s="1"/>
  <c r="Y7" i="13"/>
  <c r="Y11" i="13" s="1"/>
  <c r="Z7" i="13"/>
  <c r="Z11" i="13" s="1"/>
  <c r="AA7" i="13"/>
  <c r="AA11" i="13" s="1"/>
  <c r="AB7" i="13"/>
  <c r="AB11" i="13" s="1"/>
  <c r="AC7" i="13"/>
  <c r="AC11" i="13" s="1"/>
  <c r="AD7" i="13"/>
  <c r="AD11" i="13" s="1"/>
  <c r="AE7" i="13"/>
  <c r="AE11" i="13" s="1"/>
  <c r="AF7" i="13"/>
  <c r="AF11" i="13" s="1"/>
  <c r="AG7" i="13"/>
  <c r="AG11" i="13" s="1"/>
  <c r="AH7" i="13"/>
  <c r="AH11" i="13" s="1"/>
  <c r="AI7" i="13"/>
  <c r="AI11" i="13" s="1"/>
  <c r="AJ7" i="13"/>
  <c r="AJ11" i="13" s="1"/>
  <c r="AK7" i="13"/>
  <c r="AK11" i="13" s="1"/>
  <c r="AL7" i="13"/>
  <c r="AL11" i="13" s="1"/>
  <c r="AM7" i="13"/>
  <c r="AM11" i="13" s="1"/>
  <c r="AN7" i="13"/>
  <c r="AN11" i="13" s="1"/>
  <c r="AO7" i="13"/>
  <c r="AO11" i="13" s="1"/>
  <c r="AP7" i="13"/>
  <c r="AP11" i="13" s="1"/>
  <c r="AQ7" i="13"/>
  <c r="AQ11" i="13" s="1"/>
  <c r="AR7" i="13"/>
  <c r="AR11" i="13" s="1"/>
  <c r="AS7" i="13"/>
  <c r="AS11" i="13" s="1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AM9" i="13"/>
  <c r="AN9" i="13"/>
  <c r="AO9" i="13"/>
  <c r="AP9" i="13"/>
  <c r="AQ9" i="13"/>
  <c r="AR9" i="13"/>
  <c r="AS9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AM10" i="13"/>
  <c r="AN10" i="13"/>
  <c r="AO10" i="13"/>
  <c r="AP10" i="13"/>
  <c r="AQ10" i="13"/>
  <c r="AR10" i="13"/>
  <c r="AS10" i="13"/>
  <c r="F7" i="13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E7" i="9"/>
  <c r="F9" i="9"/>
  <c r="G18" i="10" s="1"/>
  <c r="G9" i="9"/>
  <c r="H18" i="10" s="1"/>
  <c r="H9" i="9"/>
  <c r="I18" i="10" s="1"/>
  <c r="E9" i="9"/>
  <c r="F18" i="10" s="1"/>
  <c r="F7" i="7"/>
  <c r="C20" i="3"/>
  <c r="C12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C19" i="2"/>
  <c r="C20" i="2"/>
  <c r="C18" i="2"/>
  <c r="C15" i="2"/>
  <c r="C16" i="2"/>
  <c r="C14" i="2"/>
  <c r="C8" i="2"/>
  <c r="C9" i="2"/>
  <c r="C10" i="2"/>
  <c r="C7" i="2"/>
  <c r="E33" i="1"/>
  <c r="C21" i="3" s="1"/>
  <c r="E38" i="1"/>
  <c r="E37" i="1"/>
  <c r="E32" i="1"/>
  <c r="E31" i="1"/>
  <c r="U39" i="3" s="1"/>
  <c r="E30" i="1"/>
  <c r="E29" i="1"/>
  <c r="E25" i="1"/>
  <c r="E22" i="1"/>
  <c r="E21" i="1"/>
  <c r="E18" i="1"/>
  <c r="E17" i="1"/>
  <c r="E15" i="1"/>
  <c r="E14" i="1"/>
  <c r="E12" i="1"/>
  <c r="E11" i="1"/>
  <c r="E7" i="1"/>
  <c r="E8" i="1"/>
  <c r="E6" i="1"/>
  <c r="G20" i="5" l="1"/>
  <c r="J11" i="7"/>
  <c r="E13" i="9"/>
  <c r="F21" i="6" s="1"/>
  <c r="F16" i="10" s="1"/>
  <c r="J7" i="5"/>
  <c r="J11" i="5" s="1"/>
  <c r="AC20" i="5"/>
  <c r="AC22" i="5" s="1"/>
  <c r="AR11" i="7"/>
  <c r="AB11" i="7"/>
  <c r="G11" i="7"/>
  <c r="V7" i="5"/>
  <c r="F20" i="5"/>
  <c r="AQ11" i="7"/>
  <c r="AA11" i="7"/>
  <c r="E20" i="5"/>
  <c r="F14" i="13" s="1"/>
  <c r="AD11" i="7"/>
  <c r="U11" i="7"/>
  <c r="X7" i="5"/>
  <c r="X11" i="5" s="1"/>
  <c r="AD20" i="5"/>
  <c r="AE14" i="13" s="1"/>
  <c r="AS11" i="7"/>
  <c r="AC11" i="7"/>
  <c r="H11" i="7"/>
  <c r="W7" i="5"/>
  <c r="W11" i="5" s="1"/>
  <c r="Y20" i="5"/>
  <c r="Z14" i="13" s="1"/>
  <c r="AO11" i="7"/>
  <c r="AO20" i="5"/>
  <c r="AP14" i="13" s="1"/>
  <c r="AN11" i="7"/>
  <c r="R11" i="7"/>
  <c r="T11" i="7"/>
  <c r="AN20" i="5"/>
  <c r="AO14" i="13" s="1"/>
  <c r="P20" i="5"/>
  <c r="P22" i="5" s="1"/>
  <c r="AM11" i="7"/>
  <c r="Q11" i="7"/>
  <c r="AB20" i="5"/>
  <c r="AC14" i="13" s="1"/>
  <c r="AA20" i="5"/>
  <c r="AA22" i="5" s="1"/>
  <c r="Z20" i="5"/>
  <c r="AA14" i="13" s="1"/>
  <c r="R20" i="5"/>
  <c r="R22" i="5" s="1"/>
  <c r="AM20" i="5"/>
  <c r="AM22" i="5" s="1"/>
  <c r="O20" i="5"/>
  <c r="O22" i="5" s="1"/>
  <c r="AG11" i="7"/>
  <c r="P11" i="7"/>
  <c r="Q20" i="5"/>
  <c r="Q22" i="5" s="1"/>
  <c r="AL20" i="5"/>
  <c r="AM14" i="13" s="1"/>
  <c r="N20" i="5"/>
  <c r="O14" i="13" s="1"/>
  <c r="AF11" i="7"/>
  <c r="O11" i="7"/>
  <c r="AP11" i="7"/>
  <c r="AP20" i="5"/>
  <c r="S11" i="7"/>
  <c r="AK20" i="5"/>
  <c r="AL14" i="13" s="1"/>
  <c r="M20" i="5"/>
  <c r="N14" i="13" s="1"/>
  <c r="AE11" i="7"/>
  <c r="I11" i="7"/>
  <c r="L7" i="5"/>
  <c r="L11" i="5" s="1"/>
  <c r="AP22" i="5"/>
  <c r="AQ14" i="13"/>
  <c r="K7" i="5"/>
  <c r="K11" i="5" s="1"/>
  <c r="AD14" i="13"/>
  <c r="G22" i="5"/>
  <c r="H14" i="13"/>
  <c r="M7" i="5"/>
  <c r="M11" i="5" s="1"/>
  <c r="E7" i="5"/>
  <c r="E11" i="5" s="1"/>
  <c r="G7" i="5"/>
  <c r="G11" i="5" s="1"/>
  <c r="H7" i="5"/>
  <c r="H11" i="5" s="1"/>
  <c r="N7" i="5"/>
  <c r="N11" i="5" s="1"/>
  <c r="S7" i="5"/>
  <c r="S11" i="5" s="1"/>
  <c r="O7" i="5"/>
  <c r="O11" i="5" s="1"/>
  <c r="R7" i="5"/>
  <c r="R11" i="5" s="1"/>
  <c r="P7" i="5"/>
  <c r="P11" i="5" s="1"/>
  <c r="F7" i="5"/>
  <c r="F11" i="5" s="1"/>
  <c r="Q7" i="5"/>
  <c r="Q11" i="5" s="1"/>
  <c r="T7" i="5"/>
  <c r="T11" i="5" s="1"/>
  <c r="I7" i="5"/>
  <c r="I11" i="5" s="1"/>
  <c r="U7" i="5"/>
  <c r="U11" i="5" s="1"/>
  <c r="F22" i="5"/>
  <c r="G14" i="13"/>
  <c r="E16" i="9"/>
  <c r="AI20" i="5"/>
  <c r="W20" i="5"/>
  <c r="K20" i="5"/>
  <c r="AL11" i="7"/>
  <c r="Z11" i="7"/>
  <c r="N11" i="7"/>
  <c r="AJ20" i="5"/>
  <c r="X20" i="5"/>
  <c r="AH20" i="5"/>
  <c r="V20" i="5"/>
  <c r="J20" i="5"/>
  <c r="AK11" i="7"/>
  <c r="Y11" i="7"/>
  <c r="M11" i="7"/>
  <c r="AG20" i="5"/>
  <c r="U20" i="5"/>
  <c r="I20" i="5"/>
  <c r="Z22" i="5"/>
  <c r="AJ11" i="7"/>
  <c r="X11" i="7"/>
  <c r="L11" i="7"/>
  <c r="AR20" i="5"/>
  <c r="AF20" i="5"/>
  <c r="T20" i="5"/>
  <c r="H20" i="5"/>
  <c r="Y22" i="5"/>
  <c r="AI11" i="7"/>
  <c r="W11" i="7"/>
  <c r="K11" i="7"/>
  <c r="L20" i="5"/>
  <c r="AQ20" i="5"/>
  <c r="AE20" i="5"/>
  <c r="S20" i="5"/>
  <c r="F11" i="7"/>
  <c r="AH11" i="7"/>
  <c r="V11" i="7"/>
  <c r="F8" i="5"/>
  <c r="F12" i="5" s="1"/>
  <c r="AO39" i="3"/>
  <c r="K8" i="5"/>
  <c r="K12" i="5" s="1"/>
  <c r="X8" i="5"/>
  <c r="X12" i="5" s="1"/>
  <c r="AC39" i="3"/>
  <c r="AN8" i="5"/>
  <c r="AN12" i="5" s="1"/>
  <c r="R8" i="5"/>
  <c r="R12" i="5" s="1"/>
  <c r="AQ7" i="5"/>
  <c r="AQ11" i="5" s="1"/>
  <c r="AF7" i="5"/>
  <c r="AF11" i="5" s="1"/>
  <c r="Y39" i="3"/>
  <c r="X37" i="3"/>
  <c r="T37" i="3"/>
  <c r="AH8" i="5"/>
  <c r="AH12" i="5" s="1"/>
  <c r="M8" i="5"/>
  <c r="M12" i="5" s="1"/>
  <c r="AO7" i="5"/>
  <c r="AO11" i="5" s="1"/>
  <c r="AE7" i="5"/>
  <c r="AE11" i="5" s="1"/>
  <c r="AJ7" i="5"/>
  <c r="AJ11" i="5" s="1"/>
  <c r="Y7" i="5"/>
  <c r="Y11" i="5" s="1"/>
  <c r="E39" i="3"/>
  <c r="AC8" i="5"/>
  <c r="AC12" i="5" s="1"/>
  <c r="AK7" i="5"/>
  <c r="AK11" i="5" s="1"/>
  <c r="AA7" i="5"/>
  <c r="AA11" i="5" s="1"/>
  <c r="J8" i="5"/>
  <c r="J12" i="5" s="1"/>
  <c r="I8" i="5"/>
  <c r="I12" i="5" s="1"/>
  <c r="I13" i="5" s="1"/>
  <c r="I15" i="5" s="1"/>
  <c r="O8" i="5"/>
  <c r="O12" i="5" s="1"/>
  <c r="S8" i="5"/>
  <c r="S12" i="5" s="1"/>
  <c r="W8" i="5"/>
  <c r="W12" i="5" s="1"/>
  <c r="AA8" i="5"/>
  <c r="AA12" i="5" s="1"/>
  <c r="AE8" i="5"/>
  <c r="AE12" i="5" s="1"/>
  <c r="AI8" i="5"/>
  <c r="AI12" i="5" s="1"/>
  <c r="AM8" i="5"/>
  <c r="AM12" i="5" s="1"/>
  <c r="AQ8" i="5"/>
  <c r="AQ12" i="5" s="1"/>
  <c r="AR8" i="5"/>
  <c r="AR12" i="5" s="1"/>
  <c r="AL8" i="5"/>
  <c r="AL12" i="5" s="1"/>
  <c r="AG8" i="5"/>
  <c r="AG12" i="5" s="1"/>
  <c r="AB8" i="5"/>
  <c r="AB12" i="5" s="1"/>
  <c r="V8" i="5"/>
  <c r="V12" i="5" s="1"/>
  <c r="Q8" i="5"/>
  <c r="Q12" i="5" s="1"/>
  <c r="E8" i="5"/>
  <c r="E12" i="5" s="1"/>
  <c r="AP8" i="5"/>
  <c r="AP12" i="5" s="1"/>
  <c r="AK8" i="5"/>
  <c r="AK12" i="5" s="1"/>
  <c r="AF8" i="5"/>
  <c r="AF12" i="5" s="1"/>
  <c r="Z8" i="5"/>
  <c r="Z12" i="5" s="1"/>
  <c r="U8" i="5"/>
  <c r="U12" i="5" s="1"/>
  <c r="P8" i="5"/>
  <c r="P12" i="5" s="1"/>
  <c r="H8" i="5"/>
  <c r="H12" i="5" s="1"/>
  <c r="H13" i="5" s="1"/>
  <c r="H15" i="5" s="1"/>
  <c r="AN7" i="5"/>
  <c r="AN11" i="5" s="1"/>
  <c r="AI7" i="5"/>
  <c r="AI11" i="5" s="1"/>
  <c r="AC7" i="5"/>
  <c r="AC11" i="5" s="1"/>
  <c r="R39" i="3"/>
  <c r="AB37" i="3"/>
  <c r="AC35" i="3" s="1"/>
  <c r="AD33" i="3" s="1"/>
  <c r="AG39" i="3"/>
  <c r="AK39" i="3"/>
  <c r="L8" i="5"/>
  <c r="L12" i="5" s="1"/>
  <c r="AO8" i="5"/>
  <c r="AO12" i="5" s="1"/>
  <c r="AJ8" i="5"/>
  <c r="AJ12" i="5" s="1"/>
  <c r="AD8" i="5"/>
  <c r="AD12" i="5" s="1"/>
  <c r="Y8" i="5"/>
  <c r="Y12" i="5" s="1"/>
  <c r="T8" i="5"/>
  <c r="T12" i="5" s="1"/>
  <c r="N8" i="5"/>
  <c r="N12" i="5" s="1"/>
  <c r="G8" i="5"/>
  <c r="G12" i="5" s="1"/>
  <c r="AR7" i="5"/>
  <c r="AR11" i="5" s="1"/>
  <c r="AM7" i="5"/>
  <c r="AM11" i="5" s="1"/>
  <c r="AG7" i="5"/>
  <c r="AG11" i="5" s="1"/>
  <c r="AB7" i="5"/>
  <c r="AB11" i="5" s="1"/>
  <c r="AR37" i="3"/>
  <c r="AN37" i="3"/>
  <c r="AO35" i="3" s="1"/>
  <c r="AP33" i="3" s="1"/>
  <c r="AJ37" i="3"/>
  <c r="AK35" i="3" s="1"/>
  <c r="AL33" i="3" s="1"/>
  <c r="AF37" i="3"/>
  <c r="AG35" i="3" s="1"/>
  <c r="AH33" i="3" s="1"/>
  <c r="AP7" i="5"/>
  <c r="AP11" i="5" s="1"/>
  <c r="AL7" i="5"/>
  <c r="AL11" i="5" s="1"/>
  <c r="AH7" i="5"/>
  <c r="AH11" i="5" s="1"/>
  <c r="AD7" i="5"/>
  <c r="AD11" i="5" s="1"/>
  <c r="Z7" i="5"/>
  <c r="Z11" i="5" s="1"/>
  <c r="V11" i="5"/>
  <c r="P37" i="3"/>
  <c r="AR39" i="3"/>
  <c r="AN39" i="3"/>
  <c r="AJ39" i="3"/>
  <c r="AF39" i="3"/>
  <c r="AB39" i="3"/>
  <c r="X39" i="3"/>
  <c r="T39" i="3"/>
  <c r="AQ39" i="3"/>
  <c r="AM39" i="3"/>
  <c r="AI39" i="3"/>
  <c r="AE39" i="3"/>
  <c r="AA39" i="3"/>
  <c r="W39" i="3"/>
  <c r="S39" i="3"/>
  <c r="AP39" i="3"/>
  <c r="AL39" i="3"/>
  <c r="AH39" i="3"/>
  <c r="AD39" i="3"/>
  <c r="Z39" i="3"/>
  <c r="V39" i="3"/>
  <c r="C22" i="3"/>
  <c r="E26" i="3" s="1"/>
  <c r="AM37" i="3"/>
  <c r="AN35" i="3" s="1"/>
  <c r="AO33" i="3" s="1"/>
  <c r="AI37" i="3"/>
  <c r="AJ35" i="3" s="1"/>
  <c r="AK33" i="3" s="1"/>
  <c r="AE37" i="3"/>
  <c r="AF35" i="3" s="1"/>
  <c r="AG33" i="3" s="1"/>
  <c r="AA37" i="3"/>
  <c r="W37" i="3"/>
  <c r="S37" i="3"/>
  <c r="O37" i="3"/>
  <c r="AP37" i="3"/>
  <c r="AQ35" i="3" s="1"/>
  <c r="AL37" i="3"/>
  <c r="AM35" i="3" s="1"/>
  <c r="AH37" i="3"/>
  <c r="AI35" i="3" s="1"/>
  <c r="AD37" i="3"/>
  <c r="AE35" i="3" s="1"/>
  <c r="Z37" i="3"/>
  <c r="V37" i="3"/>
  <c r="R37" i="3"/>
  <c r="N37" i="3"/>
  <c r="AQ37" i="3"/>
  <c r="AR35" i="3" s="1"/>
  <c r="AO37" i="3"/>
  <c r="AP35" i="3" s="1"/>
  <c r="AQ33" i="3" s="1"/>
  <c r="AK37" i="3"/>
  <c r="AL35" i="3" s="1"/>
  <c r="AM33" i="3" s="1"/>
  <c r="AG37" i="3"/>
  <c r="AH35" i="3" s="1"/>
  <c r="AI33" i="3" s="1"/>
  <c r="AC37" i="3"/>
  <c r="AD35" i="3" s="1"/>
  <c r="Y37" i="3"/>
  <c r="U37" i="3"/>
  <c r="Q37" i="3"/>
  <c r="T6" i="3"/>
  <c r="T8" i="3" s="1"/>
  <c r="H6" i="3"/>
  <c r="H8" i="3" s="1"/>
  <c r="L6" i="3"/>
  <c r="L8" i="3" s="1"/>
  <c r="AI6" i="3"/>
  <c r="AI8" i="3" s="1"/>
  <c r="AE6" i="3"/>
  <c r="AE8" i="3" s="1"/>
  <c r="E6" i="3"/>
  <c r="AQ6" i="3"/>
  <c r="AQ8" i="3" s="1"/>
  <c r="AA6" i="3"/>
  <c r="AA8" i="3" s="1"/>
  <c r="V6" i="3"/>
  <c r="V8" i="3" s="1"/>
  <c r="P6" i="3"/>
  <c r="P8" i="3" s="1"/>
  <c r="AM6" i="3"/>
  <c r="AM8" i="3" s="1"/>
  <c r="W6" i="3"/>
  <c r="W8" i="3" s="1"/>
  <c r="S6" i="3"/>
  <c r="S8" i="3" s="1"/>
  <c r="O6" i="3"/>
  <c r="O8" i="3" s="1"/>
  <c r="K6" i="3"/>
  <c r="K8" i="3" s="1"/>
  <c r="G6" i="3"/>
  <c r="G8" i="3" s="1"/>
  <c r="AP6" i="3"/>
  <c r="AP8" i="3" s="1"/>
  <c r="AL6" i="3"/>
  <c r="AL8" i="3" s="1"/>
  <c r="AH6" i="3"/>
  <c r="AH8" i="3" s="1"/>
  <c r="AD6" i="3"/>
  <c r="AD8" i="3" s="1"/>
  <c r="Z6" i="3"/>
  <c r="Z8" i="3" s="1"/>
  <c r="R6" i="3"/>
  <c r="R8" i="3" s="1"/>
  <c r="N6" i="3"/>
  <c r="N8" i="3" s="1"/>
  <c r="J6" i="3"/>
  <c r="J8" i="3" s="1"/>
  <c r="F6" i="3"/>
  <c r="F8" i="3" s="1"/>
  <c r="AO6" i="3"/>
  <c r="AO8" i="3" s="1"/>
  <c r="AK6" i="3"/>
  <c r="AK8" i="3" s="1"/>
  <c r="AG6" i="3"/>
  <c r="AG8" i="3" s="1"/>
  <c r="AC6" i="3"/>
  <c r="AC8" i="3" s="1"/>
  <c r="Y6" i="3"/>
  <c r="Y8" i="3" s="1"/>
  <c r="U6" i="3"/>
  <c r="U8" i="3" s="1"/>
  <c r="Q6" i="3"/>
  <c r="Q8" i="3" s="1"/>
  <c r="M6" i="3"/>
  <c r="M8" i="3" s="1"/>
  <c r="I6" i="3"/>
  <c r="I8" i="3" s="1"/>
  <c r="AR6" i="3"/>
  <c r="AR8" i="3" s="1"/>
  <c r="AN6" i="3"/>
  <c r="AN8" i="3" s="1"/>
  <c r="AJ6" i="3"/>
  <c r="AJ8" i="3" s="1"/>
  <c r="AF6" i="3"/>
  <c r="AF8" i="3" s="1"/>
  <c r="AB6" i="3"/>
  <c r="AB8" i="3" s="1"/>
  <c r="X6" i="3"/>
  <c r="X8" i="3" s="1"/>
  <c r="AN14" i="13" l="1"/>
  <c r="AL22" i="5"/>
  <c r="AM9" i="10" s="1"/>
  <c r="Q14" i="13"/>
  <c r="E22" i="5"/>
  <c r="F9" i="10" s="1"/>
  <c r="P14" i="13"/>
  <c r="M22" i="5"/>
  <c r="N10" i="6" s="1"/>
  <c r="AD22" i="5"/>
  <c r="AO22" i="5"/>
  <c r="AP9" i="10" s="1"/>
  <c r="S14" i="13"/>
  <c r="G13" i="5"/>
  <c r="G15" i="5" s="1"/>
  <c r="H7" i="10" s="1"/>
  <c r="AK22" i="5"/>
  <c r="AL9" i="10" s="1"/>
  <c r="R14" i="13"/>
  <c r="AB22" i="5"/>
  <c r="AC9" i="10" s="1"/>
  <c r="AB14" i="13"/>
  <c r="AN22" i="5"/>
  <c r="AO10" i="6" s="1"/>
  <c r="N22" i="5"/>
  <c r="O9" i="10" s="1"/>
  <c r="AM10" i="6"/>
  <c r="AE10" i="6"/>
  <c r="AE9" i="10"/>
  <c r="AQ10" i="6"/>
  <c r="AQ9" i="10"/>
  <c r="W14" i="13"/>
  <c r="V22" i="5"/>
  <c r="F13" i="5"/>
  <c r="F15" i="5" s="1"/>
  <c r="G8" i="6" s="1"/>
  <c r="AI14" i="13"/>
  <c r="AH22" i="5"/>
  <c r="Q9" i="10"/>
  <c r="Q10" i="6"/>
  <c r="AD10" i="6"/>
  <c r="AD9" i="10"/>
  <c r="Y14" i="13"/>
  <c r="X22" i="5"/>
  <c r="AK13" i="5"/>
  <c r="AK15" i="5" s="1"/>
  <c r="AL13" i="13" s="1"/>
  <c r="N9" i="10"/>
  <c r="M14" i="13"/>
  <c r="L22" i="5"/>
  <c r="Z9" i="10"/>
  <c r="Z10" i="6"/>
  <c r="AI22" i="5"/>
  <c r="AJ14" i="13"/>
  <c r="R10" i="6"/>
  <c r="R9" i="10"/>
  <c r="U14" i="13"/>
  <c r="T22" i="5"/>
  <c r="AG14" i="13"/>
  <c r="AF22" i="5"/>
  <c r="G10" i="6"/>
  <c r="G9" i="10"/>
  <c r="S10" i="6"/>
  <c r="S9" i="10"/>
  <c r="AS14" i="13"/>
  <c r="AR22" i="5"/>
  <c r="V14" i="13"/>
  <c r="U22" i="5"/>
  <c r="K14" i="13"/>
  <c r="J22" i="5"/>
  <c r="F9" i="7"/>
  <c r="F15" i="6" a="1"/>
  <c r="F15" i="6" s="1"/>
  <c r="D11" i="7"/>
  <c r="K22" i="5"/>
  <c r="L14" i="13"/>
  <c r="AQ38" i="3"/>
  <c r="AQ22" i="5"/>
  <c r="AR14" i="13"/>
  <c r="X14" i="13"/>
  <c r="W22" i="5"/>
  <c r="P9" i="10"/>
  <c r="P10" i="6"/>
  <c r="AP10" i="6"/>
  <c r="AA9" i="10"/>
  <c r="AA10" i="6"/>
  <c r="AB9" i="10"/>
  <c r="AB10" i="6"/>
  <c r="J14" i="13"/>
  <c r="I22" i="5"/>
  <c r="F23" i="13"/>
  <c r="F13" i="12"/>
  <c r="AN9" i="10"/>
  <c r="AN10" i="6"/>
  <c r="AH14" i="13"/>
  <c r="AG22" i="5"/>
  <c r="H10" i="6"/>
  <c r="H9" i="10"/>
  <c r="E15" i="3"/>
  <c r="F10" i="13" s="1"/>
  <c r="T14" i="13"/>
  <c r="S22" i="5"/>
  <c r="AE22" i="5"/>
  <c r="AF14" i="13"/>
  <c r="AK14" i="13"/>
  <c r="AJ22" i="5"/>
  <c r="I14" i="13"/>
  <c r="H22" i="5"/>
  <c r="R13" i="5"/>
  <c r="R15" i="5" s="1"/>
  <c r="S13" i="13" s="1"/>
  <c r="V13" i="5"/>
  <c r="V15" i="5" s="1"/>
  <c r="W13" i="13" s="1"/>
  <c r="S13" i="5"/>
  <c r="S15" i="5" s="1"/>
  <c r="T13" i="13" s="1"/>
  <c r="O13" i="5"/>
  <c r="O15" i="5" s="1"/>
  <c r="P13" i="13" s="1"/>
  <c r="AR13" i="5"/>
  <c r="AR15" i="5" s="1"/>
  <c r="AS8" i="6" s="1"/>
  <c r="AB13" i="5"/>
  <c r="AB15" i="5" s="1"/>
  <c r="AC13" i="13" s="1"/>
  <c r="AG13" i="5"/>
  <c r="AG15" i="5" s="1"/>
  <c r="AH7" i="10" s="1"/>
  <c r="J13" i="5"/>
  <c r="J15" i="5" s="1"/>
  <c r="K7" i="10" s="1"/>
  <c r="M13" i="5"/>
  <c r="M15" i="5" s="1"/>
  <c r="J7" i="10"/>
  <c r="J13" i="13"/>
  <c r="AP13" i="5"/>
  <c r="AP15" i="5" s="1"/>
  <c r="I7" i="10"/>
  <c r="I13" i="13"/>
  <c r="W13" i="5"/>
  <c r="W15" i="5" s="1"/>
  <c r="X13" i="13" s="1"/>
  <c r="AE13" i="5"/>
  <c r="AE15" i="5" s="1"/>
  <c r="AJ13" i="5"/>
  <c r="AJ15" i="5" s="1"/>
  <c r="AM38" i="3"/>
  <c r="Z13" i="5"/>
  <c r="Z15" i="5" s="1"/>
  <c r="AO13" i="5"/>
  <c r="AO15" i="5" s="1"/>
  <c r="AC13" i="5"/>
  <c r="AC15" i="5" s="1"/>
  <c r="L13" i="5"/>
  <c r="U13" i="5"/>
  <c r="U15" i="5" s="1"/>
  <c r="V13" i="13" s="1"/>
  <c r="AQ13" i="5"/>
  <c r="AQ15" i="5" s="1"/>
  <c r="AA13" i="5"/>
  <c r="AA15" i="5" s="1"/>
  <c r="J8" i="6"/>
  <c r="AN33" i="3"/>
  <c r="Y13" i="5"/>
  <c r="Y15" i="5" s="1"/>
  <c r="E13" i="5"/>
  <c r="E15" i="5" s="1"/>
  <c r="AR33" i="3"/>
  <c r="AH13" i="5"/>
  <c r="AH15" i="5" s="1"/>
  <c r="K13" i="5"/>
  <c r="AN13" i="5"/>
  <c r="AN15" i="5" s="1"/>
  <c r="AF13" i="5"/>
  <c r="AF15" i="5" s="1"/>
  <c r="T13" i="5"/>
  <c r="T15" i="5" s="1"/>
  <c r="U13" i="13" s="1"/>
  <c r="N13" i="5"/>
  <c r="N15" i="5" s="1"/>
  <c r="O13" i="13" s="1"/>
  <c r="AE38" i="3"/>
  <c r="AM13" i="5"/>
  <c r="AM15" i="5" s="1"/>
  <c r="I8" i="6"/>
  <c r="AK38" i="3"/>
  <c r="X13" i="5"/>
  <c r="X15" i="5" s="1"/>
  <c r="Y13" i="13" s="1"/>
  <c r="AJ38" i="3"/>
  <c r="AL13" i="5"/>
  <c r="AL15" i="5" s="1"/>
  <c r="AH38" i="3"/>
  <c r="AF38" i="3"/>
  <c r="AD13" i="5"/>
  <c r="AD15" i="5" s="1"/>
  <c r="P13" i="5"/>
  <c r="P15" i="5" s="1"/>
  <c r="Q13" i="13" s="1"/>
  <c r="AI13" i="5"/>
  <c r="AI15" i="5" s="1"/>
  <c r="Q13" i="5"/>
  <c r="Q15" i="5" s="1"/>
  <c r="R13" i="13" s="1"/>
  <c r="AO38" i="3"/>
  <c r="E8" i="3"/>
  <c r="C6" i="3"/>
  <c r="AL38" i="3"/>
  <c r="AI38" i="3"/>
  <c r="AE33" i="3"/>
  <c r="AG38" i="3"/>
  <c r="AJ33" i="3"/>
  <c r="AN38" i="3"/>
  <c r="AF33" i="3"/>
  <c r="AP38" i="3"/>
  <c r="AR38" i="3"/>
  <c r="O10" i="6" l="1"/>
  <c r="F10" i="6"/>
  <c r="AC10" i="6"/>
  <c r="H13" i="13"/>
  <c r="H8" i="6"/>
  <c r="H12" i="6" s="1"/>
  <c r="H18" i="6" s="1"/>
  <c r="AL10" i="6"/>
  <c r="AO9" i="10"/>
  <c r="AL7" i="10"/>
  <c r="AG10" i="6"/>
  <c r="AG9" i="10"/>
  <c r="I10" i="6"/>
  <c r="I12" i="6" s="1"/>
  <c r="I18" i="6" s="1"/>
  <c r="I9" i="10"/>
  <c r="G7" i="7"/>
  <c r="G9" i="7" s="1"/>
  <c r="F7" i="12"/>
  <c r="U10" i="6"/>
  <c r="U9" i="10"/>
  <c r="X9" i="10"/>
  <c r="X10" i="6"/>
  <c r="AL8" i="6"/>
  <c r="AF10" i="6"/>
  <c r="AF9" i="10"/>
  <c r="T10" i="6"/>
  <c r="T9" i="10"/>
  <c r="AR10" i="6"/>
  <c r="AR9" i="10"/>
  <c r="D22" i="5"/>
  <c r="M9" i="10"/>
  <c r="M10" i="6"/>
  <c r="AH10" i="6"/>
  <c r="AH9" i="10"/>
  <c r="Y10" i="6"/>
  <c r="Y9" i="10"/>
  <c r="K9" i="10"/>
  <c r="K10" i="6"/>
  <c r="V10" i="6"/>
  <c r="V9" i="10"/>
  <c r="G13" i="13"/>
  <c r="AJ9" i="10"/>
  <c r="AJ10" i="6"/>
  <c r="AI9" i="10"/>
  <c r="AI10" i="6"/>
  <c r="G12" i="6"/>
  <c r="G18" i="6" s="1"/>
  <c r="W9" i="10"/>
  <c r="W10" i="6"/>
  <c r="AK9" i="10"/>
  <c r="AK10" i="6"/>
  <c r="AS10" i="6"/>
  <c r="AS12" i="6" s="1"/>
  <c r="AS18" i="6" s="1"/>
  <c r="AS9" i="10"/>
  <c r="G7" i="10"/>
  <c r="J10" i="6"/>
  <c r="J12" i="6" s="1"/>
  <c r="J18" i="6" s="1"/>
  <c r="J9" i="10"/>
  <c r="L9" i="10"/>
  <c r="L10" i="6"/>
  <c r="S8" i="6"/>
  <c r="S12" i="6" s="1"/>
  <c r="S18" i="6" s="1"/>
  <c r="S7" i="10"/>
  <c r="AH8" i="6"/>
  <c r="W8" i="6"/>
  <c r="W7" i="10"/>
  <c r="T8" i="6"/>
  <c r="AH13" i="13"/>
  <c r="P8" i="6"/>
  <c r="P12" i="6" s="1"/>
  <c r="P18" i="6" s="1"/>
  <c r="K8" i="6"/>
  <c r="K13" i="13"/>
  <c r="P7" i="10"/>
  <c r="T7" i="10"/>
  <c r="AS7" i="10"/>
  <c r="AS13" i="13"/>
  <c r="AC8" i="6"/>
  <c r="AC7" i="10"/>
  <c r="AM7" i="10"/>
  <c r="AM13" i="13"/>
  <c r="AM8" i="6"/>
  <c r="AM12" i="6" s="1"/>
  <c r="AM18" i="6" s="1"/>
  <c r="AI13" i="13"/>
  <c r="AI7" i="10"/>
  <c r="AI8" i="6"/>
  <c r="AF13" i="13"/>
  <c r="AF8" i="6"/>
  <c r="AF7" i="10"/>
  <c r="AP8" i="6"/>
  <c r="AP12" i="6" s="1"/>
  <c r="AP18" i="6" s="1"/>
  <c r="AP13" i="13"/>
  <c r="AP7" i="10"/>
  <c r="AA13" i="13"/>
  <c r="AA8" i="6"/>
  <c r="AA12" i="6" s="1"/>
  <c r="AA18" i="6" s="1"/>
  <c r="AA7" i="10"/>
  <c r="Z8" i="6"/>
  <c r="Z12" i="6" s="1"/>
  <c r="Z18" i="6" s="1"/>
  <c r="Z7" i="10"/>
  <c r="Z13" i="13"/>
  <c r="AR13" i="13"/>
  <c r="AR7" i="10"/>
  <c r="AR8" i="6"/>
  <c r="AK13" i="13"/>
  <c r="AK7" i="10"/>
  <c r="AK8" i="6"/>
  <c r="N7" i="10"/>
  <c r="N13" i="13"/>
  <c r="AE13" i="13"/>
  <c r="AE7" i="10"/>
  <c r="AE8" i="6"/>
  <c r="AE12" i="6" s="1"/>
  <c r="AE18" i="6" s="1"/>
  <c r="AN13" i="13"/>
  <c r="AN7" i="10"/>
  <c r="AN8" i="6"/>
  <c r="AN12" i="6" s="1"/>
  <c r="AN18" i="6" s="1"/>
  <c r="AG13" i="13"/>
  <c r="AG7" i="10"/>
  <c r="AG8" i="6"/>
  <c r="AG12" i="6" s="1"/>
  <c r="AG18" i="6" s="1"/>
  <c r="AJ13" i="13"/>
  <c r="AJ7" i="10"/>
  <c r="AJ8" i="6"/>
  <c r="AO13" i="13"/>
  <c r="AO7" i="10"/>
  <c r="AO8" i="6"/>
  <c r="AO12" i="6" s="1"/>
  <c r="AO18" i="6" s="1"/>
  <c r="F13" i="13"/>
  <c r="F7" i="10"/>
  <c r="AB13" i="13"/>
  <c r="AB7" i="10"/>
  <c r="AB8" i="6"/>
  <c r="AB12" i="6" s="1"/>
  <c r="AB18" i="6" s="1"/>
  <c r="AD8" i="6"/>
  <c r="AD12" i="6" s="1"/>
  <c r="AD18" i="6" s="1"/>
  <c r="AD13" i="13"/>
  <c r="AD7" i="10"/>
  <c r="AQ13" i="13"/>
  <c r="AQ8" i="6"/>
  <c r="AQ12" i="6" s="1"/>
  <c r="AQ18" i="6" s="1"/>
  <c r="AQ7" i="10"/>
  <c r="L15" i="5"/>
  <c r="U8" i="6"/>
  <c r="U7" i="10"/>
  <c r="Y8" i="6"/>
  <c r="Y7" i="10"/>
  <c r="X8" i="6"/>
  <c r="X7" i="10"/>
  <c r="V8" i="6"/>
  <c r="V7" i="10"/>
  <c r="R8" i="6"/>
  <c r="R12" i="6" s="1"/>
  <c r="R18" i="6" s="1"/>
  <c r="R7" i="10"/>
  <c r="Q8" i="6"/>
  <c r="Q12" i="6" s="1"/>
  <c r="Q18" i="6" s="1"/>
  <c r="Q7" i="10"/>
  <c r="O8" i="6"/>
  <c r="O12" i="6" s="1"/>
  <c r="O18" i="6" s="1"/>
  <c r="O7" i="10"/>
  <c r="K15" i="5"/>
  <c r="N8" i="6"/>
  <c r="N12" i="6" s="1"/>
  <c r="N18" i="6" s="1"/>
  <c r="D13" i="5"/>
  <c r="F26" i="3"/>
  <c r="E27" i="3"/>
  <c r="AF12" i="6" l="1"/>
  <c r="AF18" i="6" s="1"/>
  <c r="AC12" i="6"/>
  <c r="AC18" i="6" s="1"/>
  <c r="AL12" i="6"/>
  <c r="AL18" i="6" s="1"/>
  <c r="U12" i="6"/>
  <c r="U18" i="6" s="1"/>
  <c r="T12" i="6"/>
  <c r="T18" i="6" s="1"/>
  <c r="K12" i="6"/>
  <c r="K18" i="6" s="1"/>
  <c r="V12" i="6"/>
  <c r="V18" i="6" s="1"/>
  <c r="AR12" i="6"/>
  <c r="AR18" i="6" s="1"/>
  <c r="G23" i="13"/>
  <c r="G13" i="12"/>
  <c r="AI12" i="6"/>
  <c r="AI18" i="6" s="1"/>
  <c r="W12" i="6"/>
  <c r="W18" i="6" s="1"/>
  <c r="AH12" i="6"/>
  <c r="AH18" i="6" s="1"/>
  <c r="AJ12" i="6"/>
  <c r="AJ18" i="6" s="1"/>
  <c r="G7" i="12"/>
  <c r="H7" i="7"/>
  <c r="H9" i="7" s="1"/>
  <c r="AK12" i="6"/>
  <c r="AK18" i="6" s="1"/>
  <c r="X12" i="6"/>
  <c r="X18" i="6" s="1"/>
  <c r="Y12" i="6"/>
  <c r="Y18" i="6" s="1"/>
  <c r="M7" i="10"/>
  <c r="M13" i="13"/>
  <c r="L7" i="10"/>
  <c r="L13" i="13"/>
  <c r="M8" i="6"/>
  <c r="M12" i="6" s="1"/>
  <c r="M18" i="6" s="1"/>
  <c r="L8" i="6"/>
  <c r="L12" i="6" s="1"/>
  <c r="L18" i="6" s="1"/>
  <c r="F8" i="6"/>
  <c r="F12" i="6" s="1"/>
  <c r="F18" i="6" s="1"/>
  <c r="F24" i="6" s="1"/>
  <c r="D15" i="5"/>
  <c r="E34" i="3"/>
  <c r="E8" i="9" s="1"/>
  <c r="E10" i="9" s="1"/>
  <c r="F15" i="12" s="1"/>
  <c r="E28" i="3"/>
  <c r="F27" i="3"/>
  <c r="F34" i="3" s="1"/>
  <c r="G26" i="3"/>
  <c r="H13" i="12" s="1"/>
  <c r="E35" i="3" l="1"/>
  <c r="F33" i="3" s="1"/>
  <c r="F7" i="9" s="1"/>
  <c r="F13" i="9" s="1"/>
  <c r="H26" i="3"/>
  <c r="I26" i="3" s="1"/>
  <c r="H23" i="13"/>
  <c r="F37" i="3"/>
  <c r="F13" i="3" s="1"/>
  <c r="G8" i="13" s="1"/>
  <c r="F8" i="9"/>
  <c r="I7" i="7"/>
  <c r="I9" i="7" s="1"/>
  <c r="H7" i="12"/>
  <c r="I13" i="12"/>
  <c r="F27" i="6"/>
  <c r="G27" i="3"/>
  <c r="G34" i="3" s="1"/>
  <c r="G8" i="9" s="1"/>
  <c r="F28" i="3"/>
  <c r="F35" i="3" l="1"/>
  <c r="G33" i="3" s="1"/>
  <c r="G39" i="3" s="1"/>
  <c r="G15" i="3" s="1"/>
  <c r="H10" i="13" s="1"/>
  <c r="F39" i="3"/>
  <c r="F10" i="9"/>
  <c r="G7" i="9" s="1"/>
  <c r="J26" i="3"/>
  <c r="K23" i="13" s="1"/>
  <c r="J23" i="13"/>
  <c r="I23" i="13"/>
  <c r="G15" i="12"/>
  <c r="I7" i="12"/>
  <c r="J7" i="7"/>
  <c r="J9" i="7" s="1"/>
  <c r="F15" i="3"/>
  <c r="G10" i="13" s="1"/>
  <c r="G21" i="6"/>
  <c r="F16" i="9"/>
  <c r="H27" i="3"/>
  <c r="H34" i="3" s="1"/>
  <c r="J13" i="12"/>
  <c r="F30" i="6"/>
  <c r="F11" i="10"/>
  <c r="F13" i="10" s="1"/>
  <c r="F21" i="10" s="1"/>
  <c r="F15" i="13"/>
  <c r="G37" i="3"/>
  <c r="G13" i="3" s="1"/>
  <c r="H8" i="13" s="1"/>
  <c r="G28" i="3"/>
  <c r="I27" i="3"/>
  <c r="I34" i="3" s="1"/>
  <c r="G35" i="3"/>
  <c r="H33" i="3" s="1"/>
  <c r="K26" i="3" l="1"/>
  <c r="L23" i="13" s="1"/>
  <c r="D23" i="13" s="1"/>
  <c r="J27" i="3"/>
  <c r="J34" i="3" s="1"/>
  <c r="J8" i="9" s="1"/>
  <c r="AN13" i="12"/>
  <c r="H28" i="3"/>
  <c r="K13" i="12"/>
  <c r="T13" i="12"/>
  <c r="AE13" i="12"/>
  <c r="AO13" i="12"/>
  <c r="AM13" i="12"/>
  <c r="Z13" i="12"/>
  <c r="AQ13" i="12"/>
  <c r="AP13" i="12"/>
  <c r="R13" i="12"/>
  <c r="Y13" i="12"/>
  <c r="G16" i="10"/>
  <c r="G24" i="6"/>
  <c r="AK13" i="12"/>
  <c r="X13" i="12"/>
  <c r="AG13" i="12"/>
  <c r="AB13" i="12"/>
  <c r="AJ13" i="12"/>
  <c r="H37" i="3"/>
  <c r="H13" i="3" s="1"/>
  <c r="I8" i="13" s="1"/>
  <c r="H8" i="9"/>
  <c r="AS13" i="12"/>
  <c r="AR13" i="12"/>
  <c r="K7" i="7"/>
  <c r="K9" i="7" s="1"/>
  <c r="J7" i="12"/>
  <c r="AL13" i="12"/>
  <c r="G10" i="9"/>
  <c r="G13" i="9"/>
  <c r="AC13" i="12"/>
  <c r="AH13" i="12"/>
  <c r="N13" i="12"/>
  <c r="AD13" i="12"/>
  <c r="L13" i="12"/>
  <c r="P13" i="12"/>
  <c r="AI13" i="12"/>
  <c r="AF13" i="12"/>
  <c r="U13" i="12"/>
  <c r="Q13" i="12"/>
  <c r="I37" i="3"/>
  <c r="I8" i="9"/>
  <c r="O13" i="12"/>
  <c r="S13" i="12"/>
  <c r="M13" i="12"/>
  <c r="W13" i="12"/>
  <c r="F24" i="10"/>
  <c r="K27" i="3"/>
  <c r="K34" i="3" s="1"/>
  <c r="K8" i="9" s="1"/>
  <c r="L37" i="3"/>
  <c r="J37" i="3"/>
  <c r="H39" i="3"/>
  <c r="H15" i="3" s="1"/>
  <c r="H35" i="3"/>
  <c r="I33" i="3" s="1"/>
  <c r="I28" i="3"/>
  <c r="I43" i="3" s="1"/>
  <c r="J28" i="3"/>
  <c r="J43" i="3" s="1"/>
  <c r="AA13" i="12" l="1"/>
  <c r="V13" i="12"/>
  <c r="G27" i="6"/>
  <c r="G30" i="6" s="1"/>
  <c r="L7" i="7"/>
  <c r="L9" i="7" s="1"/>
  <c r="K7" i="12"/>
  <c r="H21" i="6"/>
  <c r="G16" i="9"/>
  <c r="H7" i="9"/>
  <c r="H15" i="12"/>
  <c r="C15" i="3"/>
  <c r="I10" i="13"/>
  <c r="F24" i="13"/>
  <c r="F26" i="13" s="1"/>
  <c r="F14" i="12"/>
  <c r="F16" i="12" s="1"/>
  <c r="F19" i="12" s="1"/>
  <c r="F26" i="10"/>
  <c r="M37" i="3"/>
  <c r="K37" i="3"/>
  <c r="C34" i="3"/>
  <c r="I39" i="3"/>
  <c r="I35" i="3"/>
  <c r="J33" i="3" s="1"/>
  <c r="K28" i="3"/>
  <c r="K43" i="3" s="1"/>
  <c r="L7" i="12" l="1"/>
  <c r="M7" i="7"/>
  <c r="M9" i="7" s="1"/>
  <c r="H10" i="9"/>
  <c r="H13" i="9"/>
  <c r="N9" i="9"/>
  <c r="P9" i="9"/>
  <c r="AL9" i="9"/>
  <c r="AM9" i="9"/>
  <c r="O9" i="9"/>
  <c r="Z9" i="9"/>
  <c r="AA9" i="9"/>
  <c r="AB9" i="9"/>
  <c r="AN9" i="9"/>
  <c r="Q9" i="9"/>
  <c r="AC9" i="9"/>
  <c r="AO9" i="9"/>
  <c r="AR9" i="9"/>
  <c r="R9" i="9"/>
  <c r="AF9" i="9"/>
  <c r="AQ9" i="9"/>
  <c r="S9" i="9"/>
  <c r="T9" i="9"/>
  <c r="AD9" i="9"/>
  <c r="AE9" i="9"/>
  <c r="AP9" i="9"/>
  <c r="AJ9" i="9"/>
  <c r="K9" i="9"/>
  <c r="AH9" i="9"/>
  <c r="V9" i="9"/>
  <c r="AG9" i="9"/>
  <c r="U9" i="9"/>
  <c r="X9" i="9"/>
  <c r="AI9" i="9"/>
  <c r="L9" i="9"/>
  <c r="W9" i="9"/>
  <c r="AK9" i="9"/>
  <c r="Y9" i="9"/>
  <c r="J9" i="9"/>
  <c r="M9" i="9"/>
  <c r="I9" i="9"/>
  <c r="H16" i="10"/>
  <c r="H24" i="6"/>
  <c r="G15" i="13"/>
  <c r="G11" i="10"/>
  <c r="G13" i="10" s="1"/>
  <c r="G21" i="10" s="1"/>
  <c r="G24" i="10" s="1"/>
  <c r="F28" i="10"/>
  <c r="F8" i="12" s="1"/>
  <c r="F9" i="12" s="1"/>
  <c r="E38" i="3"/>
  <c r="F38" i="3"/>
  <c r="F14" i="3" s="1"/>
  <c r="J38" i="3"/>
  <c r="N38" i="3"/>
  <c r="R38" i="3"/>
  <c r="V38" i="3"/>
  <c r="Z38" i="3"/>
  <c r="P38" i="3"/>
  <c r="X38" i="3"/>
  <c r="I38" i="3"/>
  <c r="Q38" i="3"/>
  <c r="U38" i="3"/>
  <c r="G38" i="3"/>
  <c r="G14" i="3" s="1"/>
  <c r="K38" i="3"/>
  <c r="O38" i="3"/>
  <c r="S38" i="3"/>
  <c r="W38" i="3"/>
  <c r="AA38" i="3"/>
  <c r="H38" i="3"/>
  <c r="H14" i="3" s="1"/>
  <c r="L38" i="3"/>
  <c r="T38" i="3"/>
  <c r="AB38" i="3"/>
  <c r="E37" i="3"/>
  <c r="M38" i="3"/>
  <c r="Y38" i="3"/>
  <c r="J35" i="3"/>
  <c r="K33" i="3" s="1"/>
  <c r="J39" i="3"/>
  <c r="G14" i="12" l="1"/>
  <c r="G16" i="12" s="1"/>
  <c r="G19" i="12" s="1"/>
  <c r="G24" i="13"/>
  <c r="G26" i="13" s="1"/>
  <c r="G26" i="10"/>
  <c r="G28" i="10" s="1"/>
  <c r="G8" i="12" s="1"/>
  <c r="G9" i="12" s="1"/>
  <c r="AA18" i="10"/>
  <c r="AR18" i="10"/>
  <c r="AP18" i="10"/>
  <c r="L18" i="10"/>
  <c r="AD18" i="10"/>
  <c r="U18" i="10"/>
  <c r="T18" i="10"/>
  <c r="AN18" i="10"/>
  <c r="V18" i="10"/>
  <c r="S18" i="10"/>
  <c r="AS18" i="10"/>
  <c r="AI18" i="10"/>
  <c r="G16" i="3"/>
  <c r="G43" i="3" s="1"/>
  <c r="H9" i="13"/>
  <c r="H11" i="13" s="1"/>
  <c r="K18" i="10"/>
  <c r="AK18" i="10"/>
  <c r="R18" i="10"/>
  <c r="H16" i="9"/>
  <c r="I21" i="6"/>
  <c r="P18" i="10"/>
  <c r="AM18" i="10"/>
  <c r="AH18" i="10"/>
  <c r="O18" i="10"/>
  <c r="F16" i="3"/>
  <c r="F43" i="3" s="1"/>
  <c r="G9" i="13"/>
  <c r="G11" i="13" s="1"/>
  <c r="G16" i="13" s="1"/>
  <c r="N18" i="10"/>
  <c r="E13" i="3"/>
  <c r="F8" i="13" s="1"/>
  <c r="C37" i="3"/>
  <c r="Z18" i="10"/>
  <c r="AQ18" i="10"/>
  <c r="AO18" i="10"/>
  <c r="I7" i="9"/>
  <c r="I15" i="12"/>
  <c r="AJ18" i="10"/>
  <c r="AG18" i="10"/>
  <c r="H27" i="6"/>
  <c r="H30" i="6" s="1"/>
  <c r="W18" i="10"/>
  <c r="AL18" i="10"/>
  <c r="AF18" i="10"/>
  <c r="AC18" i="10"/>
  <c r="M7" i="12"/>
  <c r="N7" i="7"/>
  <c r="N9" i="7" s="1"/>
  <c r="M18" i="10"/>
  <c r="H16" i="3"/>
  <c r="H43" i="3" s="1"/>
  <c r="I9" i="13"/>
  <c r="I11" i="13" s="1"/>
  <c r="Y18" i="10"/>
  <c r="Q18" i="10"/>
  <c r="J18" i="10"/>
  <c r="E14" i="3"/>
  <c r="F9" i="13" s="1"/>
  <c r="X18" i="10"/>
  <c r="AE18" i="10"/>
  <c r="AB18" i="10"/>
  <c r="K39" i="3"/>
  <c r="K35" i="3"/>
  <c r="L33" i="3" s="1"/>
  <c r="C13" i="3" l="1"/>
  <c r="H11" i="10"/>
  <c r="H13" i="10" s="1"/>
  <c r="H21" i="10" s="1"/>
  <c r="H24" i="10" s="1"/>
  <c r="H24" i="13" s="1"/>
  <c r="H15" i="13"/>
  <c r="H16" i="13" s="1"/>
  <c r="O7" i="7"/>
  <c r="O9" i="7" s="1"/>
  <c r="N7" i="12"/>
  <c r="I10" i="9"/>
  <c r="I13" i="9"/>
  <c r="C14" i="3"/>
  <c r="E16" i="3"/>
  <c r="E43" i="3" s="1"/>
  <c r="F11" i="13"/>
  <c r="I16" i="10"/>
  <c r="I24" i="6"/>
  <c r="L35" i="3"/>
  <c r="M33" i="3" s="1"/>
  <c r="L39" i="3"/>
  <c r="H14" i="12" l="1"/>
  <c r="H16" i="12" s="1"/>
  <c r="H19" i="12" s="1"/>
  <c r="H26" i="10"/>
  <c r="O7" i="12"/>
  <c r="P7" i="7"/>
  <c r="P9" i="7" s="1"/>
  <c r="I27" i="6"/>
  <c r="I30" i="6" s="1"/>
  <c r="D11" i="13"/>
  <c r="F16" i="13"/>
  <c r="J21" i="6"/>
  <c r="I16" i="9"/>
  <c r="J7" i="9"/>
  <c r="J15" i="12"/>
  <c r="H28" i="10"/>
  <c r="H8" i="12" s="1"/>
  <c r="H9" i="12" s="1"/>
  <c r="M35" i="3"/>
  <c r="N33" i="3" s="1"/>
  <c r="M39" i="3"/>
  <c r="J10" i="9" l="1"/>
  <c r="J13" i="9"/>
  <c r="P7" i="12"/>
  <c r="Q7" i="7"/>
  <c r="Q9" i="7" s="1"/>
  <c r="J16" i="10"/>
  <c r="J24" i="6"/>
  <c r="I11" i="10"/>
  <c r="I13" i="10" s="1"/>
  <c r="I21" i="10" s="1"/>
  <c r="I24" i="10" s="1"/>
  <c r="I14" i="12" s="1"/>
  <c r="I16" i="12" s="1"/>
  <c r="I19" i="12" s="1"/>
  <c r="I15" i="13"/>
  <c r="I16" i="13" s="1"/>
  <c r="N35" i="3"/>
  <c r="O33" i="3" s="1"/>
  <c r="N39" i="3"/>
  <c r="I24" i="13" l="1"/>
  <c r="I26" i="13" s="1"/>
  <c r="I26" i="10"/>
  <c r="I28" i="10" s="1"/>
  <c r="I8" i="12" s="1"/>
  <c r="I9" i="12" s="1"/>
  <c r="J27" i="6"/>
  <c r="J30" i="6"/>
  <c r="K21" i="6"/>
  <c r="J16" i="9"/>
  <c r="Q7" i="12"/>
  <c r="R7" i="7"/>
  <c r="R9" i="7" s="1"/>
  <c r="K7" i="9"/>
  <c r="K15" i="12"/>
  <c r="O39" i="3"/>
  <c r="O35" i="3"/>
  <c r="P33" i="3" s="1"/>
  <c r="S7" i="7" l="1"/>
  <c r="S9" i="7" s="1"/>
  <c r="R7" i="12"/>
  <c r="K10" i="9"/>
  <c r="K13" i="9"/>
  <c r="K16" i="10"/>
  <c r="K24" i="6"/>
  <c r="J11" i="10"/>
  <c r="J13" i="10" s="1"/>
  <c r="J21" i="10" s="1"/>
  <c r="J24" i="10" s="1"/>
  <c r="J15" i="13"/>
  <c r="J16" i="13" s="1"/>
  <c r="P39" i="3"/>
  <c r="P35" i="3"/>
  <c r="Q33" i="3" s="1"/>
  <c r="J24" i="13" l="1"/>
  <c r="J26" i="13" s="1"/>
  <c r="J26" i="10"/>
  <c r="J28" i="10" s="1"/>
  <c r="J8" i="12" s="1"/>
  <c r="J9" i="12" s="1"/>
  <c r="J14" i="12"/>
  <c r="J16" i="12" s="1"/>
  <c r="J19" i="12" s="1"/>
  <c r="L7" i="9"/>
  <c r="L15" i="12"/>
  <c r="K27" i="6"/>
  <c r="S7" i="12"/>
  <c r="T7" i="7"/>
  <c r="T9" i="7" s="1"/>
  <c r="L21" i="6"/>
  <c r="K16" i="9"/>
  <c r="Q39" i="3"/>
  <c r="C39" i="3" s="1"/>
  <c r="Q35" i="3"/>
  <c r="R33" i="3" s="1"/>
  <c r="R35" i="3" s="1"/>
  <c r="S33" i="3" s="1"/>
  <c r="S35" i="3" s="1"/>
  <c r="T33" i="3" s="1"/>
  <c r="T35" i="3" s="1"/>
  <c r="U33" i="3" s="1"/>
  <c r="U35" i="3" s="1"/>
  <c r="V33" i="3" s="1"/>
  <c r="V35" i="3" s="1"/>
  <c r="W33" i="3" s="1"/>
  <c r="W35" i="3" s="1"/>
  <c r="X33" i="3" s="1"/>
  <c r="X35" i="3" s="1"/>
  <c r="Y33" i="3" s="1"/>
  <c r="Y35" i="3" s="1"/>
  <c r="Z33" i="3" s="1"/>
  <c r="Z35" i="3" s="1"/>
  <c r="AA33" i="3" s="1"/>
  <c r="AA35" i="3" s="1"/>
  <c r="K15" i="13" l="1"/>
  <c r="K16" i="13" s="1"/>
  <c r="K11" i="10"/>
  <c r="K13" i="10" s="1"/>
  <c r="K21" i="10" s="1"/>
  <c r="T7" i="12"/>
  <c r="U7" i="7"/>
  <c r="U9" i="7" s="1"/>
  <c r="K30" i="6"/>
  <c r="L16" i="10"/>
  <c r="L24" i="6"/>
  <c r="L10" i="9"/>
  <c r="L13" i="9"/>
  <c r="AB33" i="3"/>
  <c r="AB35" i="3" s="1"/>
  <c r="AC38" i="3"/>
  <c r="K24" i="10" l="1"/>
  <c r="K26" i="10" s="1"/>
  <c r="K28" i="10" s="1"/>
  <c r="K8" i="12" s="1"/>
  <c r="K9" i="12" s="1"/>
  <c r="M7" i="9"/>
  <c r="M15" i="12"/>
  <c r="M21" i="6"/>
  <c r="L16" i="9"/>
  <c r="L27" i="6"/>
  <c r="L30" i="6" s="1"/>
  <c r="U7" i="12"/>
  <c r="V7" i="7"/>
  <c r="V9" i="7" s="1"/>
  <c r="AC33" i="3"/>
  <c r="AD38" i="3"/>
  <c r="C38" i="3" s="1"/>
  <c r="K14" i="12" l="1"/>
  <c r="K16" i="12" s="1"/>
  <c r="K19" i="12" s="1"/>
  <c r="K24" i="13"/>
  <c r="K26" i="13" s="1"/>
  <c r="V7" i="12"/>
  <c r="W7" i="7"/>
  <c r="W9" i="7" s="1"/>
  <c r="L15" i="13"/>
  <c r="L16" i="13" s="1"/>
  <c r="L11" i="10"/>
  <c r="L13" i="10" s="1"/>
  <c r="L21" i="10" s="1"/>
  <c r="L24" i="10" s="1"/>
  <c r="L24" i="13" s="1"/>
  <c r="L26" i="13" s="1"/>
  <c r="M16" i="10"/>
  <c r="M24" i="6"/>
  <c r="M10" i="9"/>
  <c r="M13" i="9"/>
  <c r="L14" i="12" l="1"/>
  <c r="L16" i="12" s="1"/>
  <c r="L19" i="12" s="1"/>
  <c r="N21" i="6"/>
  <c r="M16" i="9"/>
  <c r="M27" i="6"/>
  <c r="W7" i="12"/>
  <c r="X7" i="7"/>
  <c r="X9" i="7" s="1"/>
  <c r="L26" i="10"/>
  <c r="L28" i="10" s="1"/>
  <c r="L8" i="12" s="1"/>
  <c r="L9" i="12" s="1"/>
  <c r="N7" i="9"/>
  <c r="N15" i="12"/>
  <c r="X7" i="12" l="1"/>
  <c r="Y7" i="7"/>
  <c r="Y9" i="7" s="1"/>
  <c r="M15" i="13"/>
  <c r="M16" i="13" s="1"/>
  <c r="M11" i="10"/>
  <c r="M13" i="10" s="1"/>
  <c r="M21" i="10" s="1"/>
  <c r="N10" i="9"/>
  <c r="N13" i="9"/>
  <c r="M30" i="6"/>
  <c r="N16" i="10"/>
  <c r="N24" i="6"/>
  <c r="M24" i="10" l="1"/>
  <c r="N27" i="6"/>
  <c r="N30" i="6"/>
  <c r="O7" i="9"/>
  <c r="O15" i="12"/>
  <c r="Z7" i="7"/>
  <c r="Z9" i="7" s="1"/>
  <c r="Y7" i="12"/>
  <c r="O21" i="6"/>
  <c r="N16" i="9"/>
  <c r="M26" i="10" l="1"/>
  <c r="M28" i="10" s="1"/>
  <c r="M8" i="12" s="1"/>
  <c r="M9" i="12" s="1"/>
  <c r="M24" i="13"/>
  <c r="M26" i="13" s="1"/>
  <c r="M14" i="12"/>
  <c r="M16" i="12" s="1"/>
  <c r="M19" i="12" s="1"/>
  <c r="O16" i="10"/>
  <c r="O24" i="6"/>
  <c r="Z7" i="12"/>
  <c r="AA7" i="7"/>
  <c r="AA9" i="7" s="1"/>
  <c r="O10" i="9"/>
  <c r="O13" i="9"/>
  <c r="N15" i="13"/>
  <c r="N16" i="13" s="1"/>
  <c r="N11" i="10"/>
  <c r="N13" i="10" s="1"/>
  <c r="N21" i="10" s="1"/>
  <c r="N24" i="10" l="1"/>
  <c r="N26" i="10" s="1"/>
  <c r="N28" i="10" s="1"/>
  <c r="N8" i="12" s="1"/>
  <c r="N9" i="12" s="1"/>
  <c r="P21" i="6"/>
  <c r="O16" i="9"/>
  <c r="P7" i="9"/>
  <c r="P15" i="12"/>
  <c r="O27" i="6"/>
  <c r="O30" i="6" s="1"/>
  <c r="AA7" i="12"/>
  <c r="AB7" i="7"/>
  <c r="AB9" i="7" s="1"/>
  <c r="N24" i="13" l="1"/>
  <c r="N26" i="13" s="1"/>
  <c r="N14" i="12"/>
  <c r="N16" i="12" s="1"/>
  <c r="N19" i="12" s="1"/>
  <c r="AC7" i="7"/>
  <c r="AC9" i="7" s="1"/>
  <c r="AB7" i="12"/>
  <c r="O15" i="13"/>
  <c r="O16" i="13" s="1"/>
  <c r="O11" i="10"/>
  <c r="O13" i="10" s="1"/>
  <c r="O21" i="10" s="1"/>
  <c r="O24" i="10" s="1"/>
  <c r="O24" i="13" s="1"/>
  <c r="O26" i="13" s="1"/>
  <c r="P10" i="9"/>
  <c r="P13" i="9"/>
  <c r="P16" i="10"/>
  <c r="P24" i="6"/>
  <c r="O14" i="12" l="1"/>
  <c r="O16" i="12" s="1"/>
  <c r="O19" i="12" s="1"/>
  <c r="O26" i="10"/>
  <c r="Q21" i="6"/>
  <c r="P16" i="9"/>
  <c r="P27" i="6"/>
  <c r="P30" i="6" s="1"/>
  <c r="Q7" i="9"/>
  <c r="Q15" i="12"/>
  <c r="AD7" i="7"/>
  <c r="AD9" i="7" s="1"/>
  <c r="AC7" i="12"/>
  <c r="O28" i="10"/>
  <c r="O8" i="12" s="1"/>
  <c r="O9" i="12" s="1"/>
  <c r="AD7" i="12" l="1"/>
  <c r="AE7" i="7"/>
  <c r="AE9" i="7" s="1"/>
  <c r="Q10" i="9"/>
  <c r="Q13" i="9"/>
  <c r="P15" i="13"/>
  <c r="P16" i="13" s="1"/>
  <c r="P11" i="10"/>
  <c r="P13" i="10" s="1"/>
  <c r="P21" i="10" s="1"/>
  <c r="P24" i="10" s="1"/>
  <c r="P24" i="13" s="1"/>
  <c r="P26" i="13" s="1"/>
  <c r="Q16" i="10"/>
  <c r="Q24" i="6"/>
  <c r="P14" i="12" l="1"/>
  <c r="P16" i="12" s="1"/>
  <c r="P19" i="12" s="1"/>
  <c r="Q27" i="6"/>
  <c r="Q30" i="6" s="1"/>
  <c r="AF7" i="7"/>
  <c r="AF9" i="7" s="1"/>
  <c r="AE7" i="12"/>
  <c r="P26" i="10"/>
  <c r="P28" i="10" s="1"/>
  <c r="P8" i="12" s="1"/>
  <c r="P9" i="12" s="1"/>
  <c r="R21" i="6"/>
  <c r="Q16" i="9"/>
  <c r="R7" i="9"/>
  <c r="R15" i="12"/>
  <c r="AG7" i="7" l="1"/>
  <c r="AG9" i="7" s="1"/>
  <c r="AF7" i="12"/>
  <c r="R16" i="10"/>
  <c r="R24" i="6"/>
  <c r="R27" i="6" s="1"/>
  <c r="Q11" i="10"/>
  <c r="Q13" i="10" s="1"/>
  <c r="Q21" i="10" s="1"/>
  <c r="Q24" i="10" s="1"/>
  <c r="Q24" i="13" s="1"/>
  <c r="Q26" i="13" s="1"/>
  <c r="Q15" i="13"/>
  <c r="Q16" i="13" s="1"/>
  <c r="R10" i="9"/>
  <c r="R13" i="9"/>
  <c r="Q26" i="10" l="1"/>
  <c r="Q14" i="12"/>
  <c r="Q16" i="12" s="1"/>
  <c r="Q19" i="12" s="1"/>
  <c r="S7" i="9"/>
  <c r="S15" i="12"/>
  <c r="S21" i="6"/>
  <c r="R16" i="9"/>
  <c r="R30" i="6"/>
  <c r="R24" i="10" s="1"/>
  <c r="R11" i="10"/>
  <c r="R13" i="10" s="1"/>
  <c r="R21" i="10" s="1"/>
  <c r="R15" i="13"/>
  <c r="R16" i="13" s="1"/>
  <c r="AH7" i="7"/>
  <c r="AH9" i="7" s="1"/>
  <c r="AG7" i="12"/>
  <c r="Q28" i="10"/>
  <c r="Q8" i="12" s="1"/>
  <c r="Q9" i="12" s="1"/>
  <c r="AI7" i="7" l="1"/>
  <c r="AI9" i="7" s="1"/>
  <c r="AH7" i="12"/>
  <c r="S16" i="10"/>
  <c r="S24" i="6"/>
  <c r="S10" i="9"/>
  <c r="S13" i="9"/>
  <c r="R26" i="10"/>
  <c r="R24" i="13"/>
  <c r="R26" i="13" s="1"/>
  <c r="R14" i="12"/>
  <c r="R16" i="12" s="1"/>
  <c r="R19" i="12" s="1"/>
  <c r="T7" i="9" l="1"/>
  <c r="T15" i="12"/>
  <c r="T21" i="6"/>
  <c r="S16" i="9"/>
  <c r="S27" i="6"/>
  <c r="S30" i="6" s="1"/>
  <c r="AJ7" i="7"/>
  <c r="AJ9" i="7" s="1"/>
  <c r="AI7" i="12"/>
  <c r="R28" i="10"/>
  <c r="R8" i="12" s="1"/>
  <c r="R9" i="12" s="1"/>
  <c r="T16" i="10" l="1"/>
  <c r="T24" i="6"/>
  <c r="AK7" i="7"/>
  <c r="AK9" i="7" s="1"/>
  <c r="AJ7" i="12"/>
  <c r="S15" i="13"/>
  <c r="S16" i="13" s="1"/>
  <c r="S11" i="10"/>
  <c r="S13" i="10" s="1"/>
  <c r="S21" i="10" s="1"/>
  <c r="S24" i="10" s="1"/>
  <c r="S24" i="13" s="1"/>
  <c r="S26" i="13" s="1"/>
  <c r="T10" i="9"/>
  <c r="T13" i="9"/>
  <c r="S14" i="12" l="1"/>
  <c r="S16" i="12" s="1"/>
  <c r="S19" i="12" s="1"/>
  <c r="S26" i="10"/>
  <c r="U7" i="9"/>
  <c r="U15" i="12"/>
  <c r="T27" i="6"/>
  <c r="T30" i="6" s="1"/>
  <c r="U21" i="6"/>
  <c r="T16" i="9"/>
  <c r="AK7" i="12"/>
  <c r="AL7" i="7"/>
  <c r="AL9" i="7" s="1"/>
  <c r="S28" i="10"/>
  <c r="S8" i="12" s="1"/>
  <c r="S9" i="12" s="1"/>
  <c r="AL7" i="12" l="1"/>
  <c r="AM7" i="7"/>
  <c r="AM9" i="7" s="1"/>
  <c r="U16" i="10"/>
  <c r="U24" i="6"/>
  <c r="T15" i="13"/>
  <c r="T16" i="13" s="1"/>
  <c r="T11" i="10"/>
  <c r="T13" i="10" s="1"/>
  <c r="T21" i="10" s="1"/>
  <c r="T24" i="10" s="1"/>
  <c r="T24" i="13" s="1"/>
  <c r="T26" i="13" s="1"/>
  <c r="U10" i="9"/>
  <c r="U13" i="9"/>
  <c r="T14" i="12" l="1"/>
  <c r="T16" i="12" s="1"/>
  <c r="T19" i="12" s="1"/>
  <c r="T26" i="10"/>
  <c r="V21" i="6"/>
  <c r="U16" i="9"/>
  <c r="V7" i="9"/>
  <c r="V15" i="12"/>
  <c r="AN7" i="7"/>
  <c r="AN9" i="7" s="1"/>
  <c r="AM7" i="12"/>
  <c r="U27" i="6"/>
  <c r="U30" i="6" s="1"/>
  <c r="T28" i="10"/>
  <c r="T8" i="12" s="1"/>
  <c r="T9" i="12" s="1"/>
  <c r="V10" i="9" l="1"/>
  <c r="V13" i="9"/>
  <c r="U15" i="13"/>
  <c r="U16" i="13" s="1"/>
  <c r="U11" i="10"/>
  <c r="U13" i="10" s="1"/>
  <c r="U21" i="10" s="1"/>
  <c r="U24" i="10" s="1"/>
  <c r="AO7" i="7"/>
  <c r="AO9" i="7" s="1"/>
  <c r="AN7" i="12"/>
  <c r="V16" i="10"/>
  <c r="V24" i="6"/>
  <c r="U26" i="10" l="1"/>
  <c r="U28" i="10" s="1"/>
  <c r="U8" i="12" s="1"/>
  <c r="U9" i="12" s="1"/>
  <c r="U24" i="13"/>
  <c r="U26" i="13" s="1"/>
  <c r="U14" i="12"/>
  <c r="U16" i="12" s="1"/>
  <c r="U19" i="12" s="1"/>
  <c r="V27" i="6"/>
  <c r="V30" i="6" s="1"/>
  <c r="W7" i="9"/>
  <c r="W15" i="12"/>
  <c r="AP7" i="7"/>
  <c r="AP9" i="7" s="1"/>
  <c r="AO7" i="12"/>
  <c r="W21" i="6"/>
  <c r="V16" i="9"/>
  <c r="V15" i="13" l="1"/>
  <c r="V16" i="13" s="1"/>
  <c r="V11" i="10"/>
  <c r="V13" i="10" s="1"/>
  <c r="V21" i="10" s="1"/>
  <c r="V24" i="10" s="1"/>
  <c r="W16" i="10"/>
  <c r="W24" i="6"/>
  <c r="AQ7" i="7"/>
  <c r="AQ9" i="7" s="1"/>
  <c r="AP7" i="12"/>
  <c r="W10" i="9"/>
  <c r="W13" i="9"/>
  <c r="V24" i="13" l="1"/>
  <c r="V26" i="13" s="1"/>
  <c r="V26" i="10"/>
  <c r="V14" i="12"/>
  <c r="V16" i="12" s="1"/>
  <c r="V19" i="12" s="1"/>
  <c r="X7" i="9"/>
  <c r="X15" i="12"/>
  <c r="X21" i="6"/>
  <c r="W16" i="9"/>
  <c r="AQ7" i="12"/>
  <c r="AR7" i="7"/>
  <c r="AR9" i="7" s="1"/>
  <c r="W27" i="6"/>
  <c r="V28" i="10"/>
  <c r="V8" i="12" s="1"/>
  <c r="V9" i="12" s="1"/>
  <c r="W15" i="13" l="1"/>
  <c r="W16" i="13" s="1"/>
  <c r="W11" i="10"/>
  <c r="W13" i="10" s="1"/>
  <c r="W21" i="10" s="1"/>
  <c r="AS7" i="7"/>
  <c r="AS9" i="7" s="1"/>
  <c r="AS7" i="12" s="1"/>
  <c r="AR7" i="12"/>
  <c r="X10" i="9"/>
  <c r="X13" i="9"/>
  <c r="W30" i="6"/>
  <c r="W24" i="10" s="1"/>
  <c r="W26" i="10" s="1"/>
  <c r="X16" i="10"/>
  <c r="X24" i="6"/>
  <c r="W24" i="13" l="1"/>
  <c r="W26" i="13" s="1"/>
  <c r="W14" i="12"/>
  <c r="W16" i="12" s="1"/>
  <c r="W19" i="12" s="1"/>
  <c r="Y21" i="6"/>
  <c r="X16" i="9"/>
  <c r="X27" i="6"/>
  <c r="Y7" i="9"/>
  <c r="Y15" i="12"/>
  <c r="W28" i="10"/>
  <c r="W8" i="12" s="1"/>
  <c r="W9" i="12" s="1"/>
  <c r="H26" i="13"/>
  <c r="X15" i="13" l="1"/>
  <c r="X16" i="13" s="1"/>
  <c r="X11" i="10"/>
  <c r="X13" i="10" s="1"/>
  <c r="X21" i="10" s="1"/>
  <c r="Y10" i="9"/>
  <c r="Y13" i="9"/>
  <c r="X30" i="6"/>
  <c r="Y16" i="10"/>
  <c r="Y24" i="6"/>
  <c r="X24" i="10" l="1"/>
  <c r="X26" i="10" s="1"/>
  <c r="X28" i="10" s="1"/>
  <c r="X8" i="12" s="1"/>
  <c r="X9" i="12" s="1"/>
  <c r="Y27" i="6"/>
  <c r="Y30" i="6" s="1"/>
  <c r="Z21" i="6"/>
  <c r="Y16" i="9"/>
  <c r="Z7" i="9"/>
  <c r="Z15" i="12"/>
  <c r="X24" i="13" l="1"/>
  <c r="X26" i="13" s="1"/>
  <c r="X14" i="12"/>
  <c r="X16" i="12" s="1"/>
  <c r="X19" i="12" s="1"/>
  <c r="Z10" i="9"/>
  <c r="Z13" i="9"/>
  <c r="Z16" i="10"/>
  <c r="Z24" i="6"/>
  <c r="Y11" i="10"/>
  <c r="Y13" i="10" s="1"/>
  <c r="Y21" i="10" s="1"/>
  <c r="Y24" i="10" s="1"/>
  <c r="Y26" i="10" s="1"/>
  <c r="Y15" i="13"/>
  <c r="Y16" i="13" s="1"/>
  <c r="Y24" i="13" l="1"/>
  <c r="Y26" i="13" s="1"/>
  <c r="Y14" i="12"/>
  <c r="Y16" i="12" s="1"/>
  <c r="Y19" i="12" s="1"/>
  <c r="Z27" i="6"/>
  <c r="Z30" i="6"/>
  <c r="AA21" i="6"/>
  <c r="Z16" i="9"/>
  <c r="AA7" i="9"/>
  <c r="AA15" i="12"/>
  <c r="Y28" i="10"/>
  <c r="Y8" i="12" s="1"/>
  <c r="Y9" i="12" s="1"/>
  <c r="AA10" i="9" l="1"/>
  <c r="AA13" i="9"/>
  <c r="AA16" i="10"/>
  <c r="AA24" i="6"/>
  <c r="Z15" i="13"/>
  <c r="Z16" i="13" s="1"/>
  <c r="Z11" i="10"/>
  <c r="Z13" i="10" s="1"/>
  <c r="Z21" i="10" s="1"/>
  <c r="Z24" i="10" s="1"/>
  <c r="Z14" i="12" s="1"/>
  <c r="Z16" i="12" s="1"/>
  <c r="Z19" i="12" s="1"/>
  <c r="Z24" i="13" l="1"/>
  <c r="Z26" i="13" s="1"/>
  <c r="Z26" i="10"/>
  <c r="Z28" i="10" s="1"/>
  <c r="Z8" i="12" s="1"/>
  <c r="Z9" i="12" s="1"/>
  <c r="AA27" i="6"/>
  <c r="AA30" i="6" s="1"/>
  <c r="AB21" i="6"/>
  <c r="AA16" i="9"/>
  <c r="AB7" i="9"/>
  <c r="AB15" i="12"/>
  <c r="AB10" i="9" l="1"/>
  <c r="AB13" i="9"/>
  <c r="AB16" i="10"/>
  <c r="AB24" i="6"/>
  <c r="AA15" i="13"/>
  <c r="AA16" i="13" s="1"/>
  <c r="AA11" i="10"/>
  <c r="AA13" i="10" s="1"/>
  <c r="AA21" i="10" s="1"/>
  <c r="AA24" i="10" s="1"/>
  <c r="AA24" i="13" s="1"/>
  <c r="AA26" i="13" s="1"/>
  <c r="AA14" i="12" l="1"/>
  <c r="AA16" i="12" s="1"/>
  <c r="AA19" i="12" s="1"/>
  <c r="AA26" i="10"/>
  <c r="AA28" i="10" s="1"/>
  <c r="AA8" i="12" s="1"/>
  <c r="AA9" i="12" s="1"/>
  <c r="AB27" i="6"/>
  <c r="AB30" i="6"/>
  <c r="AC21" i="6"/>
  <c r="AB16" i="9"/>
  <c r="AC7" i="9"/>
  <c r="AC15" i="12"/>
  <c r="AC10" i="9" l="1"/>
  <c r="AC13" i="9"/>
  <c r="AC16" i="10"/>
  <c r="AC24" i="6"/>
  <c r="AC27" i="6" s="1"/>
  <c r="AB11" i="10"/>
  <c r="AB13" i="10" s="1"/>
  <c r="AB21" i="10" s="1"/>
  <c r="AB24" i="10" s="1"/>
  <c r="AB24" i="13" s="1"/>
  <c r="AB26" i="13" s="1"/>
  <c r="AB15" i="13"/>
  <c r="AB16" i="13" s="1"/>
  <c r="AB14" i="12" l="1"/>
  <c r="AB16" i="12" s="1"/>
  <c r="AB19" i="12" s="1"/>
  <c r="AB26" i="10"/>
  <c r="AB28" i="10" s="1"/>
  <c r="AB8" i="12" s="1"/>
  <c r="AB9" i="12" s="1"/>
  <c r="AD21" i="6"/>
  <c r="AC16" i="9"/>
  <c r="AC30" i="6"/>
  <c r="AC15" i="13"/>
  <c r="AC16" i="13" s="1"/>
  <c r="AC11" i="10"/>
  <c r="AC13" i="10" s="1"/>
  <c r="AC21" i="10" s="1"/>
  <c r="AD7" i="9"/>
  <c r="AD15" i="12"/>
  <c r="AC24" i="10" l="1"/>
  <c r="AC26" i="10" s="1"/>
  <c r="AD10" i="9"/>
  <c r="AD13" i="9"/>
  <c r="AD16" i="10"/>
  <c r="AD24" i="6"/>
  <c r="AC14" i="12" l="1"/>
  <c r="AC16" i="12" s="1"/>
  <c r="AC19" i="12" s="1"/>
  <c r="AC24" i="13"/>
  <c r="AC26" i="13" s="1"/>
  <c r="AD27" i="6"/>
  <c r="AD30" i="6" s="1"/>
  <c r="AE21" i="6"/>
  <c r="AD16" i="9"/>
  <c r="AE7" i="9"/>
  <c r="AE15" i="12"/>
  <c r="AC28" i="10"/>
  <c r="AC8" i="12" s="1"/>
  <c r="AC9" i="12" s="1"/>
  <c r="AE10" i="9" l="1"/>
  <c r="AE13" i="9"/>
  <c r="AE16" i="10"/>
  <c r="AE24" i="6"/>
  <c r="AD11" i="10"/>
  <c r="AD13" i="10" s="1"/>
  <c r="AD21" i="10" s="1"/>
  <c r="AD24" i="10" s="1"/>
  <c r="AD26" i="10" s="1"/>
  <c r="AD15" i="13"/>
  <c r="AD16" i="13" s="1"/>
  <c r="AD14" i="12" l="1"/>
  <c r="AD16" i="12" s="1"/>
  <c r="AD19" i="12" s="1"/>
  <c r="AD24" i="13"/>
  <c r="AD26" i="13" s="1"/>
  <c r="AE27" i="6"/>
  <c r="AE30" i="6"/>
  <c r="AF21" i="6"/>
  <c r="AE16" i="9"/>
  <c r="AF7" i="9"/>
  <c r="AF15" i="12"/>
  <c r="AD28" i="10"/>
  <c r="AD8" i="12" s="1"/>
  <c r="AD9" i="12" s="1"/>
  <c r="AF10" i="9" l="1"/>
  <c r="AF13" i="9"/>
  <c r="AF16" i="10"/>
  <c r="AF24" i="6"/>
  <c r="AE15" i="13"/>
  <c r="AE16" i="13" s="1"/>
  <c r="AE11" i="10"/>
  <c r="AE13" i="10" s="1"/>
  <c r="AE21" i="10" s="1"/>
  <c r="AE24" i="10" s="1"/>
  <c r="AE24" i="13" s="1"/>
  <c r="AE26" i="13" s="1"/>
  <c r="AE14" i="12" l="1"/>
  <c r="AE16" i="12" s="1"/>
  <c r="AE19" i="12" s="1"/>
  <c r="AE26" i="10"/>
  <c r="AF27" i="6"/>
  <c r="AF30" i="6" s="1"/>
  <c r="AG21" i="6"/>
  <c r="AF16" i="9"/>
  <c r="AG7" i="9"/>
  <c r="AG15" i="12"/>
  <c r="AE28" i="10"/>
  <c r="AE8" i="12" s="1"/>
  <c r="AE9" i="12" s="1"/>
  <c r="AG10" i="9" l="1"/>
  <c r="AG13" i="9"/>
  <c r="AG16" i="10"/>
  <c r="AG24" i="6"/>
  <c r="AG27" i="6" s="1"/>
  <c r="AF15" i="13"/>
  <c r="AF16" i="13" s="1"/>
  <c r="AF11" i="10"/>
  <c r="AF13" i="10" s="1"/>
  <c r="AF21" i="10" s="1"/>
  <c r="AF24" i="10" s="1"/>
  <c r="AF14" i="12" s="1"/>
  <c r="AF16" i="12" s="1"/>
  <c r="AF19" i="12" s="1"/>
  <c r="AF24" i="13"/>
  <c r="AF26" i="13" s="1"/>
  <c r="AF26" i="10" l="1"/>
  <c r="AG30" i="6"/>
  <c r="AG15" i="13"/>
  <c r="AG16" i="13" s="1"/>
  <c r="AG11" i="10"/>
  <c r="AG13" i="10" s="1"/>
  <c r="AG21" i="10" s="1"/>
  <c r="AH21" i="6"/>
  <c r="AG16" i="9"/>
  <c r="AH7" i="9"/>
  <c r="AH15" i="12"/>
  <c r="AF28" i="10"/>
  <c r="AF8" i="12" s="1"/>
  <c r="AF9" i="12" s="1"/>
  <c r="AG24" i="10" l="1"/>
  <c r="AG26" i="10" s="1"/>
  <c r="AH10" i="9"/>
  <c r="AH13" i="9"/>
  <c r="AH16" i="10"/>
  <c r="AH24" i="6"/>
  <c r="AH27" i="6" s="1"/>
  <c r="AG24" i="13"/>
  <c r="AG26" i="13" s="1"/>
  <c r="AG14" i="12"/>
  <c r="AG16" i="12" s="1"/>
  <c r="AG19" i="12" s="1"/>
  <c r="AH30" i="6" l="1"/>
  <c r="AH15" i="13"/>
  <c r="AH16" i="13" s="1"/>
  <c r="AH11" i="10"/>
  <c r="AH13" i="10" s="1"/>
  <c r="AH21" i="10" s="1"/>
  <c r="AH24" i="10" s="1"/>
  <c r="AI21" i="6"/>
  <c r="AH16" i="9"/>
  <c r="AI7" i="9"/>
  <c r="AI15" i="12"/>
  <c r="AG28" i="10"/>
  <c r="AG8" i="12" s="1"/>
  <c r="AG9" i="12" s="1"/>
  <c r="AI10" i="9" l="1"/>
  <c r="AI13" i="9"/>
  <c r="AI16" i="10"/>
  <c r="AI24" i="6"/>
  <c r="AH26" i="10"/>
  <c r="AH24" i="13"/>
  <c r="AH26" i="13" s="1"/>
  <c r="AH14" i="12"/>
  <c r="AH16" i="12" s="1"/>
  <c r="AH19" i="12" s="1"/>
  <c r="AI27" i="6" l="1"/>
  <c r="AI30" i="6"/>
  <c r="AJ21" i="6"/>
  <c r="AI16" i="9"/>
  <c r="AJ7" i="9"/>
  <c r="AJ15" i="12"/>
  <c r="AH28" i="10"/>
  <c r="AH8" i="12" s="1"/>
  <c r="AH9" i="12" s="1"/>
  <c r="AJ10" i="9" l="1"/>
  <c r="AJ13" i="9"/>
  <c r="AJ16" i="10"/>
  <c r="AJ24" i="6"/>
  <c r="AI15" i="13"/>
  <c r="AI16" i="13" s="1"/>
  <c r="AI11" i="10"/>
  <c r="AI13" i="10" s="1"/>
  <c r="AI21" i="10" s="1"/>
  <c r="AI24" i="10" s="1"/>
  <c r="AI14" i="12" s="1"/>
  <c r="AI16" i="12" s="1"/>
  <c r="AI19" i="12" s="1"/>
  <c r="AI24" i="13" l="1"/>
  <c r="AI26" i="13" s="1"/>
  <c r="AI26" i="10"/>
  <c r="AI28" i="10" s="1"/>
  <c r="AI8" i="12" s="1"/>
  <c r="AI9" i="12" s="1"/>
  <c r="AJ27" i="6"/>
  <c r="AJ30" i="6" s="1"/>
  <c r="AK21" i="6"/>
  <c r="AJ16" i="9"/>
  <c r="AK7" i="9"/>
  <c r="AK15" i="12"/>
  <c r="AK10" i="9" l="1"/>
  <c r="AK13" i="9"/>
  <c r="AK16" i="10"/>
  <c r="AK24" i="6"/>
  <c r="AJ15" i="13"/>
  <c r="AJ16" i="13" s="1"/>
  <c r="AJ11" i="10"/>
  <c r="AJ13" i="10" s="1"/>
  <c r="AJ21" i="10" s="1"/>
  <c r="AJ24" i="10" s="1"/>
  <c r="AJ14" i="12" s="1"/>
  <c r="AJ16" i="12" s="1"/>
  <c r="AJ19" i="12" s="1"/>
  <c r="AJ24" i="13" l="1"/>
  <c r="AJ26" i="13" s="1"/>
  <c r="AL21" i="6"/>
  <c r="AK16" i="9"/>
  <c r="AJ26" i="10"/>
  <c r="AJ28" i="10" s="1"/>
  <c r="AJ8" i="12" s="1"/>
  <c r="AJ9" i="12" s="1"/>
  <c r="AK27" i="6"/>
  <c r="AK30" i="6"/>
  <c r="AL7" i="9"/>
  <c r="AL15" i="12"/>
  <c r="AL10" i="9" l="1"/>
  <c r="AL13" i="9"/>
  <c r="AL16" i="10"/>
  <c r="AL24" i="6"/>
  <c r="AL27" i="6" s="1"/>
  <c r="AK11" i="10"/>
  <c r="AK13" i="10" s="1"/>
  <c r="AK21" i="10" s="1"/>
  <c r="AK24" i="10" s="1"/>
  <c r="AK24" i="13" s="1"/>
  <c r="AK26" i="13" s="1"/>
  <c r="AK15" i="13"/>
  <c r="AK16" i="13" s="1"/>
  <c r="AK14" i="12" l="1"/>
  <c r="AK16" i="12" s="1"/>
  <c r="AK19" i="12" s="1"/>
  <c r="AK26" i="10"/>
  <c r="AL30" i="6"/>
  <c r="AL11" i="10"/>
  <c r="AL13" i="10" s="1"/>
  <c r="AL21" i="10" s="1"/>
  <c r="AL24" i="10" s="1"/>
  <c r="AL15" i="13"/>
  <c r="AL16" i="13" s="1"/>
  <c r="AM21" i="6"/>
  <c r="AL16" i="9"/>
  <c r="AM7" i="9"/>
  <c r="AM15" i="12"/>
  <c r="AK28" i="10"/>
  <c r="AK8" i="12" s="1"/>
  <c r="AK9" i="12" s="1"/>
  <c r="AM10" i="9" l="1"/>
  <c r="AM13" i="9"/>
  <c r="AM16" i="10"/>
  <c r="AM24" i="6"/>
  <c r="AL26" i="10"/>
  <c r="AL24" i="13"/>
  <c r="AL26" i="13" s="1"/>
  <c r="AL14" i="12"/>
  <c r="AL16" i="12" s="1"/>
  <c r="AL19" i="12" s="1"/>
  <c r="AM27" i="6" l="1"/>
  <c r="AM30" i="6"/>
  <c r="AN21" i="6"/>
  <c r="AM16" i="9"/>
  <c r="AN7" i="9"/>
  <c r="AN15" i="12"/>
  <c r="AL28" i="10"/>
  <c r="AL8" i="12" s="1"/>
  <c r="AL9" i="12" s="1"/>
  <c r="AN10" i="9" l="1"/>
  <c r="AN13" i="9"/>
  <c r="AN16" i="10"/>
  <c r="AN24" i="6"/>
  <c r="AM11" i="10"/>
  <c r="AM13" i="10" s="1"/>
  <c r="AM21" i="10" s="1"/>
  <c r="AM24" i="10" s="1"/>
  <c r="AM26" i="10" s="1"/>
  <c r="AM15" i="13"/>
  <c r="AM16" i="13" s="1"/>
  <c r="AM14" i="12" l="1"/>
  <c r="AM16" i="12" s="1"/>
  <c r="AM19" i="12" s="1"/>
  <c r="AM24" i="13"/>
  <c r="AM26" i="13" s="1"/>
  <c r="AN27" i="6"/>
  <c r="AN30" i="6" s="1"/>
  <c r="AO21" i="6"/>
  <c r="AN16" i="9"/>
  <c r="AO7" i="9"/>
  <c r="AO15" i="12"/>
  <c r="AM28" i="10"/>
  <c r="AM8" i="12" s="1"/>
  <c r="AM9" i="12" s="1"/>
  <c r="AO10" i="9" l="1"/>
  <c r="AO13" i="9"/>
  <c r="AO16" i="10"/>
  <c r="AO24" i="6"/>
  <c r="AO27" i="6" s="1"/>
  <c r="AN15" i="13"/>
  <c r="AN16" i="13" s="1"/>
  <c r="AN11" i="10"/>
  <c r="AN13" i="10" s="1"/>
  <c r="AN21" i="10" s="1"/>
  <c r="AN24" i="10" s="1"/>
  <c r="AN24" i="13" s="1"/>
  <c r="AN26" i="13" s="1"/>
  <c r="AN14" i="12" l="1"/>
  <c r="AN16" i="12" s="1"/>
  <c r="AN19" i="12" s="1"/>
  <c r="AN26" i="10"/>
  <c r="AO30" i="6"/>
  <c r="AO15" i="13"/>
  <c r="AO16" i="13" s="1"/>
  <c r="AO11" i="10"/>
  <c r="AO13" i="10" s="1"/>
  <c r="AO21" i="10" s="1"/>
  <c r="AP21" i="6"/>
  <c r="AO16" i="9"/>
  <c r="AP7" i="9"/>
  <c r="AP15" i="12"/>
  <c r="AN28" i="10"/>
  <c r="AN8" i="12" s="1"/>
  <c r="AN9" i="12" s="1"/>
  <c r="AO24" i="10"/>
  <c r="AP10" i="9" l="1"/>
  <c r="AP13" i="9"/>
  <c r="AP16" i="10"/>
  <c r="AP24" i="6"/>
  <c r="AP27" i="6" s="1"/>
  <c r="AO26" i="10"/>
  <c r="AO24" i="13"/>
  <c r="AO26" i="13" s="1"/>
  <c r="AO14" i="12"/>
  <c r="AO16" i="12" s="1"/>
  <c r="AO19" i="12" s="1"/>
  <c r="AP30" i="6" l="1"/>
  <c r="AP15" i="13"/>
  <c r="AP16" i="13" s="1"/>
  <c r="AP11" i="10"/>
  <c r="AP13" i="10" s="1"/>
  <c r="AP21" i="10" s="1"/>
  <c r="AP24" i="10" s="1"/>
  <c r="AQ21" i="6"/>
  <c r="AP16" i="9"/>
  <c r="AQ7" i="9"/>
  <c r="AQ15" i="12"/>
  <c r="AO28" i="10"/>
  <c r="AO8" i="12" s="1"/>
  <c r="AO9" i="12" s="1"/>
  <c r="AQ10" i="9" l="1"/>
  <c r="AQ13" i="9"/>
  <c r="AQ16" i="10"/>
  <c r="AQ24" i="6"/>
  <c r="AP26" i="10"/>
  <c r="AP24" i="13"/>
  <c r="AP26" i="13" s="1"/>
  <c r="AP14" i="12"/>
  <c r="AP16" i="12" s="1"/>
  <c r="AP19" i="12" s="1"/>
  <c r="AQ27" i="6" l="1"/>
  <c r="AQ30" i="6"/>
  <c r="AR21" i="6"/>
  <c r="AQ16" i="9"/>
  <c r="AR7" i="9"/>
  <c r="AR15" i="12"/>
  <c r="AP28" i="10"/>
  <c r="AP8" i="12" s="1"/>
  <c r="AP9" i="12" s="1"/>
  <c r="AR10" i="9" l="1"/>
  <c r="AS15" i="12" s="1"/>
  <c r="AR13" i="9"/>
  <c r="AR16" i="10"/>
  <c r="AR24" i="6"/>
  <c r="AQ15" i="13"/>
  <c r="AQ16" i="13" s="1"/>
  <c r="AQ11" i="10"/>
  <c r="AQ13" i="10" s="1"/>
  <c r="AQ21" i="10" s="1"/>
  <c r="AQ24" i="10" s="1"/>
  <c r="AQ24" i="13" s="1"/>
  <c r="AQ26" i="13" s="1"/>
  <c r="AQ14" i="12" l="1"/>
  <c r="AQ16" i="12" s="1"/>
  <c r="AQ19" i="12" s="1"/>
  <c r="AR27" i="6"/>
  <c r="AS21" i="6"/>
  <c r="AR16" i="9"/>
  <c r="AQ26" i="10"/>
  <c r="AQ28" i="10" s="1"/>
  <c r="AQ8" i="12" s="1"/>
  <c r="AQ9" i="12" s="1"/>
  <c r="AR15" i="13" l="1"/>
  <c r="AR16" i="13" s="1"/>
  <c r="AR11" i="10"/>
  <c r="AR13" i="10" s="1"/>
  <c r="AR21" i="10" s="1"/>
  <c r="AS16" i="10"/>
  <c r="AS24" i="6"/>
  <c r="AS27" i="6" s="1"/>
  <c r="AR30" i="6"/>
  <c r="AR24" i="10" l="1"/>
  <c r="AR26" i="10" s="1"/>
  <c r="AS30" i="6"/>
  <c r="AS11" i="10"/>
  <c r="AS13" i="10" s="1"/>
  <c r="AS21" i="10" s="1"/>
  <c r="AS24" i="10" s="1"/>
  <c r="AS15" i="13"/>
  <c r="AS16" i="13" s="1"/>
  <c r="D18" i="13" s="1"/>
  <c r="AR28" i="10"/>
  <c r="AR8" i="12" s="1"/>
  <c r="AR9" i="12" s="1"/>
  <c r="AR14" i="12" l="1"/>
  <c r="AR16" i="12" s="1"/>
  <c r="AR19" i="12" s="1"/>
  <c r="AR24" i="13"/>
  <c r="AR26" i="13" s="1"/>
  <c r="AS26" i="10"/>
  <c r="AS28" i="10" s="1"/>
  <c r="AS24" i="13"/>
  <c r="AS14" i="12"/>
  <c r="AS16" i="12" s="1"/>
  <c r="AS19" i="12" s="1"/>
  <c r="AS8" i="12" l="1"/>
  <c r="AS9" i="12" s="1"/>
  <c r="AS25" i="13"/>
  <c r="AS26" i="13" s="1"/>
  <c r="D28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<sst xmlns="http://schemas.openxmlformats.org/spreadsheetml/2006/main" count="270" uniqueCount="137">
  <si>
    <t xml:space="preserve">Time assumptions </t>
  </si>
  <si>
    <t>Concession contract duration</t>
  </si>
  <si>
    <t>Values</t>
  </si>
  <si>
    <t>Units</t>
  </si>
  <si>
    <t>Estimated Traffic and Revenue</t>
  </si>
  <si>
    <t>Traffic - PC</t>
  </si>
  <si>
    <t>Traffic - HV</t>
  </si>
  <si>
    <t>Toll rate - PC</t>
  </si>
  <si>
    <t>Toll rate  - HV</t>
  </si>
  <si>
    <t>years</t>
  </si>
  <si>
    <t>Heavy Maintenance and SPV</t>
  </si>
  <si>
    <t xml:space="preserve">Growth rate </t>
  </si>
  <si>
    <t>Costs during operation</t>
  </si>
  <si>
    <t>Costs during construction</t>
  </si>
  <si>
    <t>Project Financing</t>
  </si>
  <si>
    <t>Base Interest Rate</t>
  </si>
  <si>
    <t>Arrangement fee</t>
  </si>
  <si>
    <t>Fixed Intrest Margin</t>
  </si>
  <si>
    <t>Engagement fee</t>
  </si>
  <si>
    <t>Tax &amp; Accounting assumptions</t>
  </si>
  <si>
    <t>Tax Rate</t>
  </si>
  <si>
    <t>Dividend distribution policy</t>
  </si>
  <si>
    <t>vh/year</t>
  </si>
  <si>
    <t>%</t>
  </si>
  <si>
    <t>$/vh</t>
  </si>
  <si>
    <t>$</t>
  </si>
  <si>
    <t>Gearing</t>
  </si>
  <si>
    <t>Traffic Evolution per Year ( PC+ HV)</t>
  </si>
  <si>
    <t>Toll rate inflation per year</t>
  </si>
  <si>
    <t>CAPEX (including SPV)</t>
  </si>
  <si>
    <t>per year</t>
  </si>
  <si>
    <t>of margin</t>
  </si>
  <si>
    <t>Best Case</t>
  </si>
  <si>
    <t>Scenario2</t>
  </si>
  <si>
    <t>Gearing+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</si>
  <si>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</si>
  <si>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</si>
  <si>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</si>
  <si>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</si>
  <si>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</si>
  <si>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</si>
  <si>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</si>
  <si>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 chosen</t>
  </si>
  <si>
    <t xml:space="preserve">Year </t>
  </si>
  <si>
    <t>Flags</t>
  </si>
  <si>
    <t>Construction</t>
  </si>
  <si>
    <t>End of constrction</t>
  </si>
  <si>
    <t>Operations</t>
  </si>
  <si>
    <t>Beginning of contstruction</t>
  </si>
  <si>
    <t>Debt Timeline</t>
  </si>
  <si>
    <t>Availability Start Date</t>
  </si>
  <si>
    <t>Active</t>
  </si>
  <si>
    <t>Availability End Date</t>
  </si>
  <si>
    <t>Repayment Start Date</t>
  </si>
  <si>
    <t>Repayment End Date</t>
  </si>
  <si>
    <t>CAPEX</t>
  </si>
  <si>
    <t>Total costs</t>
  </si>
  <si>
    <t>Uses</t>
  </si>
  <si>
    <t>Construction Cost(k$)</t>
  </si>
  <si>
    <t>Arrangement fee(k$)</t>
  </si>
  <si>
    <t>Engagement fee(k$)</t>
  </si>
  <si>
    <t>Construction costs(k$)</t>
  </si>
  <si>
    <t>Capitalized Intreset(k$)</t>
  </si>
  <si>
    <t>Total Uses</t>
  </si>
  <si>
    <t>Sources</t>
  </si>
  <si>
    <t>Debt</t>
  </si>
  <si>
    <t>Equity</t>
  </si>
  <si>
    <t>Debt(k$)</t>
  </si>
  <si>
    <t>Equity(k$)</t>
  </si>
  <si>
    <t>Total Sources(k$)</t>
  </si>
  <si>
    <t>Debt Outsanding BoP</t>
  </si>
  <si>
    <t>Debt Drawdown</t>
  </si>
  <si>
    <t>Debt Outsanding EoP</t>
  </si>
  <si>
    <t>Capitalized Intreset</t>
  </si>
  <si>
    <t>Uses of funds for circularity Breakdown Purpose</t>
  </si>
  <si>
    <t>Total Equity Amount</t>
  </si>
  <si>
    <t>Total Debt Amount</t>
  </si>
  <si>
    <t>Uses Total</t>
  </si>
  <si>
    <t>CHECK</t>
  </si>
  <si>
    <t>Total</t>
  </si>
  <si>
    <t>Traffic &amp; Revenue Assumptions</t>
  </si>
  <si>
    <t>REVENUE - Passenger Car (PC)</t>
  </si>
  <si>
    <t>REVENUE  - Heavy Vehicle (HV)</t>
  </si>
  <si>
    <t>TRAFFIC - Passenger Car (PC)</t>
  </si>
  <si>
    <t>TRAFFIC - Heavy Vehicle (HV)</t>
  </si>
  <si>
    <t>Total Revenue(real)</t>
  </si>
  <si>
    <t>Total Revenue(nominal)</t>
  </si>
  <si>
    <t>COSTS</t>
  </si>
  <si>
    <t>Maintenance &amp; SPV costs</t>
  </si>
  <si>
    <t>Total Costs(nominal)</t>
  </si>
  <si>
    <t>k$</t>
  </si>
  <si>
    <t>P&amp;L</t>
  </si>
  <si>
    <t>Gross Revenues</t>
  </si>
  <si>
    <t>OPEX</t>
  </si>
  <si>
    <t>EBITDA</t>
  </si>
  <si>
    <t>Amortizations</t>
  </si>
  <si>
    <t>EBIT</t>
  </si>
  <si>
    <t>Income Tax</t>
  </si>
  <si>
    <t>Net Profit</t>
  </si>
  <si>
    <t>A&amp;D</t>
  </si>
  <si>
    <t>Amortization</t>
  </si>
  <si>
    <t>Book Value At Opening</t>
  </si>
  <si>
    <t xml:space="preserve">Book Value At closing </t>
  </si>
  <si>
    <t>Interest</t>
  </si>
  <si>
    <t>EBT</t>
  </si>
  <si>
    <t xml:space="preserve">Debt Drawdown Schedule </t>
  </si>
  <si>
    <t>Debt Repayment Schedule</t>
  </si>
  <si>
    <t>Opening Balance</t>
  </si>
  <si>
    <t>Drawdowns</t>
  </si>
  <si>
    <t>Principal Repayment</t>
  </si>
  <si>
    <t>Closing balance</t>
  </si>
  <si>
    <t>Interests</t>
  </si>
  <si>
    <t>Debt Service</t>
  </si>
  <si>
    <t>CashFlow Statements</t>
  </si>
  <si>
    <t>OPEX ( Maintenance &amp; SPV costs</t>
  </si>
  <si>
    <t>Cash Flow available For Debt service(CFADS)</t>
  </si>
  <si>
    <t>Dividends</t>
  </si>
  <si>
    <t>Net Cash Flow</t>
  </si>
  <si>
    <t>Cash in hands</t>
  </si>
  <si>
    <t>Cash Flow Available For Equity</t>
  </si>
  <si>
    <t>Balance Sheet</t>
  </si>
  <si>
    <t>Assets</t>
  </si>
  <si>
    <t>Cash in Hand</t>
  </si>
  <si>
    <t>Retained Earnings</t>
  </si>
  <si>
    <t xml:space="preserve"> </t>
  </si>
  <si>
    <t>Project IRR</t>
  </si>
  <si>
    <t>CAPEX ( incl.SPV costs)</t>
  </si>
  <si>
    <t>Total investement</t>
  </si>
  <si>
    <t>Revenue PC+ HV</t>
  </si>
  <si>
    <t>Maintenance + SPV costs</t>
  </si>
  <si>
    <t>Corporate Tax</t>
  </si>
  <si>
    <t>Cash Flow</t>
  </si>
  <si>
    <t>Equity IRR</t>
  </si>
  <si>
    <t>Equity Inected</t>
  </si>
  <si>
    <t xml:space="preserve">Total Cash out/ Cash in </t>
  </si>
  <si>
    <t>Dividends earned</t>
  </si>
  <si>
    <r>
      <t>Cash out</t>
    </r>
    <r>
      <rPr>
        <b/>
        <sz val="11"/>
        <color theme="1"/>
        <rFont val="Calibri"/>
        <family val="2"/>
        <scheme val="minor"/>
      </rPr>
      <t xml:space="preserve"> End of Concession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</si>
</sst>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#,##0;[Red]#,##0"/>
    <numFmt numFmtId="165" formatCode="0.0%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FF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/>
    <xf numFmtId="0" fontId="0" fillId="3" borderId="0" xfId="0" applyFill="1"/>
    <xf numFmtId="0" fontId="2" fillId="2" borderId="2" xfId="0" applyFont="1" applyFill="1" applyBorder="1"/>
    <xf numFmtId="0" fontId="0" fillId="2" borderId="3" xfId="0" applyFill="1" applyBorder="1"/>
    <xf numFmtId="0" fontId="5" fillId="3" borderId="0" xfId="0" applyFont="1" applyFill="1"/>
    <xf numFmtId="164" fontId="5" fillId="3" borderId="0" xfId="0" applyNumberFormat="1" applyFont="1" applyFill="1"/>
    <xf numFmtId="165" fontId="5" fillId="3" borderId="0" xfId="1" applyNumberFormat="1" applyFont="1" applyFill="1"/>
    <xf numFmtId="0" fontId="2" fillId="0" borderId="1" xfId="0" applyFont="1" applyBorder="1"/>
    <xf numFmtId="0" fontId="0" fillId="0" borderId="4" xfId="0" applyBorder="1"/>
    <xf numFmtId="6" fontId="0" fillId="3" borderId="0" xfId="0" applyNumberFormat="1" applyFill="1"/>
    <xf numFmtId="38" fontId="0" fillId="3" borderId="0" xfId="0" applyNumberFormat="1" applyFill="1"/>
    <xf numFmtId="9" fontId="0" fillId="3" borderId="0" xfId="1" applyFont="1" applyFill="1"/>
    <xf numFmtId="0" fontId="6" fillId="0" borderId="2" xfId="0" applyFont="1" applyBorder="1"/>
    <xf numFmtId="0" fontId="6" fillId="0" borderId="4" xfId="0" applyFont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5" fillId="0" borderId="0" xfId="0" applyFont="1"/>
    <xf numFmtId="0" fontId="2" fillId="0" borderId="0" xfId="0" applyFont="1"/>
    <xf numFmtId="0" fontId="2" fillId="0" borderId="2" xfId="0" applyFont="1" applyBorder="1"/>
    <xf numFmtId="0" fontId="0" fillId="0" borderId="3" xfId="0" applyBorder="1"/>
    <xf numFmtId="0" fontId="2" fillId="3" borderId="2" xfId="0" applyFont="1" applyFill="1" applyBorder="1"/>
    <xf numFmtId="0" fontId="2" fillId="3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0" fontId="0" fillId="0" borderId="0" xfId="0" applyNumberFormat="1"/>
    <xf numFmtId="38" fontId="0" fillId="0" borderId="0" xfId="0" applyNumberFormat="1"/>
    <xf numFmtId="38" fontId="0" fillId="0" borderId="0" xfId="0" applyNumberFormat="1" applyAlignment="1">
      <alignment horizontal="center"/>
    </xf>
    <xf numFmtId="38" fontId="0" fillId="3" borderId="3" xfId="0" applyNumberFormat="1" applyFill="1" applyBorder="1" applyAlignment="1">
      <alignment horizontal="center"/>
    </xf>
    <xf numFmtId="38" fontId="2" fillId="3" borderId="3" xfId="0" applyNumberFormat="1" applyFont="1" applyFill="1" applyBorder="1" applyAlignment="1">
      <alignment horizontal="center"/>
    </xf>
    <xf numFmtId="165" fontId="0" fillId="3" borderId="0" xfId="1" applyNumberFormat="1" applyFont="1" applyFill="1"/>
    <xf numFmtId="0" fontId="5" fillId="0" borderId="0" xfId="0" applyFont="1" applyAlignment="1">
      <alignment horizontal="center"/>
    </xf>
    <xf numFmtId="38" fontId="5" fillId="0" borderId="0" xfId="0" applyNumberFormat="1" applyFont="1" applyAlignment="1">
      <alignment horizontal="center"/>
    </xf>
    <xf numFmtId="0" fontId="0" fillId="0" borderId="5" xfId="0" applyBorder="1"/>
    <xf numFmtId="38" fontId="0" fillId="0" borderId="6" xfId="0" applyNumberFormat="1" applyBorder="1"/>
    <xf numFmtId="0" fontId="0" fillId="0" borderId="7" xfId="0" applyBorder="1"/>
    <xf numFmtId="38" fontId="0" fillId="0" borderId="8" xfId="0" applyNumberFormat="1" applyBorder="1"/>
    <xf numFmtId="0" fontId="0" fillId="0" borderId="9" xfId="0" applyBorder="1"/>
    <xf numFmtId="38" fontId="0" fillId="0" borderId="10" xfId="0" applyNumberFormat="1" applyBorder="1"/>
    <xf numFmtId="4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9" fontId="5" fillId="3" borderId="0" xfId="1" applyFont="1" applyFill="1"/>
    <xf numFmtId="0" fontId="2" fillId="4" borderId="2" xfId="0" applyFont="1" applyFill="1" applyBorder="1"/>
    <xf numFmtId="0" fontId="0" fillId="4" borderId="3" xfId="0" applyFill="1" applyBorder="1"/>
    <xf numFmtId="0" fontId="0" fillId="4" borderId="0" xfId="0" applyFill="1"/>
    <xf numFmtId="0" fontId="2" fillId="4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8" fontId="2" fillId="3" borderId="3" xfId="0" applyNumberFormat="1" applyFont="1" applyFill="1" applyBorder="1"/>
    <xf numFmtId="38" fontId="2" fillId="0" borderId="0" xfId="0" applyNumberFormat="1" applyFont="1" applyAlignment="1">
      <alignment horizontal="center"/>
    </xf>
    <xf numFmtId="0" fontId="0" fillId="4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4" borderId="3" xfId="0" applyFont="1" applyFill="1" applyBorder="1"/>
    <xf numFmtId="38" fontId="2" fillId="4" borderId="3" xfId="0" applyNumberFormat="1" applyFont="1" applyFill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/>
    <xf numFmtId="0" fontId="0" fillId="0" borderId="11" xfId="0" applyBorder="1"/>
    <xf numFmtId="38" fontId="0" fillId="0" borderId="11" xfId="0" applyNumberFormat="1" applyBorder="1"/>
    <xf numFmtId="9" fontId="0" fillId="0" borderId="0" xfId="0" applyNumberFormat="1"/>
    <xf numFmtId="9" fontId="2" fillId="0" borderId="0" xfId="0" applyNumberFormat="1" applyFont="1" applyAlignment="1">
      <alignment horizontal="center"/>
    </xf>
    <xf numFmtId="0" fontId="2" fillId="5" borderId="0" xfId="0" applyFont="1" applyFill="1"/>
    <xf numFmtId="0" fontId="0" fillId="5" borderId="0" xfId="0" applyFill="1"/>
    <xf numFmtId="9" fontId="2" fillId="5" borderId="0" xfId="0" applyNumberFormat="1" applyFont="1" applyFill="1" applyAlignment="1">
      <alignment horizontal="center"/>
    </xf>
    <xf numFmtId="0" fontId="5" fillId="5" borderId="0" xfId="0" applyFont="1" applyFill="1"/>
    <xf numFmtId="166" fontId="5" fillId="5" borderId="0" xfId="0" applyNumberFormat="1" applyFont="1" applyFill="1"/>
  </cellXfs>
  <cellStyles count="2">
    <cellStyle name="Normal" xfId="0" builtinId="0"/>
    <cellStyle name="Percent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39F-2B35-47F7-B4A9-D566DF53CE9A}">
  <sheetPr codeName="Sheet1"/>
  <dimension ref="A1:S38"/>
  <sheetViews>
    <sheetView showGridLines="0" topLeftCell="B1" zoomScaleNormal="100" workbookViewId="0">
      <selection activeCell="E2" sqref="E2"/>
    </sheetView>
  </sheetViews>
  <sheetFormatPr defaultColWidth="0" defaultRowHeight="14.25" x14ac:dyDescent="0.45"/>
  <cols>
    <col min="1" max="1" width="8.86328125" customWidth="1"/>
    <col min="2" max="2" width="30.33203125" customWidth="1"/>
    <col min="3" max="3" width="8.86328125" customWidth="1"/>
    <col min="4" max="4" width="9.6640625" customWidth="1"/>
    <col min="5" max="5" width="15.53125" customWidth="1"/>
    <col min="6" max="6" width="8.86328125" customWidth="1"/>
    <col min="7" max="7" width="11.33203125" customWidth="1"/>
    <col min="8" max="8" width="12.1328125" customWidth="1"/>
    <col min="9" max="9" width="14.6640625" customWidth="1"/>
    <col min="10" max="10" width="13.1328125" customWidth="1"/>
    <col min="11" max="11" width="12.53125" customWidth="1"/>
    <col min="12" max="15" width="8.86328125" customWidth="1"/>
    <col min="16" max="16" width="10.53125" customWidth="1"/>
    <col min="17" max="19" width="8.86328125" customWidth="1"/>
    <col min="20" max="16384" width="8.86328125" hidden="1"/>
  </cols>
  <sheetData>
    <row r="1" spans="1:19" x14ac:dyDescent="0.45"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9" x14ac:dyDescent="0.45">
      <c r="B2" s="8" t="s">
        <v>42</v>
      </c>
      <c r="C2" s="13"/>
      <c r="D2" s="14"/>
      <c r="E2" s="9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</row>
    <row r="3" spans="1:19" x14ac:dyDescent="0.45">
      <c r="D3" t="s">
        <v>3</v>
      </c>
      <c r="E3" t="s">
        <v>2</v>
      </c>
    </row>
    <row r="4" spans="1:19" s="4" customFormat="1" x14ac:dyDescent="0.45">
      <c r="A4"/>
      <c r="B4" s="3" t="s">
        <v>0</v>
      </c>
    </row>
    <row r="6" spans="1:19" x14ac:dyDescent="0.45">
      <c r="B6" t="s">
        <v>1</v>
      </c>
      <c r="D6" s="1" t="s">
        <v>9</v>
      </c>
      <c r="E6" s="2">
        <f>INDEX(G6:P6,$E$2)</f>
        <v>40</v>
      </c>
      <c r="G6" s="5">
        <v>40</v>
      </c>
      <c r="H6" s="5">
        <v>36.5</v>
      </c>
      <c r="I6" s="5">
        <v>40</v>
      </c>
      <c r="J6" s="5">
        <v>35.5</v>
      </c>
      <c r="K6" s="5">
        <v>40</v>
      </c>
      <c r="L6" s="2"/>
      <c r="M6" s="2"/>
      <c r="N6" s="2"/>
      <c r="O6" s="2"/>
      <c r="P6" s="2"/>
      <c r="Q6" s="2"/>
      <c r="R6" s="2"/>
      <c r="S6" s="2"/>
    </row>
    <row r="7" spans="1:19" x14ac:dyDescent="0.45">
      <c r="B7" t="s">
        <v>1</v>
      </c>
      <c r="D7" s="1" t="s">
        <v>9</v>
      </c>
      <c r="E7" s="2">
        <f>INDEX(G7:P7,$E$2)</f>
        <v>4</v>
      </c>
      <c r="G7" s="5">
        <v>4</v>
      </c>
      <c r="H7" s="5">
        <v>4</v>
      </c>
      <c r="I7" s="5">
        <v>4</v>
      </c>
      <c r="J7" s="5">
        <v>4</v>
      </c>
      <c r="K7" s="5">
        <v>4</v>
      </c>
      <c r="L7" s="2"/>
      <c r="M7" s="2"/>
      <c r="N7" s="2"/>
      <c r="O7" s="2"/>
      <c r="P7" s="2"/>
      <c r="Q7" s="2"/>
      <c r="R7" s="2"/>
      <c r="S7" s="2"/>
    </row>
    <row r="8" spans="1:19" x14ac:dyDescent="0.45">
      <c r="B8" t="s">
        <v>1</v>
      </c>
      <c r="D8" s="1" t="s">
        <v>9</v>
      </c>
      <c r="E8" s="2">
        <f t="shared" ref="E8" si="0">INDEX(G8:P8,$E$2)</f>
        <v>36</v>
      </c>
      <c r="G8" s="5">
        <v>36</v>
      </c>
      <c r="H8" s="5">
        <v>36</v>
      </c>
      <c r="I8" s="5">
        <v>36</v>
      </c>
      <c r="J8" s="5">
        <v>36</v>
      </c>
      <c r="K8" s="5">
        <v>36</v>
      </c>
      <c r="L8" s="2"/>
      <c r="M8" s="2"/>
      <c r="N8" s="2"/>
      <c r="O8" s="2"/>
      <c r="P8" s="2"/>
      <c r="Q8" s="2"/>
      <c r="R8" s="2"/>
      <c r="S8" s="2"/>
    </row>
    <row r="10" spans="1:19" s="4" customFormat="1" x14ac:dyDescent="0.45">
      <c r="A10"/>
      <c r="B10" s="3" t="s">
        <v>4</v>
      </c>
    </row>
    <row r="11" spans="1:19" x14ac:dyDescent="0.45">
      <c r="B11" t="s">
        <v>5</v>
      </c>
      <c r="D11" s="1" t="s">
        <v>22</v>
      </c>
      <c r="E11" s="11">
        <f>INDEX(G11:P11,$E$2)</f>
        <v>3125000</v>
      </c>
      <c r="G11" s="6">
        <v>3125000</v>
      </c>
      <c r="H11" s="6">
        <v>2500000</v>
      </c>
      <c r="I11" s="6">
        <v>3125000</v>
      </c>
      <c r="J11" s="6">
        <v>1990000</v>
      </c>
      <c r="K11" s="6">
        <v>1990000</v>
      </c>
      <c r="L11" s="2"/>
      <c r="M11" s="2"/>
      <c r="N11" s="2"/>
      <c r="O11" s="2"/>
      <c r="P11" s="2"/>
      <c r="Q11" s="2"/>
      <c r="R11" s="2"/>
      <c r="S11" s="2"/>
    </row>
    <row r="12" spans="1:19" x14ac:dyDescent="0.45">
      <c r="B12" t="s">
        <v>6</v>
      </c>
      <c r="D12" s="1" t="s">
        <v>22</v>
      </c>
      <c r="E12" s="11">
        <f>INDEX(G12:P12,$E$2)</f>
        <v>2800000</v>
      </c>
      <c r="G12" s="6">
        <v>2800000</v>
      </c>
      <c r="H12" s="6">
        <v>2100000</v>
      </c>
      <c r="I12" s="6">
        <v>2800000</v>
      </c>
      <c r="J12" s="6">
        <v>2390000</v>
      </c>
      <c r="K12" s="6">
        <v>2390000</v>
      </c>
      <c r="L12" s="2"/>
      <c r="M12" s="2"/>
      <c r="N12" s="2"/>
      <c r="O12" s="2"/>
      <c r="P12" s="2"/>
      <c r="Q12" s="2"/>
      <c r="R12" s="2"/>
      <c r="S12" s="2"/>
    </row>
    <row r="14" spans="1:19" x14ac:dyDescent="0.45">
      <c r="B14" t="s">
        <v>27</v>
      </c>
      <c r="D14" s="1" t="s">
        <v>23</v>
      </c>
      <c r="E14" s="12">
        <f>INDEX(G14:P14,$E$2)</f>
        <v>0.02</v>
      </c>
      <c r="G14" s="7">
        <v>0.02</v>
      </c>
      <c r="H14" s="7">
        <v>0.02</v>
      </c>
      <c r="I14" s="7">
        <v>0.01</v>
      </c>
      <c r="J14" s="7">
        <v>0.02</v>
      </c>
      <c r="K14" s="7">
        <v>0.02</v>
      </c>
      <c r="L14" s="2"/>
      <c r="M14" s="2"/>
      <c r="N14" s="2"/>
      <c r="O14" s="2"/>
      <c r="P14" s="2"/>
      <c r="Q14" s="2"/>
      <c r="R14" s="2"/>
      <c r="S14" s="2"/>
    </row>
    <row r="15" spans="1:19" x14ac:dyDescent="0.45">
      <c r="B15" t="s">
        <v>28</v>
      </c>
      <c r="D15" s="1" t="s">
        <v>23</v>
      </c>
      <c r="E15" s="12">
        <f>INDEX(G15:P15,$E$2)</f>
        <v>0.04</v>
      </c>
      <c r="G15" s="7">
        <v>0.04</v>
      </c>
      <c r="H15" s="7">
        <v>0.04</v>
      </c>
      <c r="I15" s="7">
        <v>2.5000000000000001E-2</v>
      </c>
      <c r="J15" s="7">
        <v>0.04</v>
      </c>
      <c r="K15" s="7">
        <v>0.04</v>
      </c>
      <c r="L15" s="2"/>
      <c r="M15" s="2"/>
      <c r="N15" s="2"/>
      <c r="O15" s="2"/>
      <c r="P15" s="2"/>
      <c r="Q15" s="2"/>
      <c r="R15" s="2"/>
      <c r="S15" s="2"/>
    </row>
    <row r="17" spans="1:19" x14ac:dyDescent="0.45">
      <c r="B17" t="s">
        <v>7</v>
      </c>
      <c r="D17" s="1" t="s">
        <v>24</v>
      </c>
      <c r="E17" s="2">
        <f>INDEX(G17:P17,$E$2)</f>
        <v>3.56</v>
      </c>
      <c r="G17" s="5">
        <v>3.56</v>
      </c>
      <c r="H17" s="5">
        <v>3.56</v>
      </c>
      <c r="I17" s="5">
        <v>3.56</v>
      </c>
      <c r="J17" s="5">
        <v>3.56</v>
      </c>
      <c r="K17" s="5">
        <v>3.56</v>
      </c>
      <c r="L17" s="2"/>
      <c r="M17" s="2"/>
      <c r="N17" s="2"/>
      <c r="O17" s="2"/>
      <c r="P17" s="2"/>
      <c r="Q17" s="2"/>
      <c r="R17" s="2"/>
      <c r="S17" s="2"/>
    </row>
    <row r="18" spans="1:19" x14ac:dyDescent="0.45">
      <c r="B18" t="s">
        <v>8</v>
      </c>
      <c r="D18" s="1" t="s">
        <v>24</v>
      </c>
      <c r="E18" s="2">
        <f>INDEX(G18:P18,$E$2)</f>
        <v>28.705417413415343</v>
      </c>
      <c r="G18" s="70">
        <v>28.705417413415343</v>
      </c>
      <c r="H18" s="5">
        <v>13.96</v>
      </c>
      <c r="I18" s="5">
        <v>13.96</v>
      </c>
      <c r="J18" s="5">
        <v>13.96</v>
      </c>
      <c r="K18" s="5">
        <v>13.96</v>
      </c>
      <c r="L18" s="2"/>
      <c r="M18" s="2"/>
      <c r="N18" s="2"/>
      <c r="O18" s="2"/>
      <c r="P18" s="2"/>
      <c r="Q18" s="2"/>
      <c r="R18" s="2"/>
      <c r="S18" s="2"/>
    </row>
    <row r="20" spans="1:19" s="4" customFormat="1" x14ac:dyDescent="0.45">
      <c r="A20"/>
      <c r="B20" s="3" t="s">
        <v>12</v>
      </c>
    </row>
    <row r="21" spans="1:19" x14ac:dyDescent="0.45">
      <c r="B21" t="s">
        <v>10</v>
      </c>
      <c r="D21" s="1" t="s">
        <v>25</v>
      </c>
      <c r="E21" s="11">
        <f>INDEX(G21:P21,$E$2)</f>
        <v>8900000</v>
      </c>
      <c r="G21" s="6">
        <v>8900000</v>
      </c>
      <c r="H21" s="6">
        <v>8900000</v>
      </c>
      <c r="I21" s="6">
        <v>8900000</v>
      </c>
      <c r="J21" s="6">
        <v>8900000</v>
      </c>
      <c r="K21" s="6">
        <v>8900000</v>
      </c>
      <c r="L21" s="2"/>
      <c r="M21" s="2"/>
      <c r="N21" s="2"/>
      <c r="O21" s="2"/>
      <c r="P21" s="2"/>
      <c r="Q21" s="2"/>
      <c r="R21" s="2"/>
      <c r="S21" s="2"/>
    </row>
    <row r="22" spans="1:19" x14ac:dyDescent="0.45">
      <c r="B22" t="s">
        <v>11</v>
      </c>
      <c r="D22" s="1" t="s">
        <v>23</v>
      </c>
      <c r="E22" s="12">
        <f>INDEX(G22:P22,$E$2)</f>
        <v>0.04</v>
      </c>
      <c r="G22" s="47">
        <v>0.04</v>
      </c>
      <c r="H22" s="7">
        <v>0.04</v>
      </c>
      <c r="I22" s="7">
        <v>0.04</v>
      </c>
      <c r="J22" s="7">
        <v>0.04</v>
      </c>
      <c r="K22" s="7">
        <v>0.04</v>
      </c>
      <c r="L22" s="2"/>
      <c r="M22" s="2"/>
      <c r="N22" s="2"/>
      <c r="O22" s="2"/>
      <c r="P22" s="2"/>
      <c r="Q22" s="2"/>
      <c r="R22" s="2"/>
      <c r="S22" s="2"/>
    </row>
    <row r="24" spans="1:19" s="4" customFormat="1" x14ac:dyDescent="0.45">
      <c r="A24"/>
      <c r="B24" s="3" t="s">
        <v>13</v>
      </c>
    </row>
    <row r="25" spans="1:19" x14ac:dyDescent="0.45">
      <c r="B25" t="s">
        <v>29</v>
      </c>
      <c r="D25" s="1" t="s">
        <v>25</v>
      </c>
      <c r="E25" s="11">
        <f>INDEX(G25:P25,$E$2)</f>
        <v>300000000</v>
      </c>
      <c r="G25" s="6">
        <v>300000000</v>
      </c>
      <c r="H25" s="6">
        <v>300000000</v>
      </c>
      <c r="I25" s="6">
        <v>300000000</v>
      </c>
      <c r="J25" s="6">
        <v>300000000</v>
      </c>
      <c r="K25" s="6">
        <v>300000000</v>
      </c>
      <c r="L25" s="2"/>
      <c r="M25" s="2"/>
      <c r="N25" s="2"/>
      <c r="O25" s="2"/>
      <c r="P25" s="2"/>
      <c r="Q25" s="2"/>
      <c r="R25" s="2"/>
      <c r="S25" s="2"/>
    </row>
    <row r="26" spans="1:19" x14ac:dyDescent="0.45">
      <c r="E26" s="10"/>
    </row>
    <row r="27" spans="1:19" s="4" customFormat="1" x14ac:dyDescent="0.45">
      <c r="A27"/>
      <c r="B27" s="3" t="s">
        <v>14</v>
      </c>
    </row>
    <row r="29" spans="1:19" x14ac:dyDescent="0.45">
      <c r="B29" t="s">
        <v>15</v>
      </c>
      <c r="D29" s="1" t="s">
        <v>30</v>
      </c>
      <c r="E29" s="36">
        <f>INDEX(G29:P29,$E$2)</f>
        <v>1.4999999999999999E-2</v>
      </c>
      <c r="G29" s="7">
        <v>1.4999999999999999E-2</v>
      </c>
      <c r="H29" s="7">
        <v>1.4999999999999999E-2</v>
      </c>
      <c r="I29" s="7">
        <v>1.4999999999999999E-2</v>
      </c>
      <c r="J29" s="7">
        <v>1.4999999999999999E-2</v>
      </c>
      <c r="K29" s="7">
        <v>1.4999999999999999E-2</v>
      </c>
      <c r="L29" s="2"/>
      <c r="M29" s="2"/>
      <c r="N29" s="2"/>
      <c r="O29" s="2"/>
      <c r="P29" s="2"/>
      <c r="Q29" s="2"/>
      <c r="R29" s="2"/>
      <c r="S29" s="2"/>
    </row>
    <row r="30" spans="1:19" x14ac:dyDescent="0.45">
      <c r="B30" t="s">
        <v>17</v>
      </c>
      <c r="D30" s="1" t="s">
        <v>30</v>
      </c>
      <c r="E30" s="36">
        <f>INDEX(G30:P30,$E$2)</f>
        <v>5.8500000000000003E-2</v>
      </c>
      <c r="G30" s="7">
        <v>5.8500000000000003E-2</v>
      </c>
      <c r="H30" s="7">
        <v>5.8500000000000003E-2</v>
      </c>
      <c r="I30" s="7">
        <v>5.8500000000000003E-2</v>
      </c>
      <c r="J30" s="7">
        <v>5.8500000000000003E-2</v>
      </c>
      <c r="K30" s="7">
        <v>5.8500000000000003E-2</v>
      </c>
      <c r="L30" s="2"/>
      <c r="M30" s="2"/>
      <c r="N30" s="2"/>
      <c r="O30" s="2"/>
      <c r="P30" s="2"/>
      <c r="Q30" s="2"/>
      <c r="R30" s="2"/>
      <c r="S30" s="2"/>
    </row>
    <row r="31" spans="1:19" x14ac:dyDescent="0.45">
      <c r="B31" t="s">
        <v>16</v>
      </c>
      <c r="D31" s="1" t="s">
        <v>30</v>
      </c>
      <c r="E31" s="36">
        <f>INDEX(G31:P31,$E$2)</f>
        <v>1.4999999999999999E-2</v>
      </c>
      <c r="G31" s="7">
        <v>1.4999999999999999E-2</v>
      </c>
      <c r="H31" s="7">
        <v>1.4999999999999999E-2</v>
      </c>
      <c r="I31" s="7">
        <v>1.4999999999999999E-2</v>
      </c>
      <c r="J31" s="7">
        <v>1.4999999999999999E-2</v>
      </c>
      <c r="K31" s="7">
        <v>1.4999999999999999E-2</v>
      </c>
      <c r="L31" s="2"/>
      <c r="M31" s="2"/>
      <c r="N31" s="2"/>
      <c r="O31" s="2"/>
      <c r="P31" s="2"/>
      <c r="Q31" s="2"/>
      <c r="R31" s="2"/>
      <c r="S31" s="2"/>
    </row>
    <row r="32" spans="1:19" x14ac:dyDescent="0.45">
      <c r="B32" t="s">
        <v>18</v>
      </c>
      <c r="D32" s="1" t="s">
        <v>31</v>
      </c>
      <c r="E32" s="36">
        <f>INDEX(G32:P32,$E$2)</f>
        <v>0.35</v>
      </c>
      <c r="G32" s="7">
        <v>0.35</v>
      </c>
      <c r="H32" s="7">
        <v>0.35</v>
      </c>
      <c r="I32" s="7">
        <v>0.35</v>
      </c>
      <c r="J32" s="7">
        <v>0.35</v>
      </c>
      <c r="K32" s="7">
        <v>0.35</v>
      </c>
      <c r="L32" s="2"/>
      <c r="M32" s="2"/>
      <c r="N32" s="2"/>
      <c r="O32" s="2"/>
      <c r="P32" s="2"/>
      <c r="Q32" s="2"/>
      <c r="R32" s="2"/>
      <c r="S32" s="2"/>
    </row>
    <row r="33" spans="1:19" x14ac:dyDescent="0.45">
      <c r="B33" t="s">
        <v>26</v>
      </c>
      <c r="E33" s="36">
        <f>INDEX(G33:P33,$E$2)</f>
        <v>0.65</v>
      </c>
      <c r="G33" s="7">
        <v>0.65</v>
      </c>
      <c r="H33" s="7">
        <v>0.65</v>
      </c>
      <c r="I33" s="7">
        <v>0.8</v>
      </c>
      <c r="J33" s="7">
        <v>0.65</v>
      </c>
      <c r="K33" s="7">
        <v>0.65</v>
      </c>
    </row>
    <row r="35" spans="1:19" s="4" customFormat="1" x14ac:dyDescent="0.45">
      <c r="A35"/>
      <c r="B35" s="3" t="s">
        <v>19</v>
      </c>
    </row>
    <row r="36" spans="1:19" x14ac:dyDescent="0.45">
      <c r="G36" s="7"/>
      <c r="H36" s="7"/>
      <c r="I36" s="7"/>
      <c r="J36" s="7"/>
      <c r="K36" s="7"/>
    </row>
    <row r="37" spans="1:19" x14ac:dyDescent="0.45">
      <c r="B37" t="s">
        <v>20</v>
      </c>
      <c r="D37" s="1" t="s">
        <v>23</v>
      </c>
      <c r="E37" s="12">
        <f>INDEX(G37:P37,$E$2)</f>
        <v>0.3</v>
      </c>
      <c r="G37" s="7">
        <v>0.3</v>
      </c>
      <c r="H37" s="7">
        <v>0.3</v>
      </c>
      <c r="I37" s="7">
        <v>0.3</v>
      </c>
      <c r="J37" s="7">
        <v>0.3</v>
      </c>
      <c r="K37" s="7">
        <v>0.3</v>
      </c>
      <c r="L37" s="2"/>
      <c r="M37" s="2"/>
      <c r="N37" s="2"/>
      <c r="O37" s="2"/>
      <c r="P37" s="2"/>
      <c r="Q37" s="2"/>
      <c r="R37" s="2"/>
      <c r="S37" s="2"/>
    </row>
    <row r="38" spans="1:19" x14ac:dyDescent="0.45">
      <c r="B38" t="s">
        <v>21</v>
      </c>
      <c r="D38" s="1" t="s">
        <v>23</v>
      </c>
      <c r="E38" s="12">
        <f>INDEX(G38:P38,$E$2)</f>
        <v>1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2"/>
      <c r="M38" s="2"/>
      <c r="N38" s="2"/>
      <c r="O38" s="2"/>
      <c r="P38" s="2"/>
      <c r="Q38" s="2"/>
      <c r="R38" s="2"/>
      <c r="S38" s="2"/>
    </row>
  </sheetData>
  <dataValidations count="3">
    <dataValidation type="list" allowBlank="1" showInputMessage="1" showErrorMessage="1" sqref="B3" xr:uid="{CCB7BB91-3CB7-4B75-BC10-833294714570}">
      <formula1>"ahmed,dfsfds"</formula1>
    </dataValidation>
    <dataValidation type="list" showInputMessage="1" showErrorMessage="1" sqref="B3" xr:uid="{D5323F2E-5380-463E-B8DF-C74953E0FAF9}">
      <formula1>"1,2,3,4,5"</formula1>
    </dataValidation>
    <dataValidation type="list" allowBlank="1" showInputMessage="1" showErrorMessage="1" sqref="P3 E2" xr:uid="{1129AEF4-6862-4364-AC1F-86B8F8A28887}">
      <formula1>$G$2:$P$2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S38"/>
  <sheetViews>
    <sheetView showGridLines="0" tabSelected="1" zoomScaleNormal="100" workbookViewId="0">
      <selection activeCell="I18" sqref="I18"/>
    </sheetView>
  </sheetViews>
  <sheetFormatPr defaultColWidth="0" defaultRowHeight="14.25" x14ac:dyDescent="0.45"/>
  <cols>
    <col min="1" max="1" width="8.86328125" customWidth="1"/>
    <col min="2" max="2" width="30.33203125" customWidth="1"/>
    <col min="3" max="3" width="8.86328125" customWidth="1"/>
    <col min="4" max="4" width="9.6640625" customWidth="1"/>
    <col min="5" max="5" width="15.53125" customWidth="1"/>
    <col min="6" max="6" width="8.86328125" customWidth="1"/>
    <col min="7" max="7" width="11.33203125" customWidth="1"/>
    <col min="8" max="8" width="12.1328125" customWidth="1"/>
    <col min="9" max="9" width="14.6640625" customWidth="1"/>
    <col min="10" max="10" width="13.1328125" customWidth="1"/>
    <col min="11" max="11" width="12.53125" customWidth="1"/>
    <col min="12" max="15" width="8.86328125" customWidth="1"/>
    <col min="16" max="16" width="10.53125" customWidth="1"/>
    <col min="17" max="19" width="8.86328125" customWidth="1"/>
    <col min="20" max="16384" width="8.86328125" hidden="1"/>
  </cols>
  <sheetData>
    <row r="1" spans="1:19" x14ac:dyDescent="0.45"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9" x14ac:dyDescent="0.45">
      <c r="B2" s="8" t="s">
        <v>42</v>
      </c>
      <c r="C2" s="13"/>
      <c r="D2" s="14"/>
      <c r="E2" s="9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</row>
    <row r="3" spans="1:19" x14ac:dyDescent="0.45">
      <c r="D3" t="s">
        <v>3</v>
      </c>
      <c r="E3" t="s">
        <v>2</v>
      </c>
    </row>
    <row r="4" spans="1:19" s="4" customFormat="1" x14ac:dyDescent="0.45">
      <c r="A4"/>
      <c r="B4" s="3" t="s">
        <v>0</v>
      </c>
    </row>
    <row r="6" spans="1:19" x14ac:dyDescent="0.45">
      <c r="B6" t="s">
        <v>1</v>
      </c>
      <c r="D6" s="1" t="s">
        <v>9</v>
      </c>
      <c r="E6" s="2">
        <f>INDEX(G6:P6,$E$2)</f>
        <v>40</v>
      </c>
      <c r="G6" s="5">
        <v>40</v>
      </c>
      <c r="H6" s="5">
        <v>36.5</v>
      </c>
      <c r="I6" s="5">
        <v>40</v>
      </c>
      <c r="J6" s="5">
        <v>35.5</v>
      </c>
      <c r="K6" s="5">
        <v>40</v>
      </c>
      <c r="L6" s="2"/>
      <c r="M6" s="2"/>
      <c r="N6" s="2"/>
      <c r="O6" s="2"/>
      <c r="P6" s="2"/>
      <c r="Q6" s="2"/>
      <c r="R6" s="2"/>
      <c r="S6" s="2"/>
    </row>
    <row r="7" spans="1:19" x14ac:dyDescent="0.45">
      <c r="B7" t="s">
        <v>1</v>
      </c>
      <c r="D7" s="1" t="s">
        <v>9</v>
      </c>
      <c r="E7" s="2">
        <f>INDEX(G7:P7,$E$2)</f>
        <v>4</v>
      </c>
      <c r="G7" s="5">
        <v>4</v>
      </c>
      <c r="H7" s="5">
        <v>4</v>
      </c>
      <c r="I7" s="5">
        <v>4</v>
      </c>
      <c r="J7" s="5">
        <v>4</v>
      </c>
      <c r="K7" s="5">
        <v>4</v>
      </c>
      <c r="L7" s="2"/>
      <c r="M7" s="2"/>
      <c r="N7" s="2"/>
      <c r="O7" s="2"/>
      <c r="P7" s="2"/>
      <c r="Q7" s="2"/>
      <c r="R7" s="2"/>
      <c r="S7" s="2"/>
    </row>
    <row r="8" spans="1:19" x14ac:dyDescent="0.45">
      <c r="B8" t="s">
        <v>1</v>
      </c>
      <c r="D8" s="1" t="s">
        <v>9</v>
      </c>
      <c r="E8" s="2">
        <f t="shared" ref="E8" si="0">INDEX(G8:P8,$E$2)</f>
        <v>36</v>
      </c>
      <c r="G8" s="5">
        <v>36</v>
      </c>
      <c r="H8" s="5">
        <v>36</v>
      </c>
      <c r="I8" s="5">
        <v>36</v>
      </c>
      <c r="J8" s="5">
        <v>36</v>
      </c>
      <c r="K8" s="5">
        <v>36</v>
      </c>
      <c r="L8" s="2"/>
      <c r="M8" s="2"/>
      <c r="N8" s="2"/>
      <c r="O8" s="2"/>
      <c r="P8" s="2"/>
      <c r="Q8" s="2"/>
      <c r="R8" s="2"/>
      <c r="S8" s="2"/>
    </row>
    <row r="10" spans="1:19" s="4" customFormat="1" x14ac:dyDescent="0.45">
      <c r="A10"/>
      <c r="B10" s="3" t="s">
        <v>4</v>
      </c>
    </row>
    <row r="11" spans="1:19" x14ac:dyDescent="0.45">
      <c r="B11" t="s">
        <v>5</v>
      </c>
      <c r="D11" s="1" t="s">
        <v>22</v>
      </c>
      <c r="E11" s="11">
        <f>INDEX(G11:P11,$E$2)</f>
        <v>3125000</v>
      </c>
      <c r="G11" s="6">
        <v>3125000</v>
      </c>
      <c r="H11" s="6">
        <v>2500000</v>
      </c>
      <c r="I11" s="6">
        <v>3125000</v>
      </c>
      <c r="J11" s="6">
        <v>1990000</v>
      </c>
      <c r="K11" s="6">
        <v>1990000</v>
      </c>
      <c r="L11" s="2"/>
      <c r="M11" s="2"/>
      <c r="N11" s="2"/>
      <c r="O11" s="2"/>
      <c r="P11" s="2"/>
      <c r="Q11" s="2"/>
      <c r="R11" s="2"/>
      <c r="S11" s="2"/>
    </row>
    <row r="12" spans="1:19" x14ac:dyDescent="0.45">
      <c r="B12" t="s">
        <v>6</v>
      </c>
      <c r="D12" s="1" t="s">
        <v>22</v>
      </c>
      <c r="E12" s="11">
        <f>INDEX(G12:P12,$E$2)</f>
        <v>2800000</v>
      </c>
      <c r="G12" s="6">
        <v>2800000</v>
      </c>
      <c r="H12" s="6">
        <v>2100000</v>
      </c>
      <c r="I12" s="6">
        <v>2800000</v>
      </c>
      <c r="J12" s="6">
        <v>2390000</v>
      </c>
      <c r="K12" s="6">
        <v>2390000</v>
      </c>
      <c r="L12" s="2"/>
      <c r="M12" s="2"/>
      <c r="N12" s="2"/>
      <c r="O12" s="2"/>
      <c r="P12" s="2"/>
      <c r="Q12" s="2"/>
      <c r="R12" s="2"/>
      <c r="S12" s="2"/>
    </row>
    <row r="14" spans="1:19" x14ac:dyDescent="0.45">
      <c r="B14" t="s">
        <v>27</v>
      </c>
      <c r="D14" s="1" t="s">
        <v>23</v>
      </c>
      <c r="E14" s="12">
        <f>INDEX(G14:P14,$E$2)</f>
        <v>0.02</v>
      </c>
      <c r="G14" s="7">
        <v>0.02</v>
      </c>
      <c r="H14" s="7">
        <v>0.02</v>
      </c>
      <c r="I14" s="7">
        <v>0.01</v>
      </c>
      <c r="J14" s="7">
        <v>0.02</v>
      </c>
      <c r="K14" s="7">
        <v>0.02</v>
      </c>
      <c r="L14" s="2"/>
      <c r="M14" s="2"/>
      <c r="N14" s="2"/>
      <c r="O14" s="2"/>
      <c r="P14" s="2"/>
      <c r="Q14" s="2"/>
      <c r="R14" s="2"/>
      <c r="S14" s="2"/>
    </row>
    <row r="15" spans="1:19" x14ac:dyDescent="0.45">
      <c r="B15" t="s">
        <v>28</v>
      </c>
      <c r="D15" s="1" t="s">
        <v>23</v>
      </c>
      <c r="E15" s="12">
        <f>INDEX(G15:P15,$E$2)</f>
        <v>0.04</v>
      </c>
      <c r="G15" s="7">
        <v>0.04</v>
      </c>
      <c r="H15" s="7">
        <v>0.04</v>
      </c>
      <c r="I15" s="7">
        <v>2.5000000000000001E-2</v>
      </c>
      <c r="J15" s="7">
        <v>0.04</v>
      </c>
      <c r="K15" s="7">
        <v>0.04</v>
      </c>
      <c r="L15" s="2"/>
      <c r="M15" s="2"/>
      <c r="N15" s="2"/>
      <c r="O15" s="2"/>
      <c r="P15" s="2"/>
      <c r="Q15" s="2"/>
      <c r="R15" s="2"/>
      <c r="S15" s="2"/>
    </row>
    <row r="17" spans="1:19" x14ac:dyDescent="0.45">
      <c r="B17" t="s">
        <v>7</v>
      </c>
      <c r="D17" s="1" t="s">
        <v>24</v>
      </c>
      <c r="E17" s="2">
        <f>INDEX(G17:P17,$E$2)</f>
        <v>3.56</v>
      </c>
      <c r="G17" s="5">
        <v>3.56</v>
      </c>
      <c r="H17" s="5">
        <v>3.56</v>
      </c>
      <c r="I17" s="5">
        <v>3.56</v>
      </c>
      <c r="J17" s="5">
        <v>3.56</v>
      </c>
      <c r="K17" s="5">
        <v>3.56</v>
      </c>
      <c r="L17" s="2"/>
      <c r="M17" s="2"/>
      <c r="N17" s="2"/>
      <c r="O17" s="2"/>
      <c r="P17" s="2"/>
      <c r="Q17" s="2"/>
      <c r="R17" s="2"/>
      <c r="S17" s="2"/>
    </row>
    <row r="18" spans="1:19" x14ac:dyDescent="0.45">
      <c r="B18" t="s">
        <v>8</v>
      </c>
      <c r="D18" s="1" t="s">
        <v>24</v>
      </c>
      <c r="E18" s="2">
        <f>INDEX(G18:P18,$E$2)</f>
        <v>28.705417413415343</v>
      </c>
      <c r="G18" s="71">
        <v>28.705417413415343</v>
      </c>
      <c r="H18" s="5">
        <v>13.96</v>
      </c>
      <c r="I18" s="5">
        <v>13.96</v>
      </c>
      <c r="J18" s="5">
        <v>13.96</v>
      </c>
      <c r="K18" s="5">
        <v>13.96</v>
      </c>
      <c r="L18" s="2"/>
      <c r="M18" s="2"/>
      <c r="N18" s="2"/>
      <c r="O18" s="2"/>
      <c r="P18" s="2"/>
      <c r="Q18" s="2"/>
      <c r="R18" s="2"/>
      <c r="S18" s="2"/>
    </row>
    <row r="20" spans="1:19" s="4" customFormat="1" x14ac:dyDescent="0.45">
      <c r="A20"/>
      <c r="B20" s="3" t="s">
        <v>12</v>
      </c>
    </row>
    <row r="21" spans="1:19" x14ac:dyDescent="0.45">
      <c r="B21" t="s">
        <v>10</v>
      </c>
      <c r="D21" s="1" t="s">
        <v>25</v>
      </c>
      <c r="E21" s="11">
        <f>INDEX(G21:P21,$E$2)</f>
        <v>8900000</v>
      </c>
      <c r="G21" s="6">
        <v>8900000</v>
      </c>
      <c r="H21" s="6">
        <v>8900000</v>
      </c>
      <c r="I21" s="6">
        <v>8900000</v>
      </c>
      <c r="J21" s="6">
        <v>8900000</v>
      </c>
      <c r="K21" s="6">
        <v>8900000</v>
      </c>
      <c r="L21" s="2"/>
      <c r="M21" s="2"/>
      <c r="N21" s="2"/>
      <c r="O21" s="2"/>
      <c r="P21" s="2"/>
      <c r="Q21" s="2"/>
      <c r="R21" s="2"/>
      <c r="S21" s="2"/>
    </row>
    <row r="22" spans="1:19" x14ac:dyDescent="0.45">
      <c r="B22" t="s">
        <v>11</v>
      </c>
      <c r="D22" s="1" t="s">
        <v>23</v>
      </c>
      <c r="E22" s="12">
        <f>INDEX(G22:P22,$E$2)</f>
        <v>0.04</v>
      </c>
      <c r="G22" s="47">
        <v>0.04</v>
      </c>
      <c r="H22" s="7">
        <v>0.04</v>
      </c>
      <c r="I22" s="7">
        <v>0.04</v>
      </c>
      <c r="J22" s="7">
        <v>0.04</v>
      </c>
      <c r="K22" s="7">
        <v>0.04</v>
      </c>
      <c r="L22" s="2"/>
      <c r="M22" s="2"/>
      <c r="N22" s="2"/>
      <c r="O22" s="2"/>
      <c r="P22" s="2"/>
      <c r="Q22" s="2"/>
      <c r="R22" s="2"/>
      <c r="S22" s="2"/>
    </row>
    <row r="24" spans="1:19" s="4" customFormat="1" x14ac:dyDescent="0.45">
      <c r="A24"/>
      <c r="B24" s="3" t="s">
        <v>13</v>
      </c>
    </row>
    <row r="25" spans="1:19" x14ac:dyDescent="0.45">
      <c r="B25" t="s">
        <v>29</v>
      </c>
      <c r="D25" s="1" t="s">
        <v>25</v>
      </c>
      <c r="E25" s="11">
        <f>INDEX(G25:P25,$E$2)</f>
        <v>300000000</v>
      </c>
      <c r="G25" s="6">
        <v>300000000</v>
      </c>
      <c r="H25" s="6">
        <v>300000000</v>
      </c>
      <c r="I25" s="6">
        <v>300000000</v>
      </c>
      <c r="J25" s="6">
        <v>300000000</v>
      </c>
      <c r="K25" s="6">
        <v>300000000</v>
      </c>
      <c r="L25" s="2"/>
      <c r="M25" s="2"/>
      <c r="N25" s="2"/>
      <c r="O25" s="2"/>
      <c r="P25" s="2"/>
      <c r="Q25" s="2"/>
      <c r="R25" s="2"/>
      <c r="S25" s="2"/>
    </row>
    <row r="26" spans="1:19" x14ac:dyDescent="0.45">
      <c r="E26" s="10"/>
    </row>
    <row r="27" spans="1:19" s="4" customFormat="1" x14ac:dyDescent="0.45">
      <c r="A27"/>
      <c r="B27" s="3" t="s">
        <v>14</v>
      </c>
    </row>
    <row r="29" spans="1:19" x14ac:dyDescent="0.45">
      <c r="B29" t="s">
        <v>15</v>
      </c>
      <c r="D29" s="1" t="s">
        <v>30</v>
      </c>
      <c r="E29" s="36">
        <f>INDEX(G29:P29,$E$2)</f>
        <v>1.4999999999999999E-2</v>
      </c>
      <c r="G29" s="7">
        <v>1.4999999999999999E-2</v>
      </c>
      <c r="H29" s="7">
        <v>1.4999999999999999E-2</v>
      </c>
      <c r="I29" s="7">
        <v>1.4999999999999999E-2</v>
      </c>
      <c r="J29" s="7">
        <v>1.4999999999999999E-2</v>
      </c>
      <c r="K29" s="7">
        <v>1.4999999999999999E-2</v>
      </c>
      <c r="L29" s="2"/>
      <c r="M29" s="2"/>
      <c r="N29" s="2"/>
      <c r="O29" s="2"/>
      <c r="P29" s="2"/>
      <c r="Q29" s="2"/>
      <c r="R29" s="2"/>
      <c r="S29" s="2"/>
    </row>
    <row r="30" spans="1:19" x14ac:dyDescent="0.45">
      <c r="B30" t="s">
        <v>17</v>
      </c>
      <c r="D30" s="1" t="s">
        <v>30</v>
      </c>
      <c r="E30" s="36">
        <f>INDEX(G30:P30,$E$2)</f>
        <v>5.8500000000000003E-2</v>
      </c>
      <c r="G30" s="7">
        <v>5.8500000000000003E-2</v>
      </c>
      <c r="H30" s="7">
        <v>5.8500000000000003E-2</v>
      </c>
      <c r="I30" s="7">
        <v>5.8500000000000003E-2</v>
      </c>
      <c r="J30" s="7">
        <v>5.8500000000000003E-2</v>
      </c>
      <c r="K30" s="7">
        <v>5.8500000000000003E-2</v>
      </c>
      <c r="L30" s="2"/>
      <c r="M30" s="2"/>
      <c r="N30" s="2"/>
      <c r="O30" s="2"/>
      <c r="P30" s="2"/>
      <c r="Q30" s="2"/>
      <c r="R30" s="2"/>
      <c r="S30" s="2"/>
    </row>
    <row r="31" spans="1:19" x14ac:dyDescent="0.45">
      <c r="B31" t="s">
        <v>16</v>
      </c>
      <c r="D31" s="1" t="s">
        <v>30</v>
      </c>
      <c r="E31" s="36">
        <f>INDEX(G31:P31,$E$2)</f>
        <v>1.4999999999999999E-2</v>
      </c>
      <c r="G31" s="7">
        <v>1.4999999999999999E-2</v>
      </c>
      <c r="H31" s="7">
        <v>1.4999999999999999E-2</v>
      </c>
      <c r="I31" s="7">
        <v>1.4999999999999999E-2</v>
      </c>
      <c r="J31" s="7">
        <v>1.4999999999999999E-2</v>
      </c>
      <c r="K31" s="7">
        <v>1.4999999999999999E-2</v>
      </c>
      <c r="L31" s="2"/>
      <c r="M31" s="2"/>
      <c r="N31" s="2"/>
      <c r="O31" s="2"/>
      <c r="P31" s="2"/>
      <c r="Q31" s="2"/>
      <c r="R31" s="2"/>
      <c r="S31" s="2"/>
    </row>
    <row r="32" spans="1:19" x14ac:dyDescent="0.45">
      <c r="B32" t="s">
        <v>18</v>
      </c>
      <c r="D32" s="1" t="s">
        <v>31</v>
      </c>
      <c r="E32" s="36">
        <f>INDEX(G32:P32,$E$2)</f>
        <v>0.35</v>
      </c>
      <c r="G32" s="7">
        <v>0.35</v>
      </c>
      <c r="H32" s="7">
        <v>0.35</v>
      </c>
      <c r="I32" s="7">
        <v>0.35</v>
      </c>
      <c r="J32" s="7">
        <v>0.35</v>
      </c>
      <c r="K32" s="7">
        <v>0.35</v>
      </c>
      <c r="L32" s="2"/>
      <c r="M32" s="2"/>
      <c r="N32" s="2"/>
      <c r="O32" s="2"/>
      <c r="P32" s="2"/>
      <c r="Q32" s="2"/>
      <c r="R32" s="2"/>
      <c r="S32" s="2"/>
    </row>
    <row r="33" spans="1:19" x14ac:dyDescent="0.45">
      <c r="B33" t="s">
        <v>26</v>
      </c>
      <c r="E33" s="36">
        <f>INDEX(G33:P33,$E$2)</f>
        <v>0.65</v>
      </c>
      <c r="G33" s="7">
        <v>0.65</v>
      </c>
      <c r="H33" s="7">
        <v>0.65</v>
      </c>
      <c r="I33" s="7">
        <v>0.8</v>
      </c>
      <c r="J33" s="7">
        <v>0.65</v>
      </c>
      <c r="K33" s="7">
        <v>0.65</v>
      </c>
    </row>
    <row r="35" spans="1:19" s="4" customFormat="1" x14ac:dyDescent="0.45">
      <c r="A35"/>
      <c r="B35" s="3" t="s">
        <v>19</v>
      </c>
    </row>
    <row r="36" spans="1:19" x14ac:dyDescent="0.45">
      <c r="G36" s="7"/>
      <c r="H36" s="7"/>
      <c r="I36" s="7"/>
      <c r="J36" s="7"/>
      <c r="K36" s="7"/>
    </row>
    <row r="37" spans="1:19" x14ac:dyDescent="0.45">
      <c r="B37" t="s">
        <v>20</v>
      </c>
      <c r="D37" s="1" t="s">
        <v>23</v>
      </c>
      <c r="E37" s="12">
        <f>INDEX(G37:P37,$E$2)</f>
        <v>0.3</v>
      </c>
      <c r="G37" s="7">
        <v>0.3</v>
      </c>
      <c r="H37" s="7">
        <v>0.3</v>
      </c>
      <c r="I37" s="7">
        <v>0.3</v>
      </c>
      <c r="J37" s="7">
        <v>0.3</v>
      </c>
      <c r="K37" s="7">
        <v>0.3</v>
      </c>
      <c r="L37" s="2"/>
      <c r="M37" s="2"/>
      <c r="N37" s="2"/>
      <c r="O37" s="2"/>
      <c r="P37" s="2"/>
      <c r="Q37" s="2"/>
      <c r="R37" s="2"/>
      <c r="S37" s="2"/>
    </row>
    <row r="38" spans="1:19" x14ac:dyDescent="0.45">
      <c r="B38" t="s">
        <v>21</v>
      </c>
      <c r="D38" s="1" t="s">
        <v>23</v>
      </c>
      <c r="E38" s="12">
        <f>INDEX(G38:P38,$E$2)</f>
        <v>1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2"/>
      <c r="M38" s="2"/>
      <c r="N38" s="2"/>
      <c r="O38" s="2"/>
      <c r="P38" s="2"/>
      <c r="Q38" s="2"/>
      <c r="R38" s="2"/>
      <c r="S38" s="2"/>
    </row>
  </sheetData>
  <phoneticPr fontId="4" type="noConversion"/>
  <dataValidations count="3">
    <dataValidation type="list" allowBlank="1" showInputMessage="1" showErrorMessage="1" sqref="P3 E2" xr:uid="{3F43F597-B4C0-41C5-BED2-D2CCCEC13BD9}">
      <formula1>$G$2:$P$2</formula1>
    </dataValidation>
    <dataValidation type="list" showInputMessage="1" showErrorMessage="1" sqref="B3" xr:uid="{F69CB088-D23C-4A2B-80E1-15CE274C5279}">
      <formula1>"1,2,3,4,5"</formula1>
    </dataValidation>
    <dataValidation type="list" allowBlank="1" showInputMessage="1" showErrorMessage="1" sqref="B3" xr:uid="{52EE986F-214A-4537-B838-D925DC39E904}">
      <formula1>"ahmed,dfsfds"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647F-0477-44F5-B62C-52AB5EA9FE00}">
  <sheetPr codeName="Sheet3"/>
  <dimension ref="A2:AR20"/>
  <sheetViews>
    <sheetView showGridLines="0" workbookViewId="0">
      <pane xSplit="3" topLeftCell="D1" activePane="topRight" state="frozen"/>
      <selection pane="topRight" activeCell="F10" sqref="F10"/>
    </sheetView>
  </sheetViews>
  <sheetFormatPr defaultColWidth="0" defaultRowHeight="14.25" x14ac:dyDescent="0.45"/>
  <cols>
    <col min="1" max="1" width="8.86328125" customWidth="1"/>
    <col min="2" max="2" width="23.6640625" customWidth="1"/>
    <col min="3" max="3" width="11.33203125" customWidth="1"/>
    <col min="4" max="44" width="8.86328125" customWidth="1"/>
    <col min="45" max="16384" width="8.86328125" hidden="1"/>
  </cols>
  <sheetData>
    <row r="2" spans="2:44" x14ac:dyDescent="0.45">
      <c r="B2" s="18" t="s">
        <v>43</v>
      </c>
      <c r="C2" s="15"/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5">
        <v>7</v>
      </c>
      <c r="K2" s="15">
        <v>8</v>
      </c>
      <c r="L2" s="15">
        <v>9</v>
      </c>
      <c r="M2" s="15">
        <v>10</v>
      </c>
      <c r="N2" s="15">
        <v>11</v>
      </c>
      <c r="O2" s="15">
        <v>12</v>
      </c>
      <c r="P2" s="15">
        <v>13</v>
      </c>
      <c r="Q2" s="15">
        <v>14</v>
      </c>
      <c r="R2" s="15">
        <v>15</v>
      </c>
      <c r="S2" s="15">
        <v>16</v>
      </c>
      <c r="T2" s="15">
        <v>17</v>
      </c>
      <c r="U2" s="15">
        <v>18</v>
      </c>
      <c r="V2" s="15">
        <v>19</v>
      </c>
      <c r="W2" s="15">
        <v>20</v>
      </c>
      <c r="X2" s="15">
        <v>21</v>
      </c>
      <c r="Y2" s="15">
        <v>22</v>
      </c>
      <c r="Z2" s="15">
        <v>23</v>
      </c>
      <c r="AA2" s="15">
        <v>24</v>
      </c>
      <c r="AB2" s="15">
        <v>25</v>
      </c>
      <c r="AC2" s="15">
        <v>26</v>
      </c>
      <c r="AD2" s="15">
        <v>27</v>
      </c>
      <c r="AE2" s="15">
        <v>28</v>
      </c>
      <c r="AF2" s="15">
        <v>29</v>
      </c>
      <c r="AG2" s="15">
        <v>30</v>
      </c>
      <c r="AH2" s="15">
        <v>31</v>
      </c>
      <c r="AI2" s="15">
        <v>32</v>
      </c>
      <c r="AJ2" s="15">
        <v>33</v>
      </c>
      <c r="AK2" s="15">
        <v>34</v>
      </c>
      <c r="AL2" s="15">
        <v>35</v>
      </c>
      <c r="AM2" s="15">
        <v>36</v>
      </c>
      <c r="AN2" s="15">
        <v>37</v>
      </c>
      <c r="AO2" s="15">
        <v>38</v>
      </c>
      <c r="AP2" s="15">
        <v>39</v>
      </c>
      <c r="AQ2" s="16">
        <v>40</v>
      </c>
    </row>
    <row r="3" spans="2:44" x14ac:dyDescent="0.45">
      <c r="B3" s="17"/>
    </row>
    <row r="5" spans="2:44" x14ac:dyDescent="0.45">
      <c r="B5" s="20" t="s">
        <v>44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2"/>
    </row>
    <row r="7" spans="2:44" x14ac:dyDescent="0.45">
      <c r="B7" t="s">
        <v>48</v>
      </c>
      <c r="C7">
        <f>SUM(D7:AQ7)</f>
        <v>1</v>
      </c>
      <c r="D7" s="23">
        <v>1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0</v>
      </c>
    </row>
    <row r="8" spans="2:44" x14ac:dyDescent="0.45">
      <c r="B8" t="s">
        <v>45</v>
      </c>
      <c r="C8">
        <f t="shared" ref="C8:C10" si="0">SUM(D8:AQ8)</f>
        <v>4</v>
      </c>
      <c r="D8" s="23">
        <v>1</v>
      </c>
      <c r="E8" s="23">
        <v>1</v>
      </c>
      <c r="F8" s="23">
        <v>1</v>
      </c>
      <c r="G8" s="23">
        <v>1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/>
    </row>
    <row r="9" spans="2:44" x14ac:dyDescent="0.45">
      <c r="B9" t="s">
        <v>46</v>
      </c>
      <c r="C9">
        <f t="shared" si="0"/>
        <v>1</v>
      </c>
      <c r="D9" s="23">
        <v>0</v>
      </c>
      <c r="E9" s="23">
        <v>0</v>
      </c>
      <c r="F9" s="23">
        <v>0</v>
      </c>
      <c r="G9" s="23">
        <v>1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/>
    </row>
    <row r="10" spans="2:44" x14ac:dyDescent="0.45">
      <c r="B10" t="s">
        <v>47</v>
      </c>
      <c r="C10">
        <f t="shared" si="0"/>
        <v>36</v>
      </c>
      <c r="D10" s="23">
        <v>0</v>
      </c>
      <c r="E10" s="23">
        <v>0</v>
      </c>
      <c r="F10" s="23">
        <v>0</v>
      </c>
      <c r="G10" s="23">
        <v>0</v>
      </c>
      <c r="H10" s="23">
        <v>1</v>
      </c>
      <c r="I10" s="23">
        <v>1</v>
      </c>
      <c r="J10" s="23">
        <v>1</v>
      </c>
      <c r="K10" s="23">
        <v>1</v>
      </c>
      <c r="L10" s="23">
        <v>1</v>
      </c>
      <c r="M10" s="23">
        <v>1</v>
      </c>
      <c r="N10" s="23">
        <v>1</v>
      </c>
      <c r="O10" s="23">
        <v>1</v>
      </c>
      <c r="P10" s="23">
        <v>1</v>
      </c>
      <c r="Q10" s="23">
        <v>1</v>
      </c>
      <c r="R10" s="23">
        <v>1</v>
      </c>
      <c r="S10" s="23">
        <v>1</v>
      </c>
      <c r="T10" s="23">
        <v>1</v>
      </c>
      <c r="U10" s="23">
        <v>1</v>
      </c>
      <c r="V10" s="23">
        <v>1</v>
      </c>
      <c r="W10" s="23">
        <v>1</v>
      </c>
      <c r="X10" s="23">
        <v>1</v>
      </c>
      <c r="Y10" s="23">
        <v>1</v>
      </c>
      <c r="Z10" s="23">
        <v>1</v>
      </c>
      <c r="AA10" s="23">
        <v>1</v>
      </c>
      <c r="AB10" s="23">
        <v>1</v>
      </c>
      <c r="AC10" s="23">
        <v>1</v>
      </c>
      <c r="AD10" s="23">
        <v>1</v>
      </c>
      <c r="AE10" s="23">
        <v>1</v>
      </c>
      <c r="AF10" s="23">
        <v>1</v>
      </c>
      <c r="AG10" s="23">
        <v>1</v>
      </c>
      <c r="AH10" s="23">
        <v>1</v>
      </c>
      <c r="AI10" s="23">
        <v>1</v>
      </c>
      <c r="AJ10" s="23">
        <v>1</v>
      </c>
      <c r="AK10" s="23">
        <v>1</v>
      </c>
      <c r="AL10" s="23">
        <v>1</v>
      </c>
      <c r="AM10" s="23">
        <v>1</v>
      </c>
      <c r="AN10" s="23">
        <v>1</v>
      </c>
      <c r="AO10" s="23">
        <v>1</v>
      </c>
      <c r="AP10" s="23">
        <v>1</v>
      </c>
      <c r="AQ10" s="23">
        <v>1</v>
      </c>
    </row>
    <row r="12" spans="2:44" x14ac:dyDescent="0.45">
      <c r="B12" s="19" t="s">
        <v>49</v>
      </c>
    </row>
    <row r="14" spans="2:44" x14ac:dyDescent="0.45">
      <c r="B14" t="s">
        <v>50</v>
      </c>
      <c r="C14">
        <f>SUM(D14:AQ14)</f>
        <v>1</v>
      </c>
      <c r="D14" s="23">
        <v>1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/>
    </row>
    <row r="15" spans="2:44" x14ac:dyDescent="0.45">
      <c r="B15" t="s">
        <v>51</v>
      </c>
      <c r="C15">
        <f t="shared" ref="C15:C16" si="1">SUM(D15:AQ15)</f>
        <v>4</v>
      </c>
      <c r="D15" s="23">
        <v>1</v>
      </c>
      <c r="E15" s="23">
        <v>1</v>
      </c>
      <c r="F15" s="23">
        <v>1</v>
      </c>
      <c r="G15" s="23">
        <v>1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/>
    </row>
    <row r="16" spans="2:44" x14ac:dyDescent="0.45">
      <c r="B16" t="s">
        <v>52</v>
      </c>
      <c r="C16">
        <f t="shared" si="1"/>
        <v>1</v>
      </c>
      <c r="D16" s="23">
        <v>0</v>
      </c>
      <c r="E16" s="23">
        <v>0</v>
      </c>
      <c r="F16" s="23">
        <v>0</v>
      </c>
      <c r="G16" s="23">
        <v>1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/>
    </row>
    <row r="18" spans="2:44" x14ac:dyDescent="0.45">
      <c r="B18" t="s">
        <v>53</v>
      </c>
      <c r="C18">
        <f>SUM(D18:AQ18)</f>
        <v>1</v>
      </c>
      <c r="D18" s="23">
        <v>0</v>
      </c>
      <c r="E18" s="23">
        <v>0</v>
      </c>
      <c r="F18" s="23">
        <v>0</v>
      </c>
      <c r="G18" s="23">
        <v>0</v>
      </c>
      <c r="H18" s="23">
        <v>1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/>
    </row>
    <row r="19" spans="2:44" x14ac:dyDescent="0.45">
      <c r="B19" t="s">
        <v>51</v>
      </c>
      <c r="C19">
        <f t="shared" ref="C19:C20" si="2">SUM(D19:AQ19)</f>
        <v>36</v>
      </c>
      <c r="D19" s="23">
        <v>0</v>
      </c>
      <c r="E19" s="23">
        <v>0</v>
      </c>
      <c r="F19" s="23">
        <v>0</v>
      </c>
      <c r="G19" s="23">
        <v>0</v>
      </c>
      <c r="H19" s="23">
        <v>1</v>
      </c>
      <c r="I19" s="23">
        <v>1</v>
      </c>
      <c r="J19" s="23">
        <v>1</v>
      </c>
      <c r="K19" s="23">
        <v>1</v>
      </c>
      <c r="L19" s="23">
        <v>1</v>
      </c>
      <c r="M19" s="23">
        <v>1</v>
      </c>
      <c r="N19" s="23">
        <v>1</v>
      </c>
      <c r="O19" s="23">
        <v>1</v>
      </c>
      <c r="P19" s="23">
        <v>1</v>
      </c>
      <c r="Q19" s="23">
        <v>1</v>
      </c>
      <c r="R19" s="23">
        <v>1</v>
      </c>
      <c r="S19" s="23">
        <v>1</v>
      </c>
      <c r="T19" s="23">
        <v>1</v>
      </c>
      <c r="U19" s="23">
        <v>1</v>
      </c>
      <c r="V19" s="23">
        <v>1</v>
      </c>
      <c r="W19" s="23">
        <v>1</v>
      </c>
      <c r="X19" s="23">
        <v>1</v>
      </c>
      <c r="Y19" s="23">
        <v>1</v>
      </c>
      <c r="Z19" s="23">
        <v>1</v>
      </c>
      <c r="AA19" s="23">
        <v>1</v>
      </c>
      <c r="AB19" s="23">
        <v>1</v>
      </c>
      <c r="AC19" s="23">
        <v>1</v>
      </c>
      <c r="AD19" s="23">
        <v>1</v>
      </c>
      <c r="AE19" s="23">
        <v>1</v>
      </c>
      <c r="AF19" s="23">
        <v>1</v>
      </c>
      <c r="AG19" s="23">
        <v>1</v>
      </c>
      <c r="AH19" s="23">
        <v>1</v>
      </c>
      <c r="AI19" s="23">
        <v>1</v>
      </c>
      <c r="AJ19" s="23">
        <v>1</v>
      </c>
      <c r="AK19" s="23">
        <v>1</v>
      </c>
      <c r="AL19" s="23">
        <v>1</v>
      </c>
      <c r="AM19" s="23">
        <v>1</v>
      </c>
      <c r="AN19" s="23">
        <v>1</v>
      </c>
      <c r="AO19" s="23">
        <v>1</v>
      </c>
      <c r="AP19" s="23">
        <v>1</v>
      </c>
      <c r="AQ19" s="23">
        <v>1</v>
      </c>
      <c r="AR19" s="23"/>
    </row>
    <row r="20" spans="2:44" x14ac:dyDescent="0.45">
      <c r="B20" t="s">
        <v>54</v>
      </c>
      <c r="C20">
        <f t="shared" si="2"/>
        <v>1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499F-61A4-4253-B2FE-1BFEA011AB18}">
  <sheetPr codeName="Sheet4"/>
  <dimension ref="A2:AS43"/>
  <sheetViews>
    <sheetView showGridLines="0" zoomScaleNormal="100" workbookViewId="0">
      <pane xSplit="4" ySplit="1" topLeftCell="E7" activePane="bottomRight" state="frozen"/>
      <selection pane="topRight" activeCell="E1" sqref="E1"/>
      <selection pane="bottomLeft" activeCell="A2" sqref="A2"/>
      <selection pane="bottomRight" activeCell="B37" sqref="B37:B39"/>
    </sheetView>
  </sheetViews>
  <sheetFormatPr defaultColWidth="0" defaultRowHeight="14.25" x14ac:dyDescent="0.45"/>
  <cols>
    <col min="1" max="1" width="8.86328125" customWidth="1"/>
    <col min="2" max="2" width="41.796875" customWidth="1"/>
    <col min="3" max="3" width="10.796875" customWidth="1"/>
    <col min="4" max="4" width="3.796875" customWidth="1"/>
    <col min="5" max="5" width="16.1328125" customWidth="1"/>
    <col min="6" max="6" width="11" customWidth="1"/>
    <col min="7" max="45" width="8.86328125" customWidth="1"/>
    <col min="46" max="16384" width="8.86328125" hidden="1"/>
  </cols>
  <sheetData>
    <row r="2" spans="1:44" x14ac:dyDescent="0.45">
      <c r="B2" s="18" t="s">
        <v>43</v>
      </c>
      <c r="C2" s="29"/>
      <c r="D2" s="15"/>
      <c r="E2" s="29">
        <v>1</v>
      </c>
      <c r="F2" s="29">
        <v>2</v>
      </c>
      <c r="G2" s="29">
        <v>3</v>
      </c>
      <c r="H2" s="29">
        <v>4</v>
      </c>
      <c r="I2" s="29">
        <v>5</v>
      </c>
      <c r="J2" s="29">
        <v>6</v>
      </c>
      <c r="K2" s="29">
        <v>7</v>
      </c>
      <c r="L2" s="29">
        <v>8</v>
      </c>
      <c r="M2" s="29">
        <v>9</v>
      </c>
      <c r="N2" s="29">
        <v>10</v>
      </c>
      <c r="O2" s="29">
        <v>11</v>
      </c>
      <c r="P2" s="29">
        <v>12</v>
      </c>
      <c r="Q2" s="29">
        <v>13</v>
      </c>
      <c r="R2" s="29">
        <v>14</v>
      </c>
      <c r="S2" s="29">
        <v>15</v>
      </c>
      <c r="T2" s="29">
        <v>16</v>
      </c>
      <c r="U2" s="29">
        <v>17</v>
      </c>
      <c r="V2" s="29">
        <v>18</v>
      </c>
      <c r="W2" s="29">
        <v>19</v>
      </c>
      <c r="X2" s="29">
        <v>20</v>
      </c>
      <c r="Y2" s="29">
        <v>21</v>
      </c>
      <c r="Z2" s="29">
        <v>22</v>
      </c>
      <c r="AA2" s="29">
        <v>23</v>
      </c>
      <c r="AB2" s="29">
        <v>24</v>
      </c>
      <c r="AC2" s="29">
        <v>25</v>
      </c>
      <c r="AD2" s="29">
        <v>26</v>
      </c>
      <c r="AE2" s="29">
        <v>27</v>
      </c>
      <c r="AF2" s="29">
        <v>28</v>
      </c>
      <c r="AG2" s="29">
        <v>29</v>
      </c>
      <c r="AH2" s="29">
        <v>30</v>
      </c>
      <c r="AI2" s="29">
        <v>31</v>
      </c>
      <c r="AJ2" s="29">
        <v>32</v>
      </c>
      <c r="AK2" s="29">
        <v>33</v>
      </c>
      <c r="AL2" s="29">
        <v>34</v>
      </c>
      <c r="AM2" s="29">
        <v>35</v>
      </c>
      <c r="AN2" s="29">
        <v>36</v>
      </c>
      <c r="AO2" s="29">
        <v>37</v>
      </c>
      <c r="AP2" s="29">
        <v>38</v>
      </c>
      <c r="AQ2" s="29">
        <v>39</v>
      </c>
      <c r="AR2" s="30">
        <v>40</v>
      </c>
    </row>
    <row r="5" spans="1:44" s="21" customFormat="1" x14ac:dyDescent="0.45">
      <c r="A5"/>
      <c r="B5" s="18" t="s">
        <v>55</v>
      </c>
      <c r="C5" s="29"/>
    </row>
    <row r="6" spans="1:44" x14ac:dyDescent="0.45">
      <c r="B6" s="17" t="s">
        <v>61</v>
      </c>
      <c r="C6" s="33">
        <f>SUM(E6:AR6)</f>
        <v>300000</v>
      </c>
      <c r="E6" s="33">
        <f>Inputs!$E$25/Inputs!$E$7/1000*TBA!D8</f>
        <v>75000</v>
      </c>
      <c r="F6" s="33">
        <f>Inputs!$E$25/Inputs!$E$7/1000*TBA!E8</f>
        <v>75000</v>
      </c>
      <c r="G6" s="33">
        <f>Inputs!$E$25/Inputs!$E$7/1000*TBA!F8</f>
        <v>75000</v>
      </c>
      <c r="H6" s="33">
        <f>Inputs!$E$25/Inputs!$E$7/1000*TBA!G8</f>
        <v>75000</v>
      </c>
      <c r="I6" s="33">
        <f>Inputs!$E$25/Inputs!$E$7/1000*TBA!H8</f>
        <v>0</v>
      </c>
      <c r="J6" s="33">
        <f>Inputs!$E$25/Inputs!$E$7/1000*TBA!I8</f>
        <v>0</v>
      </c>
      <c r="K6" s="33">
        <f>Inputs!$E$25/Inputs!$E$7/1000*TBA!J8</f>
        <v>0</v>
      </c>
      <c r="L6" s="33">
        <f>Inputs!$E$25/Inputs!$E$7/1000*TBA!K8</f>
        <v>0</v>
      </c>
      <c r="M6" s="33">
        <f>Inputs!$E$25/Inputs!$E$7/1000*TBA!L8</f>
        <v>0</v>
      </c>
      <c r="N6" s="33">
        <f>Inputs!$E$25/Inputs!$E$7/1000*TBA!M8</f>
        <v>0</v>
      </c>
      <c r="O6" s="33">
        <f>Inputs!$E$25/Inputs!$E$7/1000*TBA!N8</f>
        <v>0</v>
      </c>
      <c r="P6" s="33">
        <f>Inputs!$E$25/Inputs!$E$7/1000*TBA!O8</f>
        <v>0</v>
      </c>
      <c r="Q6" s="33">
        <f>Inputs!$E$25/Inputs!$E$7/1000*TBA!P8</f>
        <v>0</v>
      </c>
      <c r="R6" s="33">
        <f>Inputs!$E$25/Inputs!$E$7/1000*TBA!Q8</f>
        <v>0</v>
      </c>
      <c r="S6" s="33">
        <f>Inputs!$E$25/Inputs!$E$7/1000*TBA!R8</f>
        <v>0</v>
      </c>
      <c r="T6" s="33">
        <f>Inputs!$E$25/Inputs!$E$7/1000*TBA!S8</f>
        <v>0</v>
      </c>
      <c r="U6" s="33">
        <f>Inputs!$E$25/Inputs!$E$7/1000*TBA!T8</f>
        <v>0</v>
      </c>
      <c r="V6" s="33">
        <f>Inputs!$E$25/Inputs!$E$7/1000*TBA!U8</f>
        <v>0</v>
      </c>
      <c r="W6" s="33">
        <f>Inputs!$E$25/Inputs!$E$7/1000*TBA!V8</f>
        <v>0</v>
      </c>
      <c r="X6" s="33">
        <f>Inputs!$E$25/Inputs!$E$7/1000*TBA!W8</f>
        <v>0</v>
      </c>
      <c r="Y6" s="33">
        <f>Inputs!$E$25/Inputs!$E$7/1000*TBA!X8</f>
        <v>0</v>
      </c>
      <c r="Z6" s="33">
        <f>Inputs!$E$25/Inputs!$E$7/1000*TBA!Y8</f>
        <v>0</v>
      </c>
      <c r="AA6" s="33">
        <f>Inputs!$E$25/Inputs!$E$7/1000*TBA!Z8</f>
        <v>0</v>
      </c>
      <c r="AB6" s="33">
        <f>Inputs!$E$25/Inputs!$E$7/1000*TBA!AA8</f>
        <v>0</v>
      </c>
      <c r="AC6" s="33">
        <f>Inputs!$E$25/Inputs!$E$7/1000*TBA!AB8</f>
        <v>0</v>
      </c>
      <c r="AD6" s="33">
        <f>Inputs!$E$25/Inputs!$E$7/1000*TBA!AC8</f>
        <v>0</v>
      </c>
      <c r="AE6" s="33">
        <f>Inputs!$E$25/Inputs!$E$7/1000*TBA!AD8</f>
        <v>0</v>
      </c>
      <c r="AF6" s="33">
        <f>Inputs!$E$25/Inputs!$E$7/1000*TBA!AE8</f>
        <v>0</v>
      </c>
      <c r="AG6" s="33">
        <f>Inputs!$E$25/Inputs!$E$7/1000*TBA!AF8</f>
        <v>0</v>
      </c>
      <c r="AH6" s="33">
        <f>Inputs!$E$25/Inputs!$E$7/1000*TBA!AG8</f>
        <v>0</v>
      </c>
      <c r="AI6" s="33">
        <f>Inputs!$E$25/Inputs!$E$7/1000*TBA!AH8</f>
        <v>0</v>
      </c>
      <c r="AJ6" s="33">
        <f>Inputs!$E$25/Inputs!$E$7/1000*TBA!AI8</f>
        <v>0</v>
      </c>
      <c r="AK6" s="33">
        <f>Inputs!$E$25/Inputs!$E$7/1000*TBA!AJ8</f>
        <v>0</v>
      </c>
      <c r="AL6" s="33">
        <f>Inputs!$E$25/Inputs!$E$7/1000*TBA!AK8</f>
        <v>0</v>
      </c>
      <c r="AM6" s="33">
        <f>Inputs!$E$25/Inputs!$E$7/1000*TBA!AL8</f>
        <v>0</v>
      </c>
      <c r="AN6" s="33">
        <f>Inputs!$E$25/Inputs!$E$7/1000*TBA!AM8</f>
        <v>0</v>
      </c>
      <c r="AO6" s="33">
        <f>Inputs!$E$25/Inputs!$E$7/1000*TBA!AN8</f>
        <v>0</v>
      </c>
      <c r="AP6" s="33">
        <f>Inputs!$E$25/Inputs!$E$7/1000*TBA!AO8</f>
        <v>0</v>
      </c>
      <c r="AQ6" s="33">
        <f>Inputs!$E$25/Inputs!$E$7/1000*TBA!AP8</f>
        <v>0</v>
      </c>
      <c r="AR6" s="33">
        <f>Inputs!$E$25/Inputs!$E$7/1000*TBA!AQ8</f>
        <v>0</v>
      </c>
    </row>
    <row r="8" spans="1:44" s="21" customFormat="1" x14ac:dyDescent="0.45">
      <c r="A8"/>
      <c r="B8" s="18" t="s">
        <v>56</v>
      </c>
      <c r="C8" s="29"/>
      <c r="E8" s="35">
        <f>SUM(E6:E7)</f>
        <v>75000</v>
      </c>
      <c r="F8" s="35">
        <f t="shared" ref="F8:AR8" si="0">SUM(F6:F7)</f>
        <v>75000</v>
      </c>
      <c r="G8" s="35">
        <f t="shared" si="0"/>
        <v>75000</v>
      </c>
      <c r="H8" s="35">
        <f t="shared" si="0"/>
        <v>75000</v>
      </c>
      <c r="I8" s="35">
        <f t="shared" si="0"/>
        <v>0</v>
      </c>
      <c r="J8" s="35">
        <f t="shared" si="0"/>
        <v>0</v>
      </c>
      <c r="K8" s="35">
        <f t="shared" si="0"/>
        <v>0</v>
      </c>
      <c r="L8" s="35">
        <f t="shared" si="0"/>
        <v>0</v>
      </c>
      <c r="M8" s="35">
        <f t="shared" si="0"/>
        <v>0</v>
      </c>
      <c r="N8" s="35">
        <f t="shared" si="0"/>
        <v>0</v>
      </c>
      <c r="O8" s="35">
        <f t="shared" si="0"/>
        <v>0</v>
      </c>
      <c r="P8" s="35">
        <f t="shared" si="0"/>
        <v>0</v>
      </c>
      <c r="Q8" s="35">
        <f t="shared" si="0"/>
        <v>0</v>
      </c>
      <c r="R8" s="35">
        <f t="shared" si="0"/>
        <v>0</v>
      </c>
      <c r="S8" s="35">
        <f t="shared" si="0"/>
        <v>0</v>
      </c>
      <c r="T8" s="35">
        <f t="shared" si="0"/>
        <v>0</v>
      </c>
      <c r="U8" s="35">
        <f t="shared" si="0"/>
        <v>0</v>
      </c>
      <c r="V8" s="35">
        <f t="shared" si="0"/>
        <v>0</v>
      </c>
      <c r="W8" s="35">
        <f t="shared" si="0"/>
        <v>0</v>
      </c>
      <c r="X8" s="35">
        <f t="shared" si="0"/>
        <v>0</v>
      </c>
      <c r="Y8" s="35">
        <f t="shared" si="0"/>
        <v>0</v>
      </c>
      <c r="Z8" s="35">
        <f t="shared" si="0"/>
        <v>0</v>
      </c>
      <c r="AA8" s="35">
        <f t="shared" si="0"/>
        <v>0</v>
      </c>
      <c r="AB8" s="35">
        <f t="shared" si="0"/>
        <v>0</v>
      </c>
      <c r="AC8" s="35">
        <f t="shared" si="0"/>
        <v>0</v>
      </c>
      <c r="AD8" s="35">
        <f t="shared" si="0"/>
        <v>0</v>
      </c>
      <c r="AE8" s="35">
        <f t="shared" si="0"/>
        <v>0</v>
      </c>
      <c r="AF8" s="35">
        <f t="shared" si="0"/>
        <v>0</v>
      </c>
      <c r="AG8" s="35">
        <f t="shared" si="0"/>
        <v>0</v>
      </c>
      <c r="AH8" s="35">
        <f t="shared" si="0"/>
        <v>0</v>
      </c>
      <c r="AI8" s="35">
        <f t="shared" si="0"/>
        <v>0</v>
      </c>
      <c r="AJ8" s="35">
        <f t="shared" si="0"/>
        <v>0</v>
      </c>
      <c r="AK8" s="35">
        <f t="shared" si="0"/>
        <v>0</v>
      </c>
      <c r="AL8" s="35">
        <f t="shared" si="0"/>
        <v>0</v>
      </c>
      <c r="AM8" s="35">
        <f t="shared" si="0"/>
        <v>0</v>
      </c>
      <c r="AN8" s="35">
        <f t="shared" si="0"/>
        <v>0</v>
      </c>
      <c r="AO8" s="35">
        <f t="shared" si="0"/>
        <v>0</v>
      </c>
      <c r="AP8" s="35">
        <f t="shared" si="0"/>
        <v>0</v>
      </c>
      <c r="AQ8" s="35">
        <f t="shared" si="0"/>
        <v>0</v>
      </c>
      <c r="AR8" s="35">
        <f t="shared" si="0"/>
        <v>0</v>
      </c>
    </row>
    <row r="11" spans="1:44" s="21" customFormat="1" x14ac:dyDescent="0.45">
      <c r="A11"/>
      <c r="B11" s="18" t="s">
        <v>57</v>
      </c>
      <c r="C11" s="29"/>
    </row>
    <row r="12" spans="1:44" x14ac:dyDescent="0.45">
      <c r="B12" t="s">
        <v>58</v>
      </c>
      <c r="C12" s="32">
        <f>SUM(E12:H12)</f>
        <v>300000</v>
      </c>
      <c r="E12" s="19">
        <v>75000</v>
      </c>
      <c r="F12" s="19">
        <v>75000</v>
      </c>
      <c r="G12" s="19">
        <v>75000</v>
      </c>
      <c r="H12" s="19">
        <v>75000</v>
      </c>
    </row>
    <row r="13" spans="1:44" x14ac:dyDescent="0.45">
      <c r="B13" t="s">
        <v>59</v>
      </c>
      <c r="C13" s="32">
        <f t="shared" ref="C13:C15" si="1">SUM(E13:H13)</f>
        <v>3218.0726953685062</v>
      </c>
      <c r="E13" s="33">
        <f t="shared" ref="E13:H15" si="2">E37</f>
        <v>3218.0726953685062</v>
      </c>
      <c r="F13" s="33">
        <f t="shared" si="2"/>
        <v>0</v>
      </c>
      <c r="G13" s="33">
        <f t="shared" si="2"/>
        <v>0</v>
      </c>
      <c r="H13" s="33">
        <f t="shared" si="2"/>
        <v>0</v>
      </c>
    </row>
    <row r="14" spans="1:44" x14ac:dyDescent="0.45">
      <c r="B14" t="s">
        <v>60</v>
      </c>
      <c r="C14" s="32">
        <f t="shared" si="1"/>
        <v>13991.173537944476</v>
      </c>
      <c r="E14" s="33">
        <f t="shared" si="2"/>
        <v>4392.6692291780118</v>
      </c>
      <c r="F14" s="33">
        <f t="shared" si="2"/>
        <v>4392.6692291780118</v>
      </c>
      <c r="G14" s="33">
        <f t="shared" si="2"/>
        <v>3440.9328843047761</v>
      </c>
      <c r="H14" s="33">
        <f t="shared" si="2"/>
        <v>1764.9021952836774</v>
      </c>
    </row>
    <row r="15" spans="1:44" x14ac:dyDescent="0.45">
      <c r="B15" t="s">
        <v>62</v>
      </c>
      <c r="C15" s="32">
        <f t="shared" si="1"/>
        <v>12849.499308396404</v>
      </c>
      <c r="E15" s="33">
        <f t="shared" si="2"/>
        <v>0</v>
      </c>
      <c r="F15" s="33">
        <f t="shared" si="2"/>
        <v>0</v>
      </c>
      <c r="G15" s="33">
        <f t="shared" si="2"/>
        <v>3416.4894431346911</v>
      </c>
      <c r="H15" s="33">
        <f t="shared" si="2"/>
        <v>9433.0098652617125</v>
      </c>
    </row>
    <row r="16" spans="1:44" s="21" customFormat="1" x14ac:dyDescent="0.45">
      <c r="A16"/>
      <c r="B16" s="18" t="s">
        <v>63</v>
      </c>
      <c r="C16" s="29"/>
      <c r="E16" s="35">
        <f>SUM(E13+E14+E12+E15)</f>
        <v>82610.741924546513</v>
      </c>
      <c r="F16" s="35">
        <f>SUM(F13+F14+F12+F15)</f>
        <v>79392.669229178005</v>
      </c>
      <c r="G16" s="35">
        <f>SUM(G13+G14+G12+G15)</f>
        <v>81857.422327439461</v>
      </c>
      <c r="H16" s="35">
        <f>SUM(H13+H14+H12+H15)</f>
        <v>86197.912060545394</v>
      </c>
    </row>
    <row r="19" spans="1:45" x14ac:dyDescent="0.45">
      <c r="B19" s="24" t="s">
        <v>74</v>
      </c>
      <c r="E19" s="38">
        <v>82610.739837268236</v>
      </c>
      <c r="F19" s="38">
        <v>79392.668024469822</v>
      </c>
      <c r="G19" s="38">
        <v>81857.420709211176</v>
      </c>
      <c r="H19" s="38">
        <v>86197.909415564209</v>
      </c>
      <c r="I19" s="38">
        <v>0</v>
      </c>
      <c r="J19" s="38">
        <v>0</v>
      </c>
      <c r="K19" s="38">
        <v>0</v>
      </c>
    </row>
    <row r="20" spans="1:45" x14ac:dyDescent="0.45">
      <c r="B20" s="39" t="s">
        <v>77</v>
      </c>
      <c r="C20" s="40">
        <f>SUM(E19:AR19)</f>
        <v>330058.73798651341</v>
      </c>
    </row>
    <row r="21" spans="1:45" x14ac:dyDescent="0.45">
      <c r="B21" s="41" t="s">
        <v>76</v>
      </c>
      <c r="C21" s="42">
        <f>C20*Inputs!$E$33</f>
        <v>214538.17969123373</v>
      </c>
    </row>
    <row r="22" spans="1:45" s="21" customFormat="1" x14ac:dyDescent="0.45">
      <c r="A22"/>
      <c r="B22" s="43" t="s">
        <v>75</v>
      </c>
      <c r="C22" s="44">
        <f>C20*(1-Inputs!$E$33)</f>
        <v>115520.55829527968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5" spans="1:45" s="21" customFormat="1" x14ac:dyDescent="0.45">
      <c r="A25"/>
      <c r="B25" s="18" t="s">
        <v>64</v>
      </c>
      <c r="C25" s="29"/>
    </row>
    <row r="26" spans="1:45" x14ac:dyDescent="0.45">
      <c r="B26" s="17" t="s">
        <v>68</v>
      </c>
      <c r="C26" s="17"/>
      <c r="E26" s="33">
        <f>IF(MAX($C$22-SUM($D$26:D26),0)&gt;E19,E19,$C$22-SUM($D$26:D26))</f>
        <v>82610.739837268236</v>
      </c>
      <c r="F26" s="33">
        <f>IF(MAX($C$22-SUM($D$26:E26),0)&gt;F19,F19,$C$22-SUM($D$26:E26))</f>
        <v>32909.818458011447</v>
      </c>
      <c r="G26" s="33">
        <f>IF(MAX($C$22-SUM($D$26:F26),0)&gt;G19,G19,$C$22-SUM($D$26:F26))</f>
        <v>0</v>
      </c>
      <c r="H26" s="33">
        <f>IF(MAX($C$22-SUM($D$26:G26),0)&gt;H19,H19,$C$22-SUM($D$26:G26))</f>
        <v>0</v>
      </c>
      <c r="I26" s="33">
        <f>IF(MAX($C$22-SUM($D$26:H26),0)&gt;I19,I19,$C$22-SUM($D$26:H26))</f>
        <v>0</v>
      </c>
      <c r="J26" s="33">
        <f>IF(MAX($C$22-SUM($D$26:I26),0)&gt;J19,J19,$C$22-SUM($D$26:I26))</f>
        <v>0</v>
      </c>
      <c r="K26" s="33">
        <f>IF(MAX($C$22-SUM($D$26:J26),0)&gt;K19,K19,$C$22-SUM($D$26:J26))</f>
        <v>0</v>
      </c>
    </row>
    <row r="27" spans="1:45" x14ac:dyDescent="0.45">
      <c r="B27" s="17" t="s">
        <v>67</v>
      </c>
      <c r="C27" s="17"/>
      <c r="E27" s="17">
        <f t="shared" ref="E27:K27" si="3">IF(E19-E26&gt;0,E19-E26,0)</f>
        <v>0</v>
      </c>
      <c r="F27" s="33">
        <f t="shared" si="3"/>
        <v>46482.849566458375</v>
      </c>
      <c r="G27" s="33">
        <f t="shared" si="3"/>
        <v>81857.420709211176</v>
      </c>
      <c r="H27" s="33">
        <f t="shared" si="3"/>
        <v>86197.909415564209</v>
      </c>
      <c r="I27" s="33">
        <f t="shared" si="3"/>
        <v>0</v>
      </c>
      <c r="J27" s="33">
        <f t="shared" si="3"/>
        <v>0</v>
      </c>
      <c r="K27" s="33">
        <f t="shared" si="3"/>
        <v>0</v>
      </c>
      <c r="L27" s="17"/>
    </row>
    <row r="28" spans="1:45" x14ac:dyDescent="0.45">
      <c r="B28" s="18" t="s">
        <v>69</v>
      </c>
      <c r="C28" s="29"/>
      <c r="D28" s="21"/>
      <c r="E28" s="35">
        <f t="shared" ref="E28:K28" si="4">SUM(E26+E27)</f>
        <v>82610.739837268236</v>
      </c>
      <c r="F28" s="35">
        <f t="shared" si="4"/>
        <v>79392.668024469822</v>
      </c>
      <c r="G28" s="35">
        <f t="shared" si="4"/>
        <v>81857.420709211176</v>
      </c>
      <c r="H28" s="35">
        <f t="shared" si="4"/>
        <v>86197.909415564209</v>
      </c>
      <c r="I28" s="35">
        <f t="shared" si="4"/>
        <v>0</v>
      </c>
      <c r="J28" s="35">
        <f t="shared" si="4"/>
        <v>0</v>
      </c>
      <c r="K28" s="35">
        <f t="shared" si="4"/>
        <v>0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</row>
    <row r="29" spans="1:45" s="21" customFormat="1" x14ac:dyDescent="0.4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2" spans="1:45" x14ac:dyDescent="0.45">
      <c r="B32" s="18" t="s">
        <v>105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</row>
    <row r="33" spans="2:45" x14ac:dyDescent="0.45">
      <c r="B33" t="s">
        <v>70</v>
      </c>
      <c r="D33" s="37"/>
      <c r="E33" s="38">
        <v>0</v>
      </c>
      <c r="F33" s="33">
        <f t="shared" ref="F33:AB33" si="5">E35</f>
        <v>0</v>
      </c>
      <c r="G33" s="33">
        <f t="shared" si="5"/>
        <v>46482.849566458375</v>
      </c>
      <c r="H33" s="33">
        <f t="shared" si="5"/>
        <v>128340.27027566955</v>
      </c>
      <c r="I33" s="33">
        <f t="shared" si="5"/>
        <v>214538.17969123376</v>
      </c>
      <c r="J33" s="33">
        <f t="shared" si="5"/>
        <v>214538.17969123376</v>
      </c>
      <c r="K33" s="33">
        <f t="shared" si="5"/>
        <v>214538.17969123376</v>
      </c>
      <c r="L33" s="33">
        <f t="shared" si="5"/>
        <v>214538.17969123376</v>
      </c>
      <c r="M33" s="33">
        <f t="shared" si="5"/>
        <v>214538.17969123376</v>
      </c>
      <c r="N33" s="33">
        <f t="shared" si="5"/>
        <v>214538.17969123376</v>
      </c>
      <c r="O33" s="33">
        <f t="shared" si="5"/>
        <v>214538.17969123376</v>
      </c>
      <c r="P33" s="33">
        <f t="shared" si="5"/>
        <v>214538.17969123376</v>
      </c>
      <c r="Q33" s="33">
        <f t="shared" si="5"/>
        <v>214538.17969123376</v>
      </c>
      <c r="R33" s="33">
        <f t="shared" si="5"/>
        <v>214538.17969123376</v>
      </c>
      <c r="S33" s="33">
        <f t="shared" si="5"/>
        <v>214538.17969123376</v>
      </c>
      <c r="T33" s="33">
        <f t="shared" si="5"/>
        <v>214538.17969123376</v>
      </c>
      <c r="U33" s="33">
        <f t="shared" si="5"/>
        <v>214538.17969123376</v>
      </c>
      <c r="V33" s="33">
        <f t="shared" si="5"/>
        <v>214538.17969123376</v>
      </c>
      <c r="W33" s="33">
        <f t="shared" si="5"/>
        <v>214538.17969123376</v>
      </c>
      <c r="X33" s="33">
        <f t="shared" si="5"/>
        <v>214538.17969123376</v>
      </c>
      <c r="Y33" s="33">
        <f t="shared" si="5"/>
        <v>214538.17969123376</v>
      </c>
      <c r="Z33" s="33">
        <f t="shared" si="5"/>
        <v>214538.17969123376</v>
      </c>
      <c r="AA33" s="33">
        <f t="shared" si="5"/>
        <v>214538.17969123376</v>
      </c>
      <c r="AB33" s="33">
        <f t="shared" si="5"/>
        <v>214538.17969123376</v>
      </c>
      <c r="AC33" s="33">
        <f t="shared" ref="AC33:AR35" si="6">AB35</f>
        <v>214538.17969123376</v>
      </c>
      <c r="AD33" s="33">
        <f t="shared" si="6"/>
        <v>0</v>
      </c>
      <c r="AE33" s="33">
        <f t="shared" si="6"/>
        <v>0</v>
      </c>
      <c r="AF33" s="33">
        <f t="shared" si="6"/>
        <v>0</v>
      </c>
      <c r="AG33" s="33">
        <f t="shared" si="6"/>
        <v>0</v>
      </c>
      <c r="AH33" s="33">
        <f t="shared" si="6"/>
        <v>0</v>
      </c>
      <c r="AI33" s="33">
        <f t="shared" si="6"/>
        <v>0</v>
      </c>
      <c r="AJ33" s="33">
        <f t="shared" si="6"/>
        <v>0</v>
      </c>
      <c r="AK33" s="33">
        <f t="shared" si="6"/>
        <v>0</v>
      </c>
      <c r="AL33" s="33">
        <f t="shared" si="6"/>
        <v>0</v>
      </c>
      <c r="AM33" s="33">
        <f t="shared" si="6"/>
        <v>0</v>
      </c>
      <c r="AN33" s="33">
        <f t="shared" si="6"/>
        <v>0</v>
      </c>
      <c r="AO33" s="33">
        <f t="shared" si="6"/>
        <v>0</v>
      </c>
      <c r="AP33" s="33">
        <f t="shared" si="6"/>
        <v>0</v>
      </c>
      <c r="AQ33" s="33">
        <f t="shared" si="6"/>
        <v>0</v>
      </c>
      <c r="AR33" s="33">
        <f t="shared" si="6"/>
        <v>0</v>
      </c>
    </row>
    <row r="34" spans="2:45" x14ac:dyDescent="0.45">
      <c r="B34" t="s">
        <v>71</v>
      </c>
      <c r="C34" s="54">
        <f>SUM(E34:AR34)</f>
        <v>214538.17969123376</v>
      </c>
      <c r="D34" s="17"/>
      <c r="E34" s="33">
        <f t="shared" ref="E34:AB34" si="7">E27</f>
        <v>0</v>
      </c>
      <c r="F34" s="33">
        <f t="shared" si="7"/>
        <v>46482.849566458375</v>
      </c>
      <c r="G34" s="33">
        <f t="shared" si="7"/>
        <v>81857.420709211176</v>
      </c>
      <c r="H34" s="33">
        <f t="shared" si="7"/>
        <v>86197.909415564209</v>
      </c>
      <c r="I34" s="33">
        <f t="shared" si="7"/>
        <v>0</v>
      </c>
      <c r="J34" s="33">
        <f t="shared" si="7"/>
        <v>0</v>
      </c>
      <c r="K34" s="33">
        <f t="shared" si="7"/>
        <v>0</v>
      </c>
      <c r="L34" s="33">
        <f t="shared" si="7"/>
        <v>0</v>
      </c>
      <c r="M34" s="33">
        <f t="shared" si="7"/>
        <v>0</v>
      </c>
      <c r="N34" s="33">
        <f t="shared" si="7"/>
        <v>0</v>
      </c>
      <c r="O34" s="33">
        <f t="shared" si="7"/>
        <v>0</v>
      </c>
      <c r="P34" s="33">
        <f t="shared" si="7"/>
        <v>0</v>
      </c>
      <c r="Q34" s="33">
        <f t="shared" si="7"/>
        <v>0</v>
      </c>
      <c r="R34" s="33">
        <f t="shared" si="7"/>
        <v>0</v>
      </c>
      <c r="S34" s="33">
        <f t="shared" si="7"/>
        <v>0</v>
      </c>
      <c r="T34" s="33">
        <f t="shared" si="7"/>
        <v>0</v>
      </c>
      <c r="U34" s="33">
        <f t="shared" si="7"/>
        <v>0</v>
      </c>
      <c r="V34" s="33">
        <f t="shared" si="7"/>
        <v>0</v>
      </c>
      <c r="W34" s="33">
        <f t="shared" si="7"/>
        <v>0</v>
      </c>
      <c r="X34" s="33">
        <f t="shared" si="7"/>
        <v>0</v>
      </c>
      <c r="Y34" s="33">
        <f t="shared" si="7"/>
        <v>0</v>
      </c>
      <c r="Z34" s="33">
        <f t="shared" si="7"/>
        <v>0</v>
      </c>
      <c r="AA34" s="33">
        <f t="shared" si="7"/>
        <v>0</v>
      </c>
      <c r="AB34" s="33">
        <f t="shared" si="7"/>
        <v>0</v>
      </c>
      <c r="AC34" s="33">
        <f t="shared" si="6"/>
        <v>0</v>
      </c>
      <c r="AD34" s="33">
        <f t="shared" si="6"/>
        <v>0</v>
      </c>
      <c r="AE34" s="33">
        <f t="shared" si="6"/>
        <v>0</v>
      </c>
      <c r="AF34" s="33">
        <f t="shared" si="6"/>
        <v>0</v>
      </c>
      <c r="AG34" s="33">
        <f t="shared" si="6"/>
        <v>0</v>
      </c>
      <c r="AH34" s="33">
        <f t="shared" si="6"/>
        <v>0</v>
      </c>
      <c r="AI34" s="33">
        <f t="shared" si="6"/>
        <v>0</v>
      </c>
      <c r="AJ34" s="33">
        <f t="shared" si="6"/>
        <v>0</v>
      </c>
      <c r="AK34" s="33">
        <f t="shared" si="6"/>
        <v>0</v>
      </c>
      <c r="AL34" s="33">
        <f t="shared" si="6"/>
        <v>0</v>
      </c>
      <c r="AM34" s="33">
        <f t="shared" si="6"/>
        <v>0</v>
      </c>
      <c r="AN34" s="33">
        <f t="shared" si="6"/>
        <v>0</v>
      </c>
      <c r="AO34" s="33">
        <f t="shared" si="6"/>
        <v>0</v>
      </c>
      <c r="AP34" s="33">
        <f t="shared" si="6"/>
        <v>0</v>
      </c>
      <c r="AQ34" s="33">
        <f t="shared" si="6"/>
        <v>0</v>
      </c>
      <c r="AR34" s="33">
        <f t="shared" si="6"/>
        <v>0</v>
      </c>
    </row>
    <row r="35" spans="2:45" x14ac:dyDescent="0.45">
      <c r="B35" t="s">
        <v>72</v>
      </c>
      <c r="E35" s="33">
        <f t="shared" ref="E35:AB35" si="8">SUM(E33:E34)</f>
        <v>0</v>
      </c>
      <c r="F35" s="33">
        <f t="shared" si="8"/>
        <v>46482.849566458375</v>
      </c>
      <c r="G35" s="33">
        <f t="shared" si="8"/>
        <v>128340.27027566955</v>
      </c>
      <c r="H35" s="33">
        <f t="shared" si="8"/>
        <v>214538.17969123376</v>
      </c>
      <c r="I35" s="33">
        <f t="shared" si="8"/>
        <v>214538.17969123376</v>
      </c>
      <c r="J35" s="33">
        <f t="shared" si="8"/>
        <v>214538.17969123376</v>
      </c>
      <c r="K35" s="33">
        <f t="shared" si="8"/>
        <v>214538.17969123376</v>
      </c>
      <c r="L35" s="33">
        <f t="shared" si="8"/>
        <v>214538.17969123376</v>
      </c>
      <c r="M35" s="33">
        <f t="shared" si="8"/>
        <v>214538.17969123376</v>
      </c>
      <c r="N35" s="33">
        <f t="shared" si="8"/>
        <v>214538.17969123376</v>
      </c>
      <c r="O35" s="33">
        <f t="shared" si="8"/>
        <v>214538.17969123376</v>
      </c>
      <c r="P35" s="33">
        <f t="shared" si="8"/>
        <v>214538.17969123376</v>
      </c>
      <c r="Q35" s="33">
        <f t="shared" si="8"/>
        <v>214538.17969123376</v>
      </c>
      <c r="R35" s="33">
        <f t="shared" si="8"/>
        <v>214538.17969123376</v>
      </c>
      <c r="S35" s="33">
        <f t="shared" si="8"/>
        <v>214538.17969123376</v>
      </c>
      <c r="T35" s="33">
        <f t="shared" si="8"/>
        <v>214538.17969123376</v>
      </c>
      <c r="U35" s="33">
        <f t="shared" si="8"/>
        <v>214538.17969123376</v>
      </c>
      <c r="V35" s="33">
        <f t="shared" si="8"/>
        <v>214538.17969123376</v>
      </c>
      <c r="W35" s="33">
        <f t="shared" si="8"/>
        <v>214538.17969123376</v>
      </c>
      <c r="X35" s="33">
        <f t="shared" si="8"/>
        <v>214538.17969123376</v>
      </c>
      <c r="Y35" s="33">
        <f t="shared" si="8"/>
        <v>214538.17969123376</v>
      </c>
      <c r="Z35" s="33">
        <f t="shared" si="8"/>
        <v>214538.17969123376</v>
      </c>
      <c r="AA35" s="33">
        <f t="shared" si="8"/>
        <v>214538.17969123376</v>
      </c>
      <c r="AB35" s="33">
        <f t="shared" si="8"/>
        <v>214538.17969123376</v>
      </c>
      <c r="AC35" s="33">
        <f t="shared" si="6"/>
        <v>0</v>
      </c>
      <c r="AD35" s="33">
        <f t="shared" si="6"/>
        <v>0</v>
      </c>
      <c r="AE35" s="33">
        <f t="shared" si="6"/>
        <v>0</v>
      </c>
      <c r="AF35" s="33">
        <f t="shared" si="6"/>
        <v>0</v>
      </c>
      <c r="AG35" s="33">
        <f t="shared" si="6"/>
        <v>0</v>
      </c>
      <c r="AH35" s="33">
        <f t="shared" si="6"/>
        <v>0</v>
      </c>
      <c r="AI35" s="33">
        <f t="shared" si="6"/>
        <v>0</v>
      </c>
      <c r="AJ35" s="33">
        <f t="shared" si="6"/>
        <v>0</v>
      </c>
      <c r="AK35" s="33">
        <f t="shared" si="6"/>
        <v>0</v>
      </c>
      <c r="AL35" s="33">
        <f t="shared" si="6"/>
        <v>0</v>
      </c>
      <c r="AM35" s="33">
        <f t="shared" si="6"/>
        <v>0</v>
      </c>
      <c r="AN35" s="33">
        <f t="shared" si="6"/>
        <v>0</v>
      </c>
      <c r="AO35" s="33">
        <f t="shared" si="6"/>
        <v>0</v>
      </c>
      <c r="AP35" s="33">
        <f t="shared" si="6"/>
        <v>0</v>
      </c>
      <c r="AQ35" s="33">
        <f t="shared" si="6"/>
        <v>0</v>
      </c>
      <c r="AR35" s="33">
        <f t="shared" si="6"/>
        <v>0</v>
      </c>
    </row>
    <row r="37" spans="2:45" x14ac:dyDescent="0.45">
      <c r="B37" t="s">
        <v>16</v>
      </c>
      <c r="C37" s="54">
        <f>SUM(E37:AR37)</f>
        <v>3218.0726953685062</v>
      </c>
      <c r="E37" s="33">
        <f>Construction!C34*TBA!D14*Inputs!$E$31</f>
        <v>3218.0726953685062</v>
      </c>
      <c r="F37" s="33">
        <f>Construction!F34*Construction!D34*TBA!E14*Inputs!$E$31</f>
        <v>0</v>
      </c>
      <c r="G37" s="33">
        <f>Construction!G34*Construction!E34*TBA!F14*Inputs!$E$31</f>
        <v>0</v>
      </c>
      <c r="H37" s="33">
        <f>Construction!H34*Construction!F34*TBA!G14*Inputs!$E$31</f>
        <v>0</v>
      </c>
      <c r="I37" s="17">
        <f>Construction!I34*Construction!G34*TBA!H14*Inputs!$E$31</f>
        <v>0</v>
      </c>
      <c r="J37" s="17">
        <f>Construction!J34*Construction!H34*TBA!I14*Inputs!$E$31</f>
        <v>0</v>
      </c>
      <c r="K37" s="17">
        <f>Construction!K34*Construction!I34*TBA!J14*Inputs!$E$31</f>
        <v>0</v>
      </c>
      <c r="L37" s="17">
        <f>Construction!L34*Construction!J34*TBA!K14*Inputs!$E$31</f>
        <v>0</v>
      </c>
      <c r="M37" s="17">
        <f>Construction!M34*Construction!K34*TBA!L14*Inputs!$E$31</f>
        <v>0</v>
      </c>
      <c r="N37" s="17">
        <f>Construction!N34*Construction!L34*TBA!M14*Inputs!$E$31</f>
        <v>0</v>
      </c>
      <c r="O37" s="17">
        <f>Construction!O34*Construction!M34*TBA!N14*Inputs!$E$31</f>
        <v>0</v>
      </c>
      <c r="P37" s="17">
        <f>Construction!P34*Construction!N34*TBA!O14*Inputs!$E$31</f>
        <v>0</v>
      </c>
      <c r="Q37" s="17">
        <f>Construction!Q34*Construction!O34*TBA!P14*Inputs!$E$31</f>
        <v>0</v>
      </c>
      <c r="R37" s="17">
        <f>Construction!R34*Construction!P34*TBA!Q14*Inputs!$E$31</f>
        <v>0</v>
      </c>
      <c r="S37" s="17">
        <f>Construction!S34*Construction!Q34*TBA!R14*Inputs!$E$31</f>
        <v>0</v>
      </c>
      <c r="T37" s="17">
        <f>Construction!T34*Construction!R34*TBA!S14*Inputs!$E$31</f>
        <v>0</v>
      </c>
      <c r="U37" s="17">
        <f>Construction!U34*Construction!S34*TBA!T14*Inputs!$E$31</f>
        <v>0</v>
      </c>
      <c r="V37" s="17">
        <f>Construction!V34*Construction!T34*TBA!U14*Inputs!$E$31</f>
        <v>0</v>
      </c>
      <c r="W37" s="17">
        <f>Construction!W34*Construction!U34*TBA!V14*Inputs!$E$31</f>
        <v>0</v>
      </c>
      <c r="X37" s="17">
        <f>Construction!X34*Construction!V34*TBA!W14*Inputs!$E$31</f>
        <v>0</v>
      </c>
      <c r="Y37" s="17">
        <f>Construction!Y34*Construction!W34*TBA!X14*Inputs!$E$31</f>
        <v>0</v>
      </c>
      <c r="Z37" s="17">
        <f>Construction!Z34*Construction!X34*TBA!Y14*Inputs!$E$31</f>
        <v>0</v>
      </c>
      <c r="AA37" s="17">
        <f>Construction!AA34*Construction!Y34*TBA!Z14*Inputs!$E$31</f>
        <v>0</v>
      </c>
      <c r="AB37" s="17">
        <f>Construction!AB34*Construction!Z34*TBA!AA14*Inputs!$E$31</f>
        <v>0</v>
      </c>
      <c r="AC37" s="17">
        <f>Construction!AC34*Construction!AA34*TBA!AB14*Inputs!$E$31</f>
        <v>0</v>
      </c>
      <c r="AD37" s="17">
        <f>Construction!AD34*Construction!AB34*TBA!AC14*Inputs!$E$31</f>
        <v>0</v>
      </c>
      <c r="AE37" s="17">
        <f>Construction!AE34*Construction!AC34*TBA!AD14*Inputs!$E$31</f>
        <v>0</v>
      </c>
      <c r="AF37" s="17">
        <f>Construction!AF34*Construction!AD34*TBA!AE14*Inputs!$E$31</f>
        <v>0</v>
      </c>
      <c r="AG37" s="17">
        <f>Construction!AG34*Construction!AE34*TBA!AF14*Inputs!$E$31</f>
        <v>0</v>
      </c>
      <c r="AH37" s="17">
        <f>Construction!AH34*Construction!AF34*TBA!AG14*Inputs!$E$31</f>
        <v>0</v>
      </c>
      <c r="AI37" s="17">
        <f>Construction!AI34*Construction!AG34*TBA!AH14*Inputs!$E$31</f>
        <v>0</v>
      </c>
      <c r="AJ37" s="17">
        <f>Construction!AJ34*Construction!AH34*TBA!AI14*Inputs!$E$31</f>
        <v>0</v>
      </c>
      <c r="AK37" s="17">
        <f>Construction!AK34*Construction!AI34*TBA!AJ14*Inputs!$E$31</f>
        <v>0</v>
      </c>
      <c r="AL37" s="17">
        <f>Construction!AL34*Construction!AJ34*TBA!AK14*Inputs!$E$31</f>
        <v>0</v>
      </c>
      <c r="AM37" s="17">
        <f>Construction!AM34*Construction!AK34*TBA!AL14*Inputs!$E$31</f>
        <v>0</v>
      </c>
      <c r="AN37" s="17">
        <f>Construction!AN34*Construction!AL34*TBA!AM14*Inputs!$E$31</f>
        <v>0</v>
      </c>
      <c r="AO37" s="17">
        <f>Construction!AO34*Construction!AM34*TBA!AN14*Inputs!$E$31</f>
        <v>0</v>
      </c>
      <c r="AP37" s="17">
        <f>Construction!AP34*Construction!AN34*TBA!AO14*Inputs!$E$31</f>
        <v>0</v>
      </c>
      <c r="AQ37" s="17">
        <f>Construction!AQ34*Construction!AO34*TBA!AP14*Inputs!$E$31</f>
        <v>0</v>
      </c>
      <c r="AR37" s="17">
        <f>Construction!AR34*Construction!AP34*TBA!AQ14*Inputs!$E$31</f>
        <v>0</v>
      </c>
      <c r="AS37" s="17"/>
    </row>
    <row r="38" spans="2:45" x14ac:dyDescent="0.45">
      <c r="B38" t="s">
        <v>18</v>
      </c>
      <c r="C38" s="54">
        <f>SUM(E38:AR38)</f>
        <v>13991.173537944476</v>
      </c>
      <c r="E38" s="33">
        <f>($C$34-E33)*TBA!D15*Inputs!$E$30*Inputs!$E$32</f>
        <v>4392.6692291780118</v>
      </c>
      <c r="F38" s="33">
        <f>($C$34-F33)*TBA!E15*Inputs!$E$30*Inputs!$E$32</f>
        <v>4392.6692291780118</v>
      </c>
      <c r="G38" s="33">
        <f>($C$34-G33)*TBA!F15*Inputs!$E$30*Inputs!$E$32</f>
        <v>3440.9328843047761</v>
      </c>
      <c r="H38" s="33">
        <f>($C$34-H33)*TBA!G15*Inputs!$E$30*Inputs!$E$32</f>
        <v>1764.9021952836774</v>
      </c>
      <c r="I38" s="17">
        <f>($C$34-I27)*TBA!H15*Inputs!$E$30*Inputs!$E$32</f>
        <v>0</v>
      </c>
      <c r="J38" s="17">
        <f>($C$34-J27)*TBA!I15*Inputs!$E$30*Inputs!$E$32</f>
        <v>0</v>
      </c>
      <c r="K38" s="17">
        <f>($C$34-K27)*TBA!J15*Inputs!$E$30*Inputs!$E$32</f>
        <v>0</v>
      </c>
      <c r="L38" s="17">
        <f>($C$34-L27)*TBA!K15*Inputs!$E$30*Inputs!$E$32</f>
        <v>0</v>
      </c>
      <c r="M38" s="17">
        <f>($C$34-M27)*TBA!L15*Inputs!$E$30*Inputs!$E$32</f>
        <v>0</v>
      </c>
      <c r="N38" s="17">
        <f>($C$34-N27)*TBA!M15*Inputs!$E$30*Inputs!$E$32</f>
        <v>0</v>
      </c>
      <c r="O38" s="17">
        <f>($C$34-O27)*TBA!N15*Inputs!$E$30*Inputs!$E$32</f>
        <v>0</v>
      </c>
      <c r="P38" s="17">
        <f>($C$34-P27)*TBA!O15*Inputs!$E$30*Inputs!$E$32</f>
        <v>0</v>
      </c>
      <c r="Q38" s="17">
        <f>($C$34-Q27)*TBA!P15*Inputs!$E$30*Inputs!$E$32</f>
        <v>0</v>
      </c>
      <c r="R38" s="17">
        <f>($C$34-R27)*TBA!Q15*Inputs!$E$30*Inputs!$E$32</f>
        <v>0</v>
      </c>
      <c r="S38" s="17">
        <f>($C$34-S27)*TBA!R15*Inputs!$E$30*Inputs!$E$32</f>
        <v>0</v>
      </c>
      <c r="T38" s="17">
        <f>($C$34-T27)*TBA!S15*Inputs!$E$30*Inputs!$E$32</f>
        <v>0</v>
      </c>
      <c r="U38" s="17">
        <f>($C$34-U27)*TBA!T15*Inputs!$E$30*Inputs!$E$32</f>
        <v>0</v>
      </c>
      <c r="V38" s="17">
        <f>($C$34-V27)*TBA!U15*Inputs!$E$30*Inputs!$E$32</f>
        <v>0</v>
      </c>
      <c r="W38" s="17">
        <f>($C$34-W27)*TBA!V15*Inputs!$E$30*Inputs!$E$32</f>
        <v>0</v>
      </c>
      <c r="X38" s="17">
        <f>($C$34-X27)*TBA!W15*Inputs!$E$30*Inputs!$E$32</f>
        <v>0</v>
      </c>
      <c r="Y38" s="17">
        <f>($C$34-Y27)*TBA!X15*Inputs!$E$30*Inputs!$E$32</f>
        <v>0</v>
      </c>
      <c r="Z38" s="17">
        <f>($C$34-Z27)*TBA!Y15*Inputs!$E$30*Inputs!$E$32</f>
        <v>0</v>
      </c>
      <c r="AA38" s="17">
        <f>($C$34-AA27)*TBA!Z15*Inputs!$E$30*Inputs!$E$32</f>
        <v>0</v>
      </c>
      <c r="AB38" s="17">
        <f>($C$34-AB27)*TBA!AA15*Inputs!$E$30*Inputs!$E$32</f>
        <v>0</v>
      </c>
      <c r="AC38" s="17">
        <f>Construction!AC35*Construction!AA35*TBA!AB15*Inputs!$E$31</f>
        <v>0</v>
      </c>
      <c r="AD38" s="17">
        <f>Construction!AD35*Construction!AB35*TBA!AC15*Inputs!$E$31</f>
        <v>0</v>
      </c>
      <c r="AE38" s="17">
        <f>Construction!AE35*Construction!AC35*TBA!AD15*Inputs!$E$31</f>
        <v>0</v>
      </c>
      <c r="AF38" s="17">
        <f>Construction!AF35*Construction!AD35*TBA!AE15*Inputs!$E$31</f>
        <v>0</v>
      </c>
      <c r="AG38" s="17">
        <f>Construction!AG35*Construction!AE35*TBA!AF15*Inputs!$E$31</f>
        <v>0</v>
      </c>
      <c r="AH38" s="17">
        <f>Construction!AH35*Construction!AF35*TBA!AG15*Inputs!$E$31</f>
        <v>0</v>
      </c>
      <c r="AI38" s="17">
        <f>Construction!AI35*Construction!AG35*TBA!AH15*Inputs!$E$31</f>
        <v>0</v>
      </c>
      <c r="AJ38" s="17">
        <f>Construction!AJ35*Construction!AH35*TBA!AI15*Inputs!$E$31</f>
        <v>0</v>
      </c>
      <c r="AK38" s="17">
        <f>Construction!AK35*Construction!AI35*TBA!AJ15*Inputs!$E$31</f>
        <v>0</v>
      </c>
      <c r="AL38" s="17">
        <f>Construction!AL35*Construction!AJ35*TBA!AK15*Inputs!$E$31</f>
        <v>0</v>
      </c>
      <c r="AM38" s="17">
        <f>Construction!AM35*Construction!AK35*TBA!AL15*Inputs!$E$31</f>
        <v>0</v>
      </c>
      <c r="AN38" s="17">
        <f>Construction!AN35*Construction!AL35*TBA!AM15*Inputs!$E$31</f>
        <v>0</v>
      </c>
      <c r="AO38" s="17">
        <f>Construction!AO35*Construction!AM35*TBA!AN15*Inputs!$E$31</f>
        <v>0</v>
      </c>
      <c r="AP38" s="17">
        <f>Construction!AP35*Construction!AN35*TBA!AO15*Inputs!$E$31</f>
        <v>0</v>
      </c>
      <c r="AQ38" s="17">
        <f>Construction!AQ35*Construction!AO35*TBA!AP15*Inputs!$E$31</f>
        <v>0</v>
      </c>
      <c r="AR38" s="17">
        <f>Construction!AR35*Construction!AP35*TBA!AQ15*Inputs!$E$31</f>
        <v>0</v>
      </c>
      <c r="AS38" s="17"/>
    </row>
    <row r="39" spans="2:45" x14ac:dyDescent="0.45">
      <c r="B39" t="s">
        <v>73</v>
      </c>
      <c r="C39" s="54">
        <f>SUM(E39:AR39)</f>
        <v>12849.499308396404</v>
      </c>
      <c r="E39" s="33">
        <f>E33*TBA!D15*(Inputs!$E$29+Inputs!$E$30)</f>
        <v>0</v>
      </c>
      <c r="F39" s="33">
        <f>F33*TBA!E15*(Inputs!$E$29+Inputs!$E$30)</f>
        <v>0</v>
      </c>
      <c r="G39" s="33">
        <f>G33*TBA!F15*(Inputs!$E$29+Inputs!$E$30)</f>
        <v>3416.4894431346911</v>
      </c>
      <c r="H39" s="33">
        <f>H33*TBA!G15*(Inputs!$E$29+Inputs!$E$30)</f>
        <v>9433.0098652617125</v>
      </c>
      <c r="I39" s="17">
        <f>I33*TBA!H15*(Inputs!$E$29+Inputs!$E$30)</f>
        <v>0</v>
      </c>
      <c r="J39" s="17">
        <f>J33*TBA!I15*(Inputs!$E$29+Inputs!$E$30)</f>
        <v>0</v>
      </c>
      <c r="K39" s="17">
        <f>K33*TBA!J15*(Inputs!$E$29+Inputs!$E$30)</f>
        <v>0</v>
      </c>
      <c r="L39" s="17">
        <f>L33*TBA!K15*(Inputs!$E$29+Inputs!$E$30)</f>
        <v>0</v>
      </c>
      <c r="M39" s="17">
        <f>M33*TBA!L15*(Inputs!$E$29+Inputs!$E$30)</f>
        <v>0</v>
      </c>
      <c r="N39" s="17">
        <f>N33*TBA!M15*(Inputs!$E$29+Inputs!$E$30)</f>
        <v>0</v>
      </c>
      <c r="O39" s="17">
        <f>O33*Construction!N15*(Inputs!$E$29+Inputs!$E$30)</f>
        <v>0</v>
      </c>
      <c r="P39" s="17">
        <f>P33*Construction!O15*(Inputs!$E$29+Inputs!$E$30)</f>
        <v>0</v>
      </c>
      <c r="Q39" s="17">
        <f>Q33*Construction!P15*(Inputs!$E$29+Inputs!$E$30)</f>
        <v>0</v>
      </c>
      <c r="R39" s="17">
        <f>Construction!R36*Construction!P36*TBA!Q16*Inputs!$E$31</f>
        <v>0</v>
      </c>
      <c r="S39" s="17">
        <f>Construction!S36*Construction!Q36*TBA!R16*Inputs!$E$31</f>
        <v>0</v>
      </c>
      <c r="T39" s="17">
        <f>Construction!T36*Construction!R36*TBA!S16*Inputs!$E$31</f>
        <v>0</v>
      </c>
      <c r="U39" s="17">
        <f>Construction!U36*Construction!S36*TBA!T16*Inputs!$E$31</f>
        <v>0</v>
      </c>
      <c r="V39" s="17">
        <f>Construction!V36*Construction!T36*TBA!U16*Inputs!$E$31</f>
        <v>0</v>
      </c>
      <c r="W39" s="17">
        <f>Construction!W36*Construction!U36*TBA!V16*Inputs!$E$31</f>
        <v>0</v>
      </c>
      <c r="X39" s="17">
        <f>Construction!X36*Construction!V36*TBA!W16*Inputs!$E$31</f>
        <v>0</v>
      </c>
      <c r="Y39" s="17">
        <f>Construction!Y36*Construction!W36*TBA!X16*Inputs!$E$31</f>
        <v>0</v>
      </c>
      <c r="Z39" s="17">
        <f>Construction!Z36*Construction!X36*TBA!Y16*Inputs!$E$31</f>
        <v>0</v>
      </c>
      <c r="AA39" s="17">
        <f>Construction!AA36*Construction!Y36*TBA!Z16*Inputs!$E$31</f>
        <v>0</v>
      </c>
      <c r="AB39" s="17">
        <f>Construction!AB36*Construction!Z36*TBA!AA16*Inputs!$E$31</f>
        <v>0</v>
      </c>
      <c r="AC39" s="17">
        <f>Construction!AC36*Construction!AA36*TBA!AB16*Inputs!$E$31</f>
        <v>0</v>
      </c>
      <c r="AD39" s="17">
        <f>Construction!AD36*Construction!AB36*TBA!AC16*Inputs!$E$31</f>
        <v>0</v>
      </c>
      <c r="AE39" s="17">
        <f>Construction!AE36*Construction!AC36*TBA!AD16*Inputs!$E$31</f>
        <v>0</v>
      </c>
      <c r="AF39" s="17">
        <f>Construction!AF36*Construction!AD36*TBA!AE16*Inputs!$E$31</f>
        <v>0</v>
      </c>
      <c r="AG39" s="17">
        <f>Construction!AG36*Construction!AE36*TBA!AF16*Inputs!$E$31</f>
        <v>0</v>
      </c>
      <c r="AH39" s="17">
        <f>Construction!AH36*Construction!AF36*TBA!AG16*Inputs!$E$31</f>
        <v>0</v>
      </c>
      <c r="AI39" s="17">
        <f>Construction!AI36*Construction!AG36*TBA!AH16*Inputs!$E$31</f>
        <v>0</v>
      </c>
      <c r="AJ39" s="17">
        <f>Construction!AJ36*Construction!AH36*TBA!AI16*Inputs!$E$31</f>
        <v>0</v>
      </c>
      <c r="AK39" s="17">
        <f>Construction!AK36*Construction!AI36*TBA!AJ16*Inputs!$E$31</f>
        <v>0</v>
      </c>
      <c r="AL39" s="17">
        <f>Construction!AL36*Construction!AJ36*TBA!AK16*Inputs!$E$31</f>
        <v>0</v>
      </c>
      <c r="AM39" s="17">
        <f>Construction!AM36*Construction!AK36*TBA!AL16*Inputs!$E$31</f>
        <v>0</v>
      </c>
      <c r="AN39" s="17">
        <f>Construction!AN36*Construction!AL36*TBA!AM16*Inputs!$E$31</f>
        <v>0</v>
      </c>
      <c r="AO39" s="17">
        <f>Construction!AO36*Construction!AM36*TBA!AN16*Inputs!$E$31</f>
        <v>0</v>
      </c>
      <c r="AP39" s="17">
        <f>Construction!AP36*Construction!AN36*TBA!AO16*Inputs!$E$31</f>
        <v>0</v>
      </c>
      <c r="AQ39" s="17">
        <f>Construction!AQ36*Construction!AO36*TBA!AP16*Inputs!$E$31</f>
        <v>0</v>
      </c>
      <c r="AR39" s="17">
        <f>Construction!AR36*Construction!AP36*TBA!AQ16*Inputs!$E$31</f>
        <v>0</v>
      </c>
      <c r="AS39" s="17"/>
    </row>
    <row r="43" spans="2:45" x14ac:dyDescent="0.45">
      <c r="B43" s="28" t="s">
        <v>78</v>
      </c>
      <c r="C43" s="2"/>
      <c r="D43" s="2"/>
      <c r="E43" s="2" t="b">
        <f t="shared" ref="E43:AR43" si="9">E16-E28&lt;0.01</f>
        <v>1</v>
      </c>
      <c r="F43" s="2" t="b">
        <f t="shared" si="9"/>
        <v>1</v>
      </c>
      <c r="G43" s="2" t="b">
        <f t="shared" si="9"/>
        <v>1</v>
      </c>
      <c r="H43" s="2" t="b">
        <f t="shared" si="9"/>
        <v>1</v>
      </c>
      <c r="I43" s="2" t="b">
        <f t="shared" si="9"/>
        <v>1</v>
      </c>
      <c r="J43" s="2" t="b">
        <f t="shared" si="9"/>
        <v>1</v>
      </c>
      <c r="K43" s="2" t="b">
        <f t="shared" si="9"/>
        <v>1</v>
      </c>
      <c r="L43" s="2" t="b">
        <f t="shared" si="9"/>
        <v>1</v>
      </c>
      <c r="M43" s="2" t="b">
        <f t="shared" si="9"/>
        <v>1</v>
      </c>
      <c r="N43" s="2" t="b">
        <f t="shared" si="9"/>
        <v>1</v>
      </c>
      <c r="O43" s="2" t="b">
        <f t="shared" si="9"/>
        <v>1</v>
      </c>
      <c r="P43" s="2" t="b">
        <f t="shared" si="9"/>
        <v>1</v>
      </c>
      <c r="Q43" s="2" t="b">
        <f t="shared" si="9"/>
        <v>1</v>
      </c>
      <c r="R43" s="2" t="b">
        <f t="shared" si="9"/>
        <v>1</v>
      </c>
      <c r="S43" s="2" t="b">
        <f t="shared" si="9"/>
        <v>1</v>
      </c>
      <c r="T43" s="2" t="b">
        <f t="shared" si="9"/>
        <v>1</v>
      </c>
      <c r="U43" s="2" t="b">
        <f t="shared" si="9"/>
        <v>1</v>
      </c>
      <c r="V43" s="2" t="b">
        <f t="shared" si="9"/>
        <v>1</v>
      </c>
      <c r="W43" s="2" t="b">
        <f t="shared" si="9"/>
        <v>1</v>
      </c>
      <c r="X43" s="2" t="b">
        <f t="shared" si="9"/>
        <v>1</v>
      </c>
      <c r="Y43" s="2" t="b">
        <f t="shared" si="9"/>
        <v>1</v>
      </c>
      <c r="Z43" s="2" t="b">
        <f t="shared" si="9"/>
        <v>1</v>
      </c>
      <c r="AA43" s="2" t="b">
        <f t="shared" si="9"/>
        <v>1</v>
      </c>
      <c r="AB43" s="2" t="b">
        <f t="shared" si="9"/>
        <v>1</v>
      </c>
      <c r="AC43" s="2" t="b">
        <f t="shared" si="9"/>
        <v>1</v>
      </c>
      <c r="AD43" s="2" t="b">
        <f t="shared" si="9"/>
        <v>1</v>
      </c>
      <c r="AE43" s="2" t="b">
        <f t="shared" si="9"/>
        <v>1</v>
      </c>
      <c r="AF43" s="2" t="b">
        <f t="shared" si="9"/>
        <v>1</v>
      </c>
      <c r="AG43" s="2" t="b">
        <f t="shared" si="9"/>
        <v>1</v>
      </c>
      <c r="AH43" s="2" t="b">
        <f t="shared" si="9"/>
        <v>1</v>
      </c>
      <c r="AI43" s="2" t="b">
        <f t="shared" si="9"/>
        <v>1</v>
      </c>
      <c r="AJ43" s="2" t="b">
        <f t="shared" si="9"/>
        <v>1</v>
      </c>
      <c r="AK43" s="2" t="b">
        <f t="shared" si="9"/>
        <v>1</v>
      </c>
      <c r="AL43" s="2" t="b">
        <f t="shared" si="9"/>
        <v>1</v>
      </c>
      <c r="AM43" s="2" t="b">
        <f t="shared" si="9"/>
        <v>1</v>
      </c>
      <c r="AN43" s="2" t="b">
        <f t="shared" si="9"/>
        <v>1</v>
      </c>
      <c r="AO43" s="2" t="b">
        <f t="shared" si="9"/>
        <v>1</v>
      </c>
      <c r="AP43" s="2" t="b">
        <f t="shared" si="9"/>
        <v>1</v>
      </c>
      <c r="AQ43" s="2" t="b">
        <f t="shared" si="9"/>
        <v>1</v>
      </c>
      <c r="AR43" s="2" t="b">
        <f t="shared" si="9"/>
        <v>1</v>
      </c>
      <c r="AS43" s="2"/>
    </row>
  </sheetData>
  <conditionalFormatting sqref="E43:AR43">
    <cfRule type="cellIs" dxfId="3" priority="1" operator="equal">
      <formula>TRUE</formula>
    </cfRule>
    <cfRule type="cellIs" dxfId="2" priority="2" operator="equal">
      <formula>FALSE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906B-4C83-4098-ACC0-0CA1CDA2E3DF}">
  <sheetPr codeName="Sheet5"/>
  <dimension ref="A2:AS23"/>
  <sheetViews>
    <sheetView showGridLines="0" workbookViewId="0">
      <pane xSplit="4" topLeftCell="E1" activePane="topRight" state="frozen"/>
      <selection pane="topRight" activeCell="I15" sqref="I15"/>
    </sheetView>
  </sheetViews>
  <sheetFormatPr defaultColWidth="0" defaultRowHeight="14.25" x14ac:dyDescent="0.45"/>
  <cols>
    <col min="1" max="1" width="8.86328125" customWidth="1"/>
    <col min="2" max="2" width="29.6640625" customWidth="1"/>
    <col min="3" max="3" width="8.86328125" customWidth="1"/>
    <col min="4" max="4" width="11.6640625" customWidth="1"/>
    <col min="5" max="5" width="10.796875" customWidth="1"/>
    <col min="6" max="6" width="13.86328125" customWidth="1"/>
    <col min="7" max="8" width="8.86328125" customWidth="1"/>
    <col min="9" max="9" width="11.796875" customWidth="1"/>
    <col min="10" max="45" width="10.6640625" customWidth="1"/>
    <col min="46" max="16384" width="9.1328125" hidden="1"/>
  </cols>
  <sheetData>
    <row r="2" spans="1:45" x14ac:dyDescent="0.45">
      <c r="B2" s="18" t="s">
        <v>43</v>
      </c>
      <c r="C2" s="29"/>
      <c r="D2" s="15"/>
      <c r="E2" s="29">
        <v>1</v>
      </c>
      <c r="F2" s="29">
        <v>2</v>
      </c>
      <c r="G2" s="29">
        <v>3</v>
      </c>
      <c r="H2" s="29">
        <v>4</v>
      </c>
      <c r="I2" s="29">
        <v>5</v>
      </c>
      <c r="J2" s="29">
        <v>6</v>
      </c>
      <c r="K2" s="29">
        <v>7</v>
      </c>
      <c r="L2" s="29">
        <v>8</v>
      </c>
      <c r="M2" s="29">
        <v>9</v>
      </c>
      <c r="N2" s="29">
        <v>10</v>
      </c>
      <c r="O2" s="29">
        <v>11</v>
      </c>
      <c r="P2" s="29">
        <v>12</v>
      </c>
      <c r="Q2" s="29">
        <v>13</v>
      </c>
      <c r="R2" s="29">
        <v>14</v>
      </c>
      <c r="S2" s="29">
        <v>15</v>
      </c>
      <c r="T2" s="29">
        <v>16</v>
      </c>
      <c r="U2" s="29">
        <v>17</v>
      </c>
      <c r="V2" s="29">
        <v>18</v>
      </c>
      <c r="W2" s="29">
        <v>19</v>
      </c>
      <c r="X2" s="29">
        <v>20</v>
      </c>
      <c r="Y2" s="29">
        <v>21</v>
      </c>
      <c r="Z2" s="29">
        <v>22</v>
      </c>
      <c r="AA2" s="29">
        <v>23</v>
      </c>
      <c r="AB2" s="29">
        <v>24</v>
      </c>
      <c r="AC2" s="29">
        <v>25</v>
      </c>
      <c r="AD2" s="29">
        <v>26</v>
      </c>
      <c r="AE2" s="29">
        <v>27</v>
      </c>
      <c r="AF2" s="29">
        <v>28</v>
      </c>
      <c r="AG2" s="29">
        <v>29</v>
      </c>
      <c r="AH2" s="29">
        <v>30</v>
      </c>
      <c r="AI2" s="29">
        <v>31</v>
      </c>
      <c r="AJ2" s="29">
        <v>32</v>
      </c>
      <c r="AK2" s="29">
        <v>33</v>
      </c>
      <c r="AL2" s="29">
        <v>34</v>
      </c>
      <c r="AM2" s="29">
        <v>35</v>
      </c>
      <c r="AN2" s="29">
        <v>36</v>
      </c>
      <c r="AO2" s="29">
        <v>37</v>
      </c>
      <c r="AP2" s="29">
        <v>38</v>
      </c>
      <c r="AQ2" s="29">
        <v>39</v>
      </c>
      <c r="AR2" s="30">
        <v>40</v>
      </c>
    </row>
    <row r="5" spans="1:45" s="21" customFormat="1" x14ac:dyDescent="0.45">
      <c r="A5"/>
      <c r="B5" s="18" t="s">
        <v>80</v>
      </c>
    </row>
    <row r="7" spans="1:45" x14ac:dyDescent="0.45">
      <c r="B7" t="s">
        <v>83</v>
      </c>
      <c r="C7" s="46" t="s">
        <v>22</v>
      </c>
      <c r="E7" s="33">
        <f>Inputs!$E$11*(1+Inputs!$E$14)^(SUM(TBA!D10)-1)*TBA!D10</f>
        <v>0</v>
      </c>
      <c r="F7" s="33">
        <f>Inputs!$E$11*(1+Inputs!$E$14)^(SUM(TBA!$D$10:'TBA'!E10)-1)*TBA!E10</f>
        <v>0</v>
      </c>
      <c r="G7" s="33">
        <f>Inputs!$E$11*(1+Inputs!$E$14)^(SUM(TBA!$D$10:'TBA'!F10)-1)*TBA!F10</f>
        <v>0</v>
      </c>
      <c r="H7" s="33">
        <f>Inputs!$E$11*(1+Inputs!$E$14)^(SUM(TBA!$D$10:'TBA'!G10)-1)*TBA!G10</f>
        <v>0</v>
      </c>
      <c r="I7" s="33">
        <f>Inputs!$E$11*(1+Inputs!$E$14)^(SUM(TBA!$D$10:'TBA'!H10)-1)*TBA!H10</f>
        <v>3125000</v>
      </c>
      <c r="J7" s="33">
        <f>Inputs!$E$11*(1+Inputs!$E$14)^(SUM(TBA!$D$10:'TBA'!I10)-1)*TBA!I10</f>
        <v>3187500</v>
      </c>
      <c r="K7" s="33">
        <f>Inputs!$E$11*(1+Inputs!$E$14)^(SUM(TBA!$D$10:'TBA'!J10)-1)*TBA!J10</f>
        <v>3251250</v>
      </c>
      <c r="L7" s="33">
        <f>Inputs!$E$11*(1+Inputs!$E$14)^(SUM(TBA!$D$10:'TBA'!K10)-1)*TBA!K10</f>
        <v>3316275</v>
      </c>
      <c r="M7" s="33">
        <f>Inputs!$E$11*(1+Inputs!$E$14)^(SUM(TBA!$D$10:'TBA'!L10)-1)*TBA!L10</f>
        <v>3382600.5</v>
      </c>
      <c r="N7" s="33">
        <f>Inputs!$E$11*(1+Inputs!$E$14)^(SUM(TBA!$D$10:'TBA'!M10)-1)*TBA!M10</f>
        <v>3450252.5100000002</v>
      </c>
      <c r="O7" s="33">
        <f>Inputs!$E$11*(1+Inputs!$E$14)^(SUM(TBA!$D$10:'TBA'!N10)-1)*TBA!N10</f>
        <v>3519257.5602000002</v>
      </c>
      <c r="P7" s="33">
        <f>Inputs!$E$11*(1+Inputs!$E$14)^(SUM(TBA!$D$10:'TBA'!O10)-1)*TBA!O10</f>
        <v>3589642.7114039995</v>
      </c>
      <c r="Q7" s="33">
        <f>Inputs!$E$11*(1+Inputs!$E$14)^(SUM(TBA!$D$10:'TBA'!P10)-1)*TBA!P10</f>
        <v>3661435.5656320797</v>
      </c>
      <c r="R7" s="33">
        <f>Inputs!$E$11*(1+Inputs!$E$14)^(SUM(TBA!$D$10:'TBA'!Q10)-1)*TBA!Q10</f>
        <v>3734664.2769447216</v>
      </c>
      <c r="S7" s="33">
        <f>Inputs!$E$11*(1+Inputs!$E$14)^(SUM(TBA!$D$10:'TBA'!R10)-1)*TBA!R10</f>
        <v>3809357.5624836162</v>
      </c>
      <c r="T7" s="33">
        <f>Inputs!$E$11*(1+Inputs!$E$14)^(SUM(TBA!$D$10:'TBA'!S10)-1)*TBA!S10</f>
        <v>3885544.7137332875</v>
      </c>
      <c r="U7" s="33">
        <f>Inputs!$E$11*(1+Inputs!$E$14)^(SUM(TBA!$D$10:'TBA'!T10)-1)*TBA!T10</f>
        <v>3963255.608007954</v>
      </c>
      <c r="V7" s="33">
        <f>Inputs!$E$11*(1+Inputs!$E$14)^(SUM(TBA!$D$10:'TBA'!U10)-1)*TBA!U10</f>
        <v>4042520.7201681128</v>
      </c>
      <c r="W7" s="33">
        <f>Inputs!$E$11*(1+Inputs!$E$14)^(SUM(TBA!$D$10:'TBA'!V10)-1)*TBA!V10</f>
        <v>4123371.1345714754</v>
      </c>
      <c r="X7" s="33">
        <f>Inputs!$E$11*(1+Inputs!$E$14)^(SUM(TBA!$D$10:'TBA'!W10)-1)*TBA!W10</f>
        <v>4205838.557262904</v>
      </c>
      <c r="Y7" s="33">
        <f>Inputs!$E$11*(1+Inputs!$E$14)^(SUM(TBA!$D$10:X10)-1)*TBA!X10</f>
        <v>4289955.328408163</v>
      </c>
      <c r="Z7" s="33">
        <f>Inputs!$E$11*(1+Inputs!$E$14)^(SUM(TBA!$D$10:Y10)-1)*TBA!Y10</f>
        <v>4375754.4349763263</v>
      </c>
      <c r="AA7" s="33">
        <f>Inputs!$E$11*(1+Inputs!$E$14)^(SUM(TBA!$D$10:Z10)-1)*TBA!Z10</f>
        <v>4463269.5236758525</v>
      </c>
      <c r="AB7" s="33">
        <f>Inputs!$E$11*(1+Inputs!$E$14)^(SUM(TBA!$D$10:AA10)-1)*TBA!AA10</f>
        <v>4552534.9141493691</v>
      </c>
      <c r="AC7" s="33">
        <f>Inputs!$E$11*(1+Inputs!$E$14)^(SUM(TBA!$D$10:AB10)-1)*TBA!AB10</f>
        <v>4643585.6124323569</v>
      </c>
      <c r="AD7" s="33">
        <f>Inputs!$E$11*(1+Inputs!$E$14)^(SUM(TBA!$D$10:AC10)-1)*TBA!AC10</f>
        <v>4736457.3246810036</v>
      </c>
      <c r="AE7" s="33">
        <f>Inputs!$E$11*(1+Inputs!$E$14)^(SUM(TBA!$D$10:AD10)-1)*TBA!AD10</f>
        <v>4831186.4711746238</v>
      </c>
      <c r="AF7" s="33">
        <f>Inputs!$E$11*(1+Inputs!$E$14)^(SUM(TBA!$D$10:AE10)-1)*TBA!AE10</f>
        <v>4927810.200598116</v>
      </c>
      <c r="AG7" s="33">
        <f>Inputs!$E$11*(1+Inputs!$E$14)^(SUM(TBA!$D$10:AF10)-1)*TBA!AF10</f>
        <v>5026366.4046100779</v>
      </c>
      <c r="AH7" s="33">
        <f>Inputs!$E$11*(1+Inputs!$E$14)^(SUM(TBA!$D$10:AG10)-1)*TBA!AG10</f>
        <v>5126893.7327022795</v>
      </c>
      <c r="AI7" s="33">
        <f>Inputs!$E$11*(1+Inputs!$E$14)^(SUM(TBA!$D$10:AH10)-1)*TBA!AH10</f>
        <v>5229431.6073563257</v>
      </c>
      <c r="AJ7" s="33">
        <f>Inputs!$E$11*(1+Inputs!$E$14)^(SUM(TBA!$D$10:AI10)-1)*TBA!AI10</f>
        <v>5334020.2395034516</v>
      </c>
      <c r="AK7" s="33">
        <f>Inputs!$E$11*(1+Inputs!$E$14)^(SUM(TBA!$D$10:AJ10)-1)*TBA!AJ10</f>
        <v>5440700.6442935215</v>
      </c>
      <c r="AL7" s="33">
        <f>Inputs!$E$11*(1+Inputs!$E$14)^(SUM(TBA!$D$10:AK10)-1)*TBA!AK10</f>
        <v>5549514.657179391</v>
      </c>
      <c r="AM7" s="33">
        <f>Inputs!$E$11*(1+Inputs!$E$14)^(SUM(TBA!$D$10:AL10)-1)*TBA!AL10</f>
        <v>5660504.9503229791</v>
      </c>
      <c r="AN7" s="33">
        <f>Inputs!$E$11*(1+Inputs!$E$14)^(SUM(TBA!$D$10:AM10)-1)*TBA!AM10</f>
        <v>5773715.0493294382</v>
      </c>
      <c r="AO7" s="33">
        <f>Inputs!$E$11*(1+Inputs!$E$14)^(SUM(TBA!$D$10:AN10)-1)*TBA!AN10</f>
        <v>5889189.3503160281</v>
      </c>
      <c r="AP7" s="33">
        <f>Inputs!$E$11*(1+Inputs!$E$14)^(SUM(TBA!$D$10:AO10)-1)*TBA!AO10</f>
        <v>6006973.1373223485</v>
      </c>
      <c r="AQ7" s="33">
        <f>Inputs!$E$11*(1+Inputs!$E$14)^(SUM(TBA!$D$10:AP10)-1)*TBA!AP10</f>
        <v>6127112.6000687955</v>
      </c>
      <c r="AR7" s="33">
        <f>Inputs!$E$11*(1+Inputs!$E$14)^(SUM(TBA!$D$10:AQ10)-1)*TBA!AQ10</f>
        <v>6249654.8520701714</v>
      </c>
    </row>
    <row r="8" spans="1:45" x14ac:dyDescent="0.45">
      <c r="B8" t="s">
        <v>84</v>
      </c>
      <c r="C8" s="46" t="s">
        <v>22</v>
      </c>
      <c r="E8" s="33">
        <f>Inputs!$E$12*(1+Inputs!$E$14)^(SUM(TBA!$D$10:D10)-1)*TBA!D10</f>
        <v>0</v>
      </c>
      <c r="F8" s="33">
        <f>Inputs!$E$12*(1+Inputs!$E$14)^(SUM(TBA!$D$10:E10)-1)*TBA!E10</f>
        <v>0</v>
      </c>
      <c r="G8" s="33">
        <f>Inputs!$E$12*(1+Inputs!$E$14)^(SUM(TBA!$D$10:F10)-1)*TBA!F10</f>
        <v>0</v>
      </c>
      <c r="H8" s="33">
        <f>Inputs!$E$12*(1+Inputs!$E$14)^(SUM(TBA!$D$10:G10)-1)*TBA!G10</f>
        <v>0</v>
      </c>
      <c r="I8" s="33">
        <f>Inputs!$E$12*(1+Inputs!$E$14)^(SUM(TBA!$D$10:H10)-1)*TBA!H10</f>
        <v>2800000</v>
      </c>
      <c r="J8" s="33">
        <f>Inputs!$E$12*(1+Inputs!$E$14)^(SUM(TBA!$D$10:I10)-1)*TBA!I10</f>
        <v>2856000</v>
      </c>
      <c r="K8" s="33">
        <f>Inputs!$E$12*(1+Inputs!$E$14)^(SUM(TBA!$D$10:J10)-1)*TBA!J10</f>
        <v>2913120</v>
      </c>
      <c r="L8" s="33">
        <f>Inputs!$E$12*(1+Inputs!$E$14)^(SUM(TBA!$D$10:K10)-1)*TBA!K10</f>
        <v>2971382.4</v>
      </c>
      <c r="M8" s="33">
        <f>Inputs!$E$12*(1+Inputs!$E$14)^(SUM(TBA!$D$10:L10)-1)*TBA!L10</f>
        <v>3030810.048</v>
      </c>
      <c r="N8" s="33">
        <f>Inputs!$E$12*(1+Inputs!$E$14)^(SUM(TBA!$D$10:M10)-1)*TBA!M10</f>
        <v>3091426.24896</v>
      </c>
      <c r="O8" s="33">
        <f>Inputs!$E$12*(1+Inputs!$E$14)^(SUM(TBA!$D$10:N10)-1)*TBA!N10</f>
        <v>3153254.7739392002</v>
      </c>
      <c r="P8" s="33">
        <f>Inputs!$E$12*(1+Inputs!$E$14)^(SUM(TBA!$D$10:O10)-1)*TBA!O10</f>
        <v>3216319.8694179836</v>
      </c>
      <c r="Q8" s="33">
        <f>Inputs!$E$12*(1+Inputs!$E$14)^(SUM(TBA!$D$10:P10)-1)*TBA!P10</f>
        <v>3280646.2668063436</v>
      </c>
      <c r="R8" s="33">
        <f>Inputs!$E$12*(1+Inputs!$E$14)^(SUM(TBA!$D$10:Q10)-1)*TBA!Q10</f>
        <v>3346259.1921424703</v>
      </c>
      <c r="S8" s="33">
        <f>Inputs!$E$12*(1+Inputs!$E$14)^(SUM(TBA!$D$10:R10)-1)*TBA!R10</f>
        <v>3413184.3759853197</v>
      </c>
      <c r="T8" s="33">
        <f>Inputs!$E$12*(1+Inputs!$E$14)^(SUM(TBA!$D$10:S10)-1)*TBA!S10</f>
        <v>3481448.0635050256</v>
      </c>
      <c r="U8" s="33">
        <f>Inputs!$E$12*(1+Inputs!$E$14)^(SUM(TBA!$D$10:T10)-1)*TBA!T10</f>
        <v>3551077.0247751269</v>
      </c>
      <c r="V8" s="33">
        <f>Inputs!$E$12*(1+Inputs!$E$14)^(SUM(TBA!$D$10:U10)-1)*TBA!U10</f>
        <v>3622098.5652706292</v>
      </c>
      <c r="W8" s="33">
        <f>Inputs!$E$12*(1+Inputs!$E$14)^(SUM(TBA!$D$10:V10)-1)*TBA!V10</f>
        <v>3694540.536576042</v>
      </c>
      <c r="X8" s="33">
        <f>Inputs!$E$12*(1+Inputs!$E$14)^(SUM(TBA!$D$10:W10)-1)*TBA!W10</f>
        <v>3768431.3473075619</v>
      </c>
      <c r="Y8" s="33">
        <f>Inputs!$E$12*(1+Inputs!$E$14)^(SUM(TBA!$D$10:X10)-1)*TBA!X10</f>
        <v>3843799.9742537136</v>
      </c>
      <c r="Z8" s="33">
        <f>Inputs!$E$12*(1+Inputs!$E$14)^(SUM(TBA!$D$10:Y10)-1)*TBA!Y10</f>
        <v>3920675.9737387882</v>
      </c>
      <c r="AA8" s="33">
        <f>Inputs!$E$12*(1+Inputs!$E$14)^(SUM(TBA!$D$10:Z10)-1)*TBA!Z10</f>
        <v>3999089.4932135637</v>
      </c>
      <c r="AB8" s="33">
        <f>Inputs!$E$12*(1+Inputs!$E$14)^(SUM(TBA!$D$10:AA10)-1)*TBA!AA10</f>
        <v>4079071.2830778346</v>
      </c>
      <c r="AC8" s="33">
        <f>Inputs!$E$12*(1+Inputs!$E$14)^(SUM(TBA!$D$10:AB10)-1)*TBA!AB10</f>
        <v>4160652.708739392</v>
      </c>
      <c r="AD8" s="33">
        <f>Inputs!$E$12*(1+Inputs!$E$14)^(SUM(TBA!$D$10:AC10)-1)*TBA!AC10</f>
        <v>4243865.7629141798</v>
      </c>
      <c r="AE8" s="33">
        <f>Inputs!$E$12*(1+Inputs!$E$14)^(SUM(TBA!$D$10:AD10)-1)*TBA!AD10</f>
        <v>4328743.078172463</v>
      </c>
      <c r="AF8" s="33">
        <f>Inputs!$E$12*(1+Inputs!$E$14)^(SUM(TBA!$D$10:AE10)-1)*TBA!AE10</f>
        <v>4415317.9397359118</v>
      </c>
      <c r="AG8" s="33">
        <f>Inputs!$E$12*(1+Inputs!$E$14)^(SUM(TBA!$D$10:AF10)-1)*TBA!AF10</f>
        <v>4503624.2985306298</v>
      </c>
      <c r="AH8" s="33">
        <f>Inputs!$E$12*(1+Inputs!$E$14)^(SUM(TBA!$D$10:AG10)-1)*TBA!AG10</f>
        <v>4593696.7845012425</v>
      </c>
      <c r="AI8" s="33">
        <f>Inputs!$E$12*(1+Inputs!$E$14)^(SUM(TBA!$D$10:AH10)-1)*TBA!AH10</f>
        <v>4685570.7201912683</v>
      </c>
      <c r="AJ8" s="33">
        <f>Inputs!$E$12*(1+Inputs!$E$14)^(SUM(TBA!$D$10:AI10)-1)*TBA!AI10</f>
        <v>4779282.1345950924</v>
      </c>
      <c r="AK8" s="33">
        <f>Inputs!$E$12*(1+Inputs!$E$14)^(SUM(TBA!$D$10:AJ10)-1)*TBA!AJ10</f>
        <v>4874867.7772869952</v>
      </c>
      <c r="AL8" s="33">
        <f>Inputs!$E$12*(1+Inputs!$E$14)^(SUM(TBA!$D$10:AK10)-1)*TBA!AK10</f>
        <v>4972365.1328327348</v>
      </c>
      <c r="AM8" s="33">
        <f>Inputs!$E$12*(1+Inputs!$E$14)^(SUM(TBA!$D$10:AL10)-1)*TBA!AL10</f>
        <v>5071812.43548939</v>
      </c>
      <c r="AN8" s="33">
        <f>Inputs!$E$12*(1+Inputs!$E$14)^(SUM(TBA!$D$10:AM10)-1)*TBA!AM10</f>
        <v>5173248.6841991767</v>
      </c>
      <c r="AO8" s="33">
        <f>Inputs!$E$12*(1+Inputs!$E$14)^(SUM(TBA!$D$10:AN10)-1)*TBA!AN10</f>
        <v>5276713.6578831607</v>
      </c>
      <c r="AP8" s="33">
        <f>Inputs!$E$12*(1+Inputs!$E$14)^(SUM(TBA!$D$10:AO10)-1)*TBA!AO10</f>
        <v>5382247.9310408244</v>
      </c>
      <c r="AQ8" s="33">
        <f>Inputs!$E$12*(1+Inputs!$E$14)^(SUM(TBA!$D$10:AP10)-1)*TBA!AP10</f>
        <v>5489892.8896616409</v>
      </c>
      <c r="AR8" s="33">
        <f>Inputs!$E$12*(1+Inputs!$E$14)^(SUM(TBA!$D$10:AQ10)-1)*TBA!AQ10</f>
        <v>5599690.7474548733</v>
      </c>
    </row>
    <row r="11" spans="1:45" x14ac:dyDescent="0.45">
      <c r="B11" t="s">
        <v>81</v>
      </c>
      <c r="C11" s="17" t="s">
        <v>90</v>
      </c>
      <c r="E11" s="33">
        <f>(E7*Inputs!$E$17)^1</f>
        <v>0</v>
      </c>
      <c r="F11" s="33">
        <f>(F7*Inputs!$E$17)^1</f>
        <v>0</v>
      </c>
      <c r="G11" s="33">
        <f>(G7*Inputs!$E$17)^1</f>
        <v>0</v>
      </c>
      <c r="H11" s="33">
        <f>(H7*Inputs!$E$17)^1</f>
        <v>0</v>
      </c>
      <c r="I11" s="33">
        <f>(I7*Inputs!$E$17)/1000</f>
        <v>11125</v>
      </c>
      <c r="J11" s="33">
        <f>J7*Inputs!$E$17/1000</f>
        <v>11347.5</v>
      </c>
      <c r="K11" s="33">
        <f>K7*Inputs!$E$17/1000</f>
        <v>11574.45</v>
      </c>
      <c r="L11" s="33">
        <f>L7*Inputs!$E$17/1000</f>
        <v>11805.939</v>
      </c>
      <c r="M11" s="33">
        <f>M7*Inputs!$E$17/1000</f>
        <v>12042.057779999999</v>
      </c>
      <c r="N11" s="33">
        <f>N7*Inputs!$E$17/1000</f>
        <v>12282.898935600002</v>
      </c>
      <c r="O11" s="33">
        <f>O7*Inputs!$E$17/1000</f>
        <v>12528.556914312001</v>
      </c>
      <c r="P11" s="33">
        <f>P7*Inputs!$E$17/1000</f>
        <v>12779.128052598238</v>
      </c>
      <c r="Q11" s="33">
        <f>Q7*Inputs!$E$17/1000</f>
        <v>13034.710613650204</v>
      </c>
      <c r="R11" s="33">
        <f>R7*Inputs!$E$17/1000</f>
        <v>13295.404825923208</v>
      </c>
      <c r="S11" s="33">
        <f>S7*Inputs!$E$17/1000</f>
        <v>13561.312922441675</v>
      </c>
      <c r="T11" s="33">
        <f>T7*Inputs!$E$17/1000</f>
        <v>13832.539180890504</v>
      </c>
      <c r="U11" s="33">
        <f>U7*Inputs!$E$17/1000</f>
        <v>14109.189964508316</v>
      </c>
      <c r="V11" s="33">
        <f>V7*Inputs!$E$17/1000</f>
        <v>14391.373763798481</v>
      </c>
      <c r="W11" s="33">
        <f>W7*Inputs!$E$17/1000</f>
        <v>14679.201239074453</v>
      </c>
      <c r="X11" s="33">
        <f>X7*Inputs!$E$17/1000</f>
        <v>14972.785263855938</v>
      </c>
      <c r="Y11" s="33">
        <f>Y7*Inputs!$E$17/1000</f>
        <v>15272.240969133061</v>
      </c>
      <c r="Z11" s="33">
        <f>Z7*Inputs!$E$17/1000</f>
        <v>15577.685788515722</v>
      </c>
      <c r="AA11" s="33">
        <f>AA7*Inputs!$E$17/1000</f>
        <v>15889.239504286035</v>
      </c>
      <c r="AB11" s="33">
        <f>AB7*Inputs!$E$17/1000</f>
        <v>16207.024294371753</v>
      </c>
      <c r="AC11" s="33">
        <f>AC7*Inputs!$E$17/1000</f>
        <v>16531.164780259191</v>
      </c>
      <c r="AD11" s="33">
        <f>AD7*Inputs!$E$17/1000</f>
        <v>16861.788075864373</v>
      </c>
      <c r="AE11" s="33">
        <f>AE7*Inputs!$E$17/1000</f>
        <v>17199.023837381661</v>
      </c>
      <c r="AF11" s="33">
        <f>AF7*Inputs!$E$17/1000</f>
        <v>17543.004314129292</v>
      </c>
      <c r="AG11" s="33">
        <f>AG7*Inputs!$E$17/1000</f>
        <v>17893.864400411876</v>
      </c>
      <c r="AH11" s="33">
        <f>AH7*Inputs!$E$17/1000</f>
        <v>18251.741688420116</v>
      </c>
      <c r="AI11" s="33">
        <f>AI7*Inputs!$E$17/1000</f>
        <v>18616.776522188517</v>
      </c>
      <c r="AJ11" s="33">
        <f>AJ7*Inputs!$E$17/1000</f>
        <v>18989.112052632288</v>
      </c>
      <c r="AK11" s="33">
        <f>AK7*Inputs!$E$17/1000</f>
        <v>19368.894293684938</v>
      </c>
      <c r="AL11" s="33">
        <f>AL7*Inputs!$E$17/1000</f>
        <v>19756.272179558629</v>
      </c>
      <c r="AM11" s="33">
        <f>AM7*Inputs!$E$17/1000</f>
        <v>20151.397623149805</v>
      </c>
      <c r="AN11" s="33">
        <f>AN7*Inputs!$E$17/1000</f>
        <v>20554.4255756128</v>
      </c>
      <c r="AO11" s="33">
        <f>AO7*Inputs!$E$17/1000</f>
        <v>20965.514087125059</v>
      </c>
      <c r="AP11" s="33">
        <f>AP7*Inputs!$E$17/1000</f>
        <v>21384.824368867561</v>
      </c>
      <c r="AQ11" s="33">
        <f>AQ7*Inputs!$E$17/1000</f>
        <v>21812.520856244912</v>
      </c>
      <c r="AR11" s="33">
        <f>AR7*Inputs!$E$17/1000</f>
        <v>22248.77127336981</v>
      </c>
    </row>
    <row r="12" spans="1:45" x14ac:dyDescent="0.45">
      <c r="B12" t="s">
        <v>82</v>
      </c>
      <c r="C12" s="17" t="s">
        <v>90</v>
      </c>
      <c r="E12" s="33">
        <f>E8*Inputs!$E$18/1000</f>
        <v>0</v>
      </c>
      <c r="F12" s="33">
        <f>F8*Inputs!$E$18/1000</f>
        <v>0</v>
      </c>
      <c r="G12" s="33">
        <f>G8*Inputs!$E$18/1000</f>
        <v>0</v>
      </c>
      <c r="H12" s="33">
        <f>H8*Inputs!$E$18/1000</f>
        <v>0</v>
      </c>
      <c r="I12" s="33">
        <f>I8*Inputs!$E$18/1000</f>
        <v>80375.168757562962</v>
      </c>
      <c r="J12" s="33">
        <f>J8*Inputs!$E$18/1000</f>
        <v>81982.67213271423</v>
      </c>
      <c r="K12" s="33">
        <f>K8*Inputs!$E$18/1000</f>
        <v>83622.325575368508</v>
      </c>
      <c r="L12" s="33">
        <f>L8*Inputs!$E$18/1000</f>
        <v>85294.772086875877</v>
      </c>
      <c r="M12" s="33">
        <f>M8*Inputs!$E$18/1000</f>
        <v>87000.667528613383</v>
      </c>
      <c r="N12" s="33">
        <f>N8*Inputs!$E$18/1000</f>
        <v>88740.68087918566</v>
      </c>
      <c r="O12" s="33">
        <f>O8*Inputs!$E$18/1000</f>
        <v>90515.494496769388</v>
      </c>
      <c r="P12" s="33">
        <f>P8*Inputs!$E$18/1000</f>
        <v>92325.804386704738</v>
      </c>
      <c r="Q12" s="33">
        <f>Q8*Inputs!$E$18/1000</f>
        <v>94172.320474438864</v>
      </c>
      <c r="R12" s="33">
        <f>R8*Inputs!$E$18/1000</f>
        <v>96055.76688392763</v>
      </c>
      <c r="S12" s="33">
        <f>S8*Inputs!$E$18/1000</f>
        <v>97976.882221606182</v>
      </c>
      <c r="T12" s="33">
        <f>T8*Inputs!$E$18/1000</f>
        <v>99936.419866038297</v>
      </c>
      <c r="U12" s="33">
        <f>U8*Inputs!$E$18/1000</f>
        <v>101935.14826335908</v>
      </c>
      <c r="V12" s="33">
        <f>V8*Inputs!$E$18/1000</f>
        <v>103973.85122862626</v>
      </c>
      <c r="W12" s="33">
        <f>W8*Inputs!$E$18/1000</f>
        <v>106053.32825319879</v>
      </c>
      <c r="X12" s="33">
        <f>X8*Inputs!$E$18/1000</f>
        <v>108174.39481826272</v>
      </c>
      <c r="Y12" s="33">
        <f>Y8*Inputs!$E$18/1000</f>
        <v>110337.88271462799</v>
      </c>
      <c r="Z12" s="33">
        <f>Z8*Inputs!$E$18/1000</f>
        <v>112544.64036892056</v>
      </c>
      <c r="AA12" s="33">
        <f>AA8*Inputs!$E$18/1000</f>
        <v>114795.53317629898</v>
      </c>
      <c r="AB12" s="33">
        <f>AB8*Inputs!$E$18/1000</f>
        <v>117091.44383982495</v>
      </c>
      <c r="AC12" s="33">
        <f>AC8*Inputs!$E$18/1000</f>
        <v>119433.27271662146</v>
      </c>
      <c r="AD12" s="33">
        <f>AD8*Inputs!$E$18/1000</f>
        <v>121821.93817095389</v>
      </c>
      <c r="AE12" s="33">
        <f>AE8*Inputs!$E$18/1000</f>
        <v>124258.37693437297</v>
      </c>
      <c r="AF12" s="33">
        <f>AF8*Inputs!$E$18/1000</f>
        <v>126743.54447306039</v>
      </c>
      <c r="AG12" s="33">
        <f>AG8*Inputs!$E$18/1000</f>
        <v>129278.4153625216</v>
      </c>
      <c r="AH12" s="33">
        <f>AH8*Inputs!$E$18/1000</f>
        <v>131863.98366977202</v>
      </c>
      <c r="AI12" s="33">
        <f>AI8*Inputs!$E$18/1000</f>
        <v>134501.26334316752</v>
      </c>
      <c r="AJ12" s="33">
        <f>AJ8*Inputs!$E$18/1000</f>
        <v>137191.28861003084</v>
      </c>
      <c r="AK12" s="33">
        <f>AK8*Inputs!$E$18/1000</f>
        <v>139935.11438223146</v>
      </c>
      <c r="AL12" s="33">
        <f>AL8*Inputs!$E$18/1000</f>
        <v>142733.81666987611</v>
      </c>
      <c r="AM12" s="33">
        <f>AM8*Inputs!$E$18/1000</f>
        <v>145588.49300327362</v>
      </c>
      <c r="AN12" s="33">
        <f>AN8*Inputs!$E$18/1000</f>
        <v>148500.26286333907</v>
      </c>
      <c r="AO12" s="33">
        <f>AO8*Inputs!$E$18/1000</f>
        <v>151470.26812060585</v>
      </c>
      <c r="AP12" s="33">
        <f>AP8*Inputs!$E$18/1000</f>
        <v>154499.67348301798</v>
      </c>
      <c r="AQ12" s="33">
        <f>AQ8*Inputs!$E$18/1000</f>
        <v>157589.66695267835</v>
      </c>
      <c r="AR12" s="33">
        <f>AR8*Inputs!$E$18/1000</f>
        <v>160741.4602917319</v>
      </c>
    </row>
    <row r="13" spans="1:45" x14ac:dyDescent="0.45">
      <c r="B13" s="18" t="s">
        <v>85</v>
      </c>
      <c r="C13" s="21"/>
      <c r="D13" s="53">
        <f>SUM(E13:AR13)</f>
        <v>4757493.3719420414</v>
      </c>
      <c r="E13" s="34">
        <f>SUM(E11+E12)</f>
        <v>0</v>
      </c>
      <c r="F13" s="34">
        <f t="shared" ref="F13:AR13" si="0">SUM(F11+F12)</f>
        <v>0</v>
      </c>
      <c r="G13" s="34">
        <f t="shared" si="0"/>
        <v>0</v>
      </c>
      <c r="H13" s="34">
        <f t="shared" si="0"/>
        <v>0</v>
      </c>
      <c r="I13" s="34">
        <f t="shared" si="0"/>
        <v>91500.168757562962</v>
      </c>
      <c r="J13" s="34">
        <f t="shared" si="0"/>
        <v>93330.17213271423</v>
      </c>
      <c r="K13" s="34">
        <f t="shared" si="0"/>
        <v>95196.775575368505</v>
      </c>
      <c r="L13" s="34">
        <f t="shared" si="0"/>
        <v>97100.711086875875</v>
      </c>
      <c r="M13" s="34">
        <f t="shared" si="0"/>
        <v>99042.725308613386</v>
      </c>
      <c r="N13" s="34">
        <f t="shared" si="0"/>
        <v>101023.57981478565</v>
      </c>
      <c r="O13" s="34">
        <f t="shared" si="0"/>
        <v>103044.0514110814</v>
      </c>
      <c r="P13" s="34">
        <f t="shared" si="0"/>
        <v>105104.93243930298</v>
      </c>
      <c r="Q13" s="34">
        <f t="shared" si="0"/>
        <v>107207.03108808908</v>
      </c>
      <c r="R13" s="34">
        <f t="shared" si="0"/>
        <v>109351.17170985084</v>
      </c>
      <c r="S13" s="34">
        <f t="shared" si="0"/>
        <v>111538.19514404786</v>
      </c>
      <c r="T13" s="34">
        <f t="shared" si="0"/>
        <v>113768.95904692879</v>
      </c>
      <c r="U13" s="34">
        <f t="shared" si="0"/>
        <v>116044.3382278674</v>
      </c>
      <c r="V13" s="34">
        <f t="shared" si="0"/>
        <v>118365.22499242474</v>
      </c>
      <c r="W13" s="34">
        <f t="shared" si="0"/>
        <v>120732.52949227324</v>
      </c>
      <c r="X13" s="34">
        <f t="shared" si="0"/>
        <v>123147.18008211866</v>
      </c>
      <c r="Y13" s="34">
        <f t="shared" si="0"/>
        <v>125610.12368376105</v>
      </c>
      <c r="Z13" s="34">
        <f t="shared" si="0"/>
        <v>128122.32615743628</v>
      </c>
      <c r="AA13" s="34">
        <f t="shared" si="0"/>
        <v>130684.77268058501</v>
      </c>
      <c r="AB13" s="34">
        <f t="shared" si="0"/>
        <v>133298.46813419671</v>
      </c>
      <c r="AC13" s="34">
        <f t="shared" si="0"/>
        <v>135964.43749688065</v>
      </c>
      <c r="AD13" s="34">
        <f t="shared" si="0"/>
        <v>138683.72624681826</v>
      </c>
      <c r="AE13" s="34">
        <f t="shared" si="0"/>
        <v>141457.40077175462</v>
      </c>
      <c r="AF13" s="34">
        <f t="shared" si="0"/>
        <v>144286.54878718968</v>
      </c>
      <c r="AG13" s="34">
        <f t="shared" si="0"/>
        <v>147172.27976293347</v>
      </c>
      <c r="AH13" s="34">
        <f t="shared" si="0"/>
        <v>150115.72535819214</v>
      </c>
      <c r="AI13" s="34">
        <f t="shared" si="0"/>
        <v>153118.03986535603</v>
      </c>
      <c r="AJ13" s="34">
        <f t="shared" si="0"/>
        <v>156180.40066266313</v>
      </c>
      <c r="AK13" s="34">
        <f t="shared" si="0"/>
        <v>159304.00867591641</v>
      </c>
      <c r="AL13" s="34">
        <f t="shared" si="0"/>
        <v>162490.08884943475</v>
      </c>
      <c r="AM13" s="34">
        <f t="shared" si="0"/>
        <v>165739.89062642341</v>
      </c>
      <c r="AN13" s="34">
        <f t="shared" si="0"/>
        <v>169054.68843895188</v>
      </c>
      <c r="AO13" s="34">
        <f t="shared" si="0"/>
        <v>172435.7822077309</v>
      </c>
      <c r="AP13" s="34">
        <f t="shared" si="0"/>
        <v>175884.49785188554</v>
      </c>
      <c r="AQ13" s="34">
        <f t="shared" si="0"/>
        <v>179402.18780892325</v>
      </c>
      <c r="AR13" s="34">
        <f t="shared" si="0"/>
        <v>182990.23156510171</v>
      </c>
      <c r="AS13" s="22"/>
    </row>
    <row r="15" spans="1:45" x14ac:dyDescent="0.45">
      <c r="B15" s="18" t="s">
        <v>86</v>
      </c>
      <c r="C15" s="21"/>
      <c r="D15" s="53">
        <f>SUM(E15:AR15)</f>
        <v>4947793.1068197237</v>
      </c>
      <c r="E15" s="34">
        <f>E13*(1+Inputs!$E$15)</f>
        <v>0</v>
      </c>
      <c r="F15" s="34">
        <f>F13*(1+Inputs!$E$15)</f>
        <v>0</v>
      </c>
      <c r="G15" s="34">
        <f>G13*(1+Inputs!$E$15)</f>
        <v>0</v>
      </c>
      <c r="H15" s="34">
        <f>H13*(1+Inputs!$E$15)</f>
        <v>0</v>
      </c>
      <c r="I15" s="34">
        <f>I13*(1+Inputs!$E$15)</f>
        <v>95160.175507865482</v>
      </c>
      <c r="J15" s="34">
        <f>J13*(1+Inputs!$E$15)</f>
        <v>97063.379018022795</v>
      </c>
      <c r="K15" s="34">
        <f>K13*(1+Inputs!$E$15)</f>
        <v>99004.646598383246</v>
      </c>
      <c r="L15" s="34">
        <f>L13*(1+Inputs!$E$15)</f>
        <v>100984.73953035091</v>
      </c>
      <c r="M15" s="34">
        <f>M13*(1+Inputs!$E$15)</f>
        <v>103004.43432095792</v>
      </c>
      <c r="N15" s="34">
        <f>N13*(1+Inputs!$E$15)</f>
        <v>105064.52300737708</v>
      </c>
      <c r="O15" s="34">
        <f>O13*(1+Inputs!$E$15)</f>
        <v>107165.81346752465</v>
      </c>
      <c r="P15" s="34">
        <f>P13*(1+Inputs!$E$15)</f>
        <v>109309.12973687511</v>
      </c>
      <c r="Q15" s="34">
        <f>Q13*(1+Inputs!$E$15)</f>
        <v>111495.31233161264</v>
      </c>
      <c r="R15" s="34">
        <f>R13*(1+Inputs!$E$15)</f>
        <v>113725.21857824488</v>
      </c>
      <c r="S15" s="34">
        <f>S13*(1+Inputs!$E$15)</f>
        <v>115999.72294980977</v>
      </c>
      <c r="T15" s="34">
        <f>T13*(1+Inputs!$E$15)</f>
        <v>118319.71740880595</v>
      </c>
      <c r="U15" s="34">
        <f>U13*(1+Inputs!$E$15)</f>
        <v>120686.11175698209</v>
      </c>
      <c r="V15" s="34">
        <f>V13*(1+Inputs!$E$15)</f>
        <v>123099.83399212174</v>
      </c>
      <c r="W15" s="34">
        <f>W13*(1+Inputs!$E$15)</f>
        <v>125561.83067196417</v>
      </c>
      <c r="X15" s="34">
        <f>X13*(1+Inputs!$E$15)</f>
        <v>128073.06728540342</v>
      </c>
      <c r="Y15" s="34">
        <f>Y13*(1+Inputs!$E$15)</f>
        <v>130634.52863111149</v>
      </c>
      <c r="Z15" s="34">
        <f>Z13*(1+Inputs!$E$15)</f>
        <v>133247.21920373375</v>
      </c>
      <c r="AA15" s="34">
        <f>AA13*(1+Inputs!$E$15)</f>
        <v>135912.16358780841</v>
      </c>
      <c r="AB15" s="34">
        <f>AB13*(1+Inputs!$E$15)</f>
        <v>138630.40685956459</v>
      </c>
      <c r="AC15" s="34">
        <f>AC13*(1+Inputs!$E$15)</f>
        <v>141403.01499675587</v>
      </c>
      <c r="AD15" s="34">
        <f>AD13*(1+Inputs!$E$15)</f>
        <v>144231.07529669101</v>
      </c>
      <c r="AE15" s="34">
        <f>AE13*(1+Inputs!$E$15)</f>
        <v>147115.69680262482</v>
      </c>
      <c r="AF15" s="34">
        <f>AF13*(1+Inputs!$E$15)</f>
        <v>150058.01073867726</v>
      </c>
      <c r="AG15" s="34">
        <f>AG13*(1+Inputs!$E$15)</f>
        <v>153059.17095345081</v>
      </c>
      <c r="AH15" s="34">
        <f>AH13*(1+Inputs!$E$15)</f>
        <v>156120.35437251983</v>
      </c>
      <c r="AI15" s="34">
        <f>AI13*(1+Inputs!$E$15)</f>
        <v>159242.76145997026</v>
      </c>
      <c r="AJ15" s="34">
        <f>AJ13*(1+Inputs!$E$15)</f>
        <v>162427.61668916966</v>
      </c>
      <c r="AK15" s="34">
        <f>AK13*(1+Inputs!$E$15)</f>
        <v>165676.16902295308</v>
      </c>
      <c r="AL15" s="34">
        <f>AL13*(1+Inputs!$E$15)</f>
        <v>168989.69240341213</v>
      </c>
      <c r="AM15" s="34">
        <f>AM13*(1+Inputs!$E$15)</f>
        <v>172369.48625148035</v>
      </c>
      <c r="AN15" s="34">
        <f>AN13*(1+Inputs!$E$15)</f>
        <v>175816.87597650997</v>
      </c>
      <c r="AO15" s="34">
        <f>AO13*(1+Inputs!$E$15)</f>
        <v>179333.21349604015</v>
      </c>
      <c r="AP15" s="34">
        <f>AP13*(1+Inputs!$E$15)</f>
        <v>182919.87776596096</v>
      </c>
      <c r="AQ15" s="34">
        <f>AQ13*(1+Inputs!$E$15)</f>
        <v>186578.27532128018</v>
      </c>
      <c r="AR15" s="34">
        <f>AR13*(1+Inputs!$E$15)</f>
        <v>190309.84082770578</v>
      </c>
      <c r="AS15" s="22"/>
    </row>
    <row r="19" spans="2:45" x14ac:dyDescent="0.45">
      <c r="B19" s="18" t="s">
        <v>87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2"/>
    </row>
    <row r="20" spans="2:45" x14ac:dyDescent="0.45">
      <c r="B20" t="s">
        <v>88</v>
      </c>
      <c r="C20" s="17" t="s">
        <v>90</v>
      </c>
      <c r="D20" s="54"/>
      <c r="E20" s="33">
        <f>Inputs!$E$21*(1+Inputs!$E$22)^(E2-$E$2)*TBA!D10/1000</f>
        <v>0</v>
      </c>
      <c r="F20" s="33">
        <f>Inputs!$E$21*(1+Inputs!$E$22)^(F2-$E$2)*TBA!E10/1000</f>
        <v>0</v>
      </c>
      <c r="G20" s="33">
        <f>Inputs!$E$21*(1+Inputs!$E$22)^(G2-$E$2)*TBA!F10/1000</f>
        <v>0</v>
      </c>
      <c r="H20" s="33">
        <f>Inputs!$E$21*(1+Inputs!$E$22)^(H2-$E$2)*TBA!G10/1000</f>
        <v>0</v>
      </c>
      <c r="I20" s="33">
        <f>Inputs!$E$21*(1+Inputs!$E$22)^(I2-$E$2)*TBA!H10/1000</f>
        <v>10411.741184000002</v>
      </c>
      <c r="J20" s="33">
        <f>Inputs!$E$21*(1+Inputs!$E$22)^(J2-$E$2)*TBA!I10/1000</f>
        <v>10828.210831360004</v>
      </c>
      <c r="K20" s="33">
        <f>Inputs!$E$21*(1+Inputs!$E$22)^(K2-$E$2)*TBA!J10/1000</f>
        <v>11261.339264614404</v>
      </c>
      <c r="L20" s="33">
        <f>Inputs!$E$21*(1+Inputs!$E$22)^(L2-$E$2)*TBA!K10/1000</f>
        <v>11711.792835198978</v>
      </c>
      <c r="M20" s="33">
        <f>Inputs!$E$21*(1+Inputs!$E$22)^(M2-$E$2)*TBA!L10/1000</f>
        <v>12180.26454860694</v>
      </c>
      <c r="N20" s="33">
        <f>Inputs!$E$21*(1+Inputs!$E$22)^(N2-$E$2)*TBA!M10/1000</f>
        <v>12667.475130551218</v>
      </c>
      <c r="O20" s="33">
        <f>Inputs!$E$21*(1+Inputs!$E$22)^(O2-$E$2)*TBA!N10/1000</f>
        <v>13174.174135773268</v>
      </c>
      <c r="P20" s="33">
        <f>Inputs!$E$21*(1+Inputs!$E$22)^(P2-$E$2)*TBA!O10/1000</f>
        <v>13701.141101204195</v>
      </c>
      <c r="Q20" s="33">
        <f>Inputs!$E$21*(1+Inputs!$E$22)^(Q2-$E$2)*TBA!P10/1000</f>
        <v>14249.186745252367</v>
      </c>
      <c r="R20" s="33">
        <f>Inputs!$E$21*(1+Inputs!$E$22)^(R2-$E$2)*TBA!Q10/1000</f>
        <v>14819.154215062461</v>
      </c>
      <c r="S20" s="33">
        <f>Inputs!$E$21*(1+Inputs!$E$22)^(S2-$E$2)*TBA!R10/1000</f>
        <v>15411.920383664959</v>
      </c>
      <c r="T20" s="33">
        <f>Inputs!$E$21*(1+Inputs!$E$22)^(T2-$E$2)*TBA!S10/1000</f>
        <v>16028.397199011559</v>
      </c>
      <c r="U20" s="33">
        <f>Inputs!$E$21*(1+Inputs!$E$22)^(U2-$E$2)*TBA!T10/1000</f>
        <v>16669.533086972024</v>
      </c>
      <c r="V20" s="33">
        <f>Inputs!$E$21*(1+Inputs!$E$22)^(V2-$E$2)*TBA!U10/1000</f>
        <v>17336.314410450905</v>
      </c>
      <c r="W20" s="33">
        <f>Inputs!$E$21*(1+Inputs!$E$22)^(W2-$E$2)*TBA!V10/1000</f>
        <v>18029.766986868945</v>
      </c>
      <c r="X20" s="33">
        <f>Inputs!$E$21*(1+Inputs!$E$22)^(X2-$E$2)*TBA!W10/1000</f>
        <v>18750.9576663437</v>
      </c>
      <c r="Y20" s="33">
        <f>Inputs!$E$21*(1+Inputs!$E$22)^(Y2-$E$2)*TBA!X10/1000</f>
        <v>19500.995972997451</v>
      </c>
      <c r="Z20" s="33">
        <f>Inputs!$E$21*(1+Inputs!$E$22)^(Z2-$E$2)*TBA!Y10/1000</f>
        <v>20281.035811917354</v>
      </c>
      <c r="AA20" s="33">
        <f>Inputs!$E$21*(1+Inputs!$E$22)^(AA2-$E$2)*TBA!Z10/1000</f>
        <v>21092.277244394045</v>
      </c>
      <c r="AB20" s="33">
        <f>Inputs!$E$21*(1+Inputs!$E$22)^(AB2-$E$2)*TBA!AA10/1000</f>
        <v>21935.968334169804</v>
      </c>
      <c r="AC20" s="33">
        <f>Inputs!$E$21*(1+Inputs!$E$22)^(AC2-$E$2)*TBA!AB10/1000</f>
        <v>22813.407067536598</v>
      </c>
      <c r="AD20" s="33">
        <f>Inputs!$E$21*(1+Inputs!$E$22)^(AD2-$E$2)*TBA!AC10/1000</f>
        <v>23725.943350238071</v>
      </c>
      <c r="AE20" s="33">
        <f>Inputs!$E$21*(1+Inputs!$E$22)^(AE2-$E$2)*TBA!AD10/1000</f>
        <v>24674.981084247589</v>
      </c>
      <c r="AF20" s="33">
        <f>Inputs!$E$21*(1+Inputs!$E$22)^(AF2-$E$2)*TBA!AE10/1000</f>
        <v>25661.980327617493</v>
      </c>
      <c r="AG20" s="33">
        <f>Inputs!$E$21*(1+Inputs!$E$22)^(AG2-$E$2)*TBA!AF10/1000</f>
        <v>26688.4595407222</v>
      </c>
      <c r="AH20" s="33">
        <f>Inputs!$E$21*(1+Inputs!$E$22)^(AH2-$E$2)*TBA!AG10/1000</f>
        <v>27755.997922351089</v>
      </c>
      <c r="AI20" s="33">
        <f>Inputs!$E$21*(1+Inputs!$E$22)^(AI2-$E$2)*TBA!AH10/1000</f>
        <v>28866.237839245125</v>
      </c>
      <c r="AJ20" s="33">
        <f>Inputs!$E$21*(1+Inputs!$E$22)^(AJ2-$E$2)*TBA!AI10/1000</f>
        <v>30020.887352814931</v>
      </c>
      <c r="AK20" s="33">
        <f>Inputs!$E$21*(1+Inputs!$E$22)^(AK2-$E$2)*TBA!AJ10/1000</f>
        <v>31221.722846927536</v>
      </c>
      <c r="AL20" s="33">
        <f>Inputs!$E$21*(1+Inputs!$E$22)^(AL2-$E$2)*TBA!AK10/1000</f>
        <v>32470.591760804633</v>
      </c>
      <c r="AM20" s="33">
        <f>Inputs!$E$21*(1+Inputs!$E$22)^(AM2-$E$2)*TBA!AL10/1000</f>
        <v>33769.415431236826</v>
      </c>
      <c r="AN20" s="33">
        <f>Inputs!$E$21*(1+Inputs!$E$22)^(AN2-$E$2)*TBA!AM10/1000</f>
        <v>35120.1920484863</v>
      </c>
      <c r="AO20" s="33">
        <f>Inputs!$E$21*(1+Inputs!$E$22)^(AO2-$E$2)*TBA!AN10/1000</f>
        <v>36524.999730425749</v>
      </c>
      <c r="AP20" s="33">
        <f>Inputs!$E$21*(1+Inputs!$E$22)^(AP2-$E$2)*TBA!AO10/1000</f>
        <v>37985.999719642787</v>
      </c>
      <c r="AQ20" s="33">
        <f>Inputs!$E$21*(1+Inputs!$E$22)^(AQ2-$E$2)*TBA!AP10/1000</f>
        <v>39505.439708428494</v>
      </c>
      <c r="AR20" s="33">
        <f>Inputs!$E$21*(1+Inputs!$E$22)^(AR2-$E$2)*TBA!AQ10/1000</f>
        <v>41085.657296765632</v>
      </c>
    </row>
    <row r="22" spans="2:45" x14ac:dyDescent="0.45">
      <c r="B22" s="18" t="s">
        <v>89</v>
      </c>
      <c r="C22" s="21"/>
      <c r="D22" s="53">
        <f>SUM(AD22:AR22)</f>
        <v>475078.50595995458</v>
      </c>
      <c r="E22" s="34">
        <f>SUM(E20+E21)</f>
        <v>0</v>
      </c>
      <c r="F22" s="34">
        <f t="shared" ref="F22:AR22" si="1">SUM(F20+F21)</f>
        <v>0</v>
      </c>
      <c r="G22" s="34">
        <f t="shared" si="1"/>
        <v>0</v>
      </c>
      <c r="H22" s="34">
        <f t="shared" si="1"/>
        <v>0</v>
      </c>
      <c r="I22" s="34">
        <f t="shared" si="1"/>
        <v>10411.741184000002</v>
      </c>
      <c r="J22" s="34">
        <f t="shared" si="1"/>
        <v>10828.210831360004</v>
      </c>
      <c r="K22" s="34">
        <f t="shared" si="1"/>
        <v>11261.339264614404</v>
      </c>
      <c r="L22" s="34">
        <f t="shared" si="1"/>
        <v>11711.792835198978</v>
      </c>
      <c r="M22" s="34">
        <f t="shared" si="1"/>
        <v>12180.26454860694</v>
      </c>
      <c r="N22" s="34">
        <f t="shared" si="1"/>
        <v>12667.475130551218</v>
      </c>
      <c r="O22" s="34">
        <f t="shared" si="1"/>
        <v>13174.174135773268</v>
      </c>
      <c r="P22" s="34">
        <f t="shared" si="1"/>
        <v>13701.141101204195</v>
      </c>
      <c r="Q22" s="34">
        <f t="shared" si="1"/>
        <v>14249.186745252367</v>
      </c>
      <c r="R22" s="34">
        <f t="shared" si="1"/>
        <v>14819.154215062461</v>
      </c>
      <c r="S22" s="34">
        <f t="shared" si="1"/>
        <v>15411.920383664959</v>
      </c>
      <c r="T22" s="34">
        <f t="shared" si="1"/>
        <v>16028.397199011559</v>
      </c>
      <c r="U22" s="34">
        <f t="shared" si="1"/>
        <v>16669.533086972024</v>
      </c>
      <c r="V22" s="34">
        <f t="shared" si="1"/>
        <v>17336.314410450905</v>
      </c>
      <c r="W22" s="34">
        <f t="shared" si="1"/>
        <v>18029.766986868945</v>
      </c>
      <c r="X22" s="34">
        <f t="shared" si="1"/>
        <v>18750.9576663437</v>
      </c>
      <c r="Y22" s="34">
        <f t="shared" si="1"/>
        <v>19500.995972997451</v>
      </c>
      <c r="Z22" s="34">
        <f t="shared" si="1"/>
        <v>20281.035811917354</v>
      </c>
      <c r="AA22" s="34">
        <f t="shared" si="1"/>
        <v>21092.277244394045</v>
      </c>
      <c r="AB22" s="34">
        <f t="shared" si="1"/>
        <v>21935.968334169804</v>
      </c>
      <c r="AC22" s="34">
        <f t="shared" si="1"/>
        <v>22813.407067536598</v>
      </c>
      <c r="AD22" s="34">
        <f t="shared" si="1"/>
        <v>23725.943350238071</v>
      </c>
      <c r="AE22" s="34">
        <f t="shared" si="1"/>
        <v>24674.981084247589</v>
      </c>
      <c r="AF22" s="34">
        <f t="shared" si="1"/>
        <v>25661.980327617493</v>
      </c>
      <c r="AG22" s="34">
        <f t="shared" si="1"/>
        <v>26688.4595407222</v>
      </c>
      <c r="AH22" s="34">
        <f t="shared" si="1"/>
        <v>27755.997922351089</v>
      </c>
      <c r="AI22" s="34">
        <f t="shared" si="1"/>
        <v>28866.237839245125</v>
      </c>
      <c r="AJ22" s="34">
        <f t="shared" si="1"/>
        <v>30020.887352814931</v>
      </c>
      <c r="AK22" s="34">
        <f t="shared" si="1"/>
        <v>31221.722846927536</v>
      </c>
      <c r="AL22" s="34">
        <f t="shared" si="1"/>
        <v>32470.591760804633</v>
      </c>
      <c r="AM22" s="34">
        <f t="shared" si="1"/>
        <v>33769.415431236826</v>
      </c>
      <c r="AN22" s="34">
        <f t="shared" si="1"/>
        <v>35120.1920484863</v>
      </c>
      <c r="AO22" s="34">
        <f t="shared" si="1"/>
        <v>36524.999730425749</v>
      </c>
      <c r="AP22" s="34">
        <f t="shared" si="1"/>
        <v>37985.999719642787</v>
      </c>
      <c r="AQ22" s="34">
        <f t="shared" si="1"/>
        <v>39505.439708428494</v>
      </c>
      <c r="AR22" s="34">
        <f t="shared" si="1"/>
        <v>41085.657296765632</v>
      </c>
      <c r="AS22" s="22"/>
    </row>
    <row r="23" spans="2:45" x14ac:dyDescent="0.45">
      <c r="D23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3F8F-A4F5-49A4-9937-2D2746C84A6D}">
  <sheetPr codeName="Sheet6"/>
  <dimension ref="A2:AT30"/>
  <sheetViews>
    <sheetView showGridLines="0" topLeftCell="A11" workbookViewId="0">
      <pane xSplit="5" topLeftCell="Q1" activePane="topRight" state="frozen"/>
      <selection pane="topRight" activeCell="J38" sqref="J38"/>
    </sheetView>
  </sheetViews>
  <sheetFormatPr defaultColWidth="0" defaultRowHeight="14.25" x14ac:dyDescent="0.45"/>
  <cols>
    <col min="1" max="1" width="8.86328125" customWidth="1"/>
    <col min="2" max="3" width="12.796875" customWidth="1"/>
    <col min="4" max="5" width="8.86328125" customWidth="1"/>
    <col min="6" max="46" width="10.796875" customWidth="1"/>
    <col min="47" max="16384" width="8.86328125" hidden="1"/>
  </cols>
  <sheetData>
    <row r="2" spans="2:46" x14ac:dyDescent="0.45">
      <c r="B2" s="18" t="s">
        <v>43</v>
      </c>
      <c r="C2" s="29"/>
      <c r="D2" s="29"/>
      <c r="E2" s="15"/>
      <c r="F2" s="29">
        <v>1</v>
      </c>
      <c r="G2" s="29">
        <v>2</v>
      </c>
      <c r="H2" s="29">
        <v>3</v>
      </c>
      <c r="I2" s="29">
        <v>4</v>
      </c>
      <c r="J2" s="29">
        <v>5</v>
      </c>
      <c r="K2" s="29">
        <v>6</v>
      </c>
      <c r="L2" s="29">
        <v>7</v>
      </c>
      <c r="M2" s="29">
        <v>8</v>
      </c>
      <c r="N2" s="29">
        <v>9</v>
      </c>
      <c r="O2" s="29">
        <v>10</v>
      </c>
      <c r="P2" s="29">
        <v>11</v>
      </c>
      <c r="Q2" s="29">
        <v>12</v>
      </c>
      <c r="R2" s="29">
        <v>13</v>
      </c>
      <c r="S2" s="29">
        <v>14</v>
      </c>
      <c r="T2" s="29">
        <v>15</v>
      </c>
      <c r="U2" s="29">
        <v>16</v>
      </c>
      <c r="V2" s="29">
        <v>17</v>
      </c>
      <c r="W2" s="29">
        <v>18</v>
      </c>
      <c r="X2" s="29">
        <v>19</v>
      </c>
      <c r="Y2" s="29">
        <v>20</v>
      </c>
      <c r="Z2" s="29">
        <v>21</v>
      </c>
      <c r="AA2" s="29">
        <v>22</v>
      </c>
      <c r="AB2" s="29">
        <v>23</v>
      </c>
      <c r="AC2" s="29">
        <v>24</v>
      </c>
      <c r="AD2" s="29">
        <v>25</v>
      </c>
      <c r="AE2" s="29">
        <v>26</v>
      </c>
      <c r="AF2" s="29">
        <v>27</v>
      </c>
      <c r="AG2" s="29">
        <v>28</v>
      </c>
      <c r="AH2" s="29">
        <v>29</v>
      </c>
      <c r="AI2" s="29">
        <v>30</v>
      </c>
      <c r="AJ2" s="29">
        <v>31</v>
      </c>
      <c r="AK2" s="29">
        <v>32</v>
      </c>
      <c r="AL2" s="29">
        <v>33</v>
      </c>
      <c r="AM2" s="29">
        <v>34</v>
      </c>
      <c r="AN2" s="29">
        <v>35</v>
      </c>
      <c r="AO2" s="29">
        <v>36</v>
      </c>
      <c r="AP2" s="29">
        <v>37</v>
      </c>
      <c r="AQ2" s="29">
        <v>38</v>
      </c>
      <c r="AR2" s="29">
        <v>39</v>
      </c>
      <c r="AS2" s="30">
        <v>40</v>
      </c>
    </row>
    <row r="5" spans="2:46" x14ac:dyDescent="0.45">
      <c r="B5" s="18" t="s">
        <v>91</v>
      </c>
      <c r="C5" s="29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/>
    </row>
    <row r="8" spans="2:46" x14ac:dyDescent="0.45">
      <c r="B8" t="s">
        <v>92</v>
      </c>
      <c r="D8" s="17" t="s">
        <v>90</v>
      </c>
      <c r="F8" s="33">
        <f>Operations!E15</f>
        <v>0</v>
      </c>
      <c r="G8" s="33">
        <f>Operations!F15</f>
        <v>0</v>
      </c>
      <c r="H8" s="33">
        <f>Operations!G15</f>
        <v>0</v>
      </c>
      <c r="I8" s="33">
        <f>Operations!H15</f>
        <v>0</v>
      </c>
      <c r="J8" s="33">
        <f>Operations!I15</f>
        <v>95160.175507865482</v>
      </c>
      <c r="K8" s="33">
        <f>Operations!J15</f>
        <v>97063.379018022795</v>
      </c>
      <c r="L8" s="33">
        <f>Operations!K15</f>
        <v>99004.646598383246</v>
      </c>
      <c r="M8" s="33">
        <f>Operations!L15</f>
        <v>100984.73953035091</v>
      </c>
      <c r="N8" s="33">
        <f>Operations!M15</f>
        <v>103004.43432095792</v>
      </c>
      <c r="O8" s="33">
        <f>Operations!N15</f>
        <v>105064.52300737708</v>
      </c>
      <c r="P8" s="33">
        <f>Operations!O15</f>
        <v>107165.81346752465</v>
      </c>
      <c r="Q8" s="33">
        <f>Operations!P15</f>
        <v>109309.12973687511</v>
      </c>
      <c r="R8" s="33">
        <f>Operations!Q15</f>
        <v>111495.31233161264</v>
      </c>
      <c r="S8" s="33">
        <f>Operations!R15</f>
        <v>113725.21857824488</v>
      </c>
      <c r="T8" s="33">
        <f>Operations!S15</f>
        <v>115999.72294980977</v>
      </c>
      <c r="U8" s="33">
        <f>Operations!T15</f>
        <v>118319.71740880595</v>
      </c>
      <c r="V8" s="33">
        <f>Operations!U15</f>
        <v>120686.11175698209</v>
      </c>
      <c r="W8" s="33">
        <f>Operations!V15</f>
        <v>123099.83399212174</v>
      </c>
      <c r="X8" s="33">
        <f>Operations!W15</f>
        <v>125561.83067196417</v>
      </c>
      <c r="Y8" s="33">
        <f>Operations!X15</f>
        <v>128073.06728540342</v>
      </c>
      <c r="Z8" s="33">
        <f>Operations!Y15</f>
        <v>130634.52863111149</v>
      </c>
      <c r="AA8" s="33">
        <f>Operations!Z15</f>
        <v>133247.21920373375</v>
      </c>
      <c r="AB8" s="33">
        <f>Operations!AA15</f>
        <v>135912.16358780841</v>
      </c>
      <c r="AC8" s="33">
        <f>Operations!AB15</f>
        <v>138630.40685956459</v>
      </c>
      <c r="AD8" s="33">
        <f>Operations!AC15</f>
        <v>141403.01499675587</v>
      </c>
      <c r="AE8" s="33">
        <f>Operations!AD15</f>
        <v>144231.07529669101</v>
      </c>
      <c r="AF8" s="33">
        <f>Operations!AE15</f>
        <v>147115.69680262482</v>
      </c>
      <c r="AG8" s="33">
        <f>Operations!AF15</f>
        <v>150058.01073867726</v>
      </c>
      <c r="AH8" s="33">
        <f>Operations!AG15</f>
        <v>153059.17095345081</v>
      </c>
      <c r="AI8" s="33">
        <f>Operations!AH15</f>
        <v>156120.35437251983</v>
      </c>
      <c r="AJ8" s="33">
        <f>Operations!AI15</f>
        <v>159242.76145997026</v>
      </c>
      <c r="AK8" s="33">
        <f>Operations!AJ15</f>
        <v>162427.61668916966</v>
      </c>
      <c r="AL8" s="33">
        <f>Operations!AK15</f>
        <v>165676.16902295308</v>
      </c>
      <c r="AM8" s="33">
        <f>Operations!AL15</f>
        <v>168989.69240341213</v>
      </c>
      <c r="AN8" s="33">
        <f>Operations!AM15</f>
        <v>172369.48625148035</v>
      </c>
      <c r="AO8" s="33">
        <f>Operations!AN15</f>
        <v>175816.87597650997</v>
      </c>
      <c r="AP8" s="33">
        <f>Operations!AO15</f>
        <v>179333.21349604015</v>
      </c>
      <c r="AQ8" s="33">
        <f>Operations!AP15</f>
        <v>182919.87776596096</v>
      </c>
      <c r="AR8" s="33">
        <f>Operations!AQ15</f>
        <v>186578.27532128018</v>
      </c>
      <c r="AS8" s="33">
        <f>Operations!AR15</f>
        <v>190309.84082770578</v>
      </c>
    </row>
    <row r="9" spans="2:46" x14ac:dyDescent="0.45"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</row>
    <row r="10" spans="2:46" x14ac:dyDescent="0.45">
      <c r="B10" t="s">
        <v>93</v>
      </c>
      <c r="D10" s="17" t="s">
        <v>90</v>
      </c>
      <c r="F10" s="33">
        <f>-Operations!E22</f>
        <v>0</v>
      </c>
      <c r="G10" s="33">
        <f>-Operations!F22</f>
        <v>0</v>
      </c>
      <c r="H10" s="33">
        <f>-Operations!G22</f>
        <v>0</v>
      </c>
      <c r="I10" s="33">
        <f>-Operations!H22</f>
        <v>0</v>
      </c>
      <c r="J10" s="33">
        <f>-Operations!I22</f>
        <v>-10411.741184000002</v>
      </c>
      <c r="K10" s="33">
        <f>-Operations!J22</f>
        <v>-10828.210831360004</v>
      </c>
      <c r="L10" s="33">
        <f>-Operations!K22</f>
        <v>-11261.339264614404</v>
      </c>
      <c r="M10" s="33">
        <f>-Operations!L22</f>
        <v>-11711.792835198978</v>
      </c>
      <c r="N10" s="33">
        <f>-Operations!M22</f>
        <v>-12180.26454860694</v>
      </c>
      <c r="O10" s="33">
        <f>-Operations!N22</f>
        <v>-12667.475130551218</v>
      </c>
      <c r="P10" s="33">
        <f>-Operations!O22</f>
        <v>-13174.174135773268</v>
      </c>
      <c r="Q10" s="33">
        <f>-Operations!P22</f>
        <v>-13701.141101204195</v>
      </c>
      <c r="R10" s="33">
        <f>-Operations!Q22</f>
        <v>-14249.186745252367</v>
      </c>
      <c r="S10" s="33">
        <f>-Operations!R22</f>
        <v>-14819.154215062461</v>
      </c>
      <c r="T10" s="33">
        <f>-Operations!S22</f>
        <v>-15411.920383664959</v>
      </c>
      <c r="U10" s="33">
        <f>-Operations!T22</f>
        <v>-16028.397199011559</v>
      </c>
      <c r="V10" s="33">
        <f>-Operations!U22</f>
        <v>-16669.533086972024</v>
      </c>
      <c r="W10" s="33">
        <f>-Operations!V22</f>
        <v>-17336.314410450905</v>
      </c>
      <c r="X10" s="33">
        <f>-Operations!W22</f>
        <v>-18029.766986868945</v>
      </c>
      <c r="Y10" s="33">
        <f>-Operations!X22</f>
        <v>-18750.9576663437</v>
      </c>
      <c r="Z10" s="33">
        <f>-Operations!Y22</f>
        <v>-19500.995972997451</v>
      </c>
      <c r="AA10" s="33">
        <f>-Operations!Z22</f>
        <v>-20281.035811917354</v>
      </c>
      <c r="AB10" s="33">
        <f>-Operations!AA22</f>
        <v>-21092.277244394045</v>
      </c>
      <c r="AC10" s="33">
        <f>-Operations!AB22</f>
        <v>-21935.968334169804</v>
      </c>
      <c r="AD10" s="33">
        <f>-Operations!AC22</f>
        <v>-22813.407067536598</v>
      </c>
      <c r="AE10" s="33">
        <f>-Operations!AD22</f>
        <v>-23725.943350238071</v>
      </c>
      <c r="AF10" s="33">
        <f>-Operations!AE22</f>
        <v>-24674.981084247589</v>
      </c>
      <c r="AG10" s="33">
        <f>-Operations!AF22</f>
        <v>-25661.980327617493</v>
      </c>
      <c r="AH10" s="33">
        <f>-Operations!AG22</f>
        <v>-26688.4595407222</v>
      </c>
      <c r="AI10" s="33">
        <f>-Operations!AH22</f>
        <v>-27755.997922351089</v>
      </c>
      <c r="AJ10" s="33">
        <f>-Operations!AI22</f>
        <v>-28866.237839245125</v>
      </c>
      <c r="AK10" s="33">
        <f>-Operations!AJ22</f>
        <v>-30020.887352814931</v>
      </c>
      <c r="AL10" s="33">
        <f>-Operations!AK22</f>
        <v>-31221.722846927536</v>
      </c>
      <c r="AM10" s="33">
        <f>-Operations!AL22</f>
        <v>-32470.591760804633</v>
      </c>
      <c r="AN10" s="33">
        <f>-Operations!AM22</f>
        <v>-33769.415431236826</v>
      </c>
      <c r="AO10" s="33">
        <f>-Operations!AN22</f>
        <v>-35120.1920484863</v>
      </c>
      <c r="AP10" s="33">
        <f>-Operations!AO22</f>
        <v>-36524.999730425749</v>
      </c>
      <c r="AQ10" s="33">
        <f>-Operations!AP22</f>
        <v>-37985.999719642787</v>
      </c>
      <c r="AR10" s="33">
        <f>-Operations!AQ22</f>
        <v>-39505.439708428494</v>
      </c>
      <c r="AS10" s="33">
        <f>-Operations!AR22</f>
        <v>-41085.657296765632</v>
      </c>
    </row>
    <row r="12" spans="2:46" x14ac:dyDescent="0.45">
      <c r="B12" s="51" t="s">
        <v>94</v>
      </c>
      <c r="C12" s="56"/>
      <c r="D12" s="49"/>
      <c r="E12" s="49"/>
      <c r="F12" s="59">
        <f>SUM(F8+F10)</f>
        <v>0</v>
      </c>
      <c r="G12" s="59">
        <f t="shared" ref="G12:AS12" si="0">SUM(G8+G10)</f>
        <v>0</v>
      </c>
      <c r="H12" s="59">
        <f t="shared" si="0"/>
        <v>0</v>
      </c>
      <c r="I12" s="59">
        <f t="shared" si="0"/>
        <v>0</v>
      </c>
      <c r="J12" s="59">
        <f t="shared" si="0"/>
        <v>84748.434323865484</v>
      </c>
      <c r="K12" s="59">
        <f t="shared" si="0"/>
        <v>86235.168186662791</v>
      </c>
      <c r="L12" s="59">
        <f t="shared" si="0"/>
        <v>87743.30733376884</v>
      </c>
      <c r="M12" s="59">
        <f t="shared" si="0"/>
        <v>89272.946695151928</v>
      </c>
      <c r="N12" s="59">
        <f t="shared" si="0"/>
        <v>90824.169772350986</v>
      </c>
      <c r="O12" s="59">
        <f t="shared" si="0"/>
        <v>92397.047876825862</v>
      </c>
      <c r="P12" s="59">
        <f t="shared" si="0"/>
        <v>93991.639331751387</v>
      </c>
      <c r="Q12" s="59">
        <f t="shared" si="0"/>
        <v>95607.988635670918</v>
      </c>
      <c r="R12" s="59">
        <f t="shared" si="0"/>
        <v>97246.125586360271</v>
      </c>
      <c r="S12" s="59">
        <f t="shared" si="0"/>
        <v>98906.06436318242</v>
      </c>
      <c r="T12" s="59">
        <f t="shared" si="0"/>
        <v>100587.80256614482</v>
      </c>
      <c r="U12" s="59">
        <f t="shared" si="0"/>
        <v>102291.3202097944</v>
      </c>
      <c r="V12" s="59">
        <f t="shared" si="0"/>
        <v>104016.57867001007</v>
      </c>
      <c r="W12" s="59">
        <f t="shared" si="0"/>
        <v>105763.51958167084</v>
      </c>
      <c r="X12" s="59">
        <f t="shared" si="0"/>
        <v>107532.06368509523</v>
      </c>
      <c r="Y12" s="59">
        <f t="shared" si="0"/>
        <v>109322.10961905972</v>
      </c>
      <c r="Z12" s="59">
        <f t="shared" si="0"/>
        <v>111133.53265811404</v>
      </c>
      <c r="AA12" s="59">
        <f t="shared" si="0"/>
        <v>112966.18339181639</v>
      </c>
      <c r="AB12" s="59">
        <f t="shared" si="0"/>
        <v>114819.88634341436</v>
      </c>
      <c r="AC12" s="59">
        <f t="shared" si="0"/>
        <v>116694.4385253948</v>
      </c>
      <c r="AD12" s="59">
        <f t="shared" si="0"/>
        <v>118589.60792921927</v>
      </c>
      <c r="AE12" s="59">
        <f t="shared" si="0"/>
        <v>120505.13194645294</v>
      </c>
      <c r="AF12" s="59">
        <f t="shared" si="0"/>
        <v>122440.71571837724</v>
      </c>
      <c r="AG12" s="59">
        <f t="shared" si="0"/>
        <v>124396.03041105976</v>
      </c>
      <c r="AH12" s="59">
        <f t="shared" si="0"/>
        <v>126370.71141272862</v>
      </c>
      <c r="AI12" s="59">
        <f t="shared" si="0"/>
        <v>128364.35645016874</v>
      </c>
      <c r="AJ12" s="59">
        <f t="shared" si="0"/>
        <v>130376.52362072514</v>
      </c>
      <c r="AK12" s="59">
        <f t="shared" si="0"/>
        <v>132406.72933635474</v>
      </c>
      <c r="AL12" s="59">
        <f t="shared" si="0"/>
        <v>134454.44617602555</v>
      </c>
      <c r="AM12" s="59">
        <f t="shared" si="0"/>
        <v>136519.10064260749</v>
      </c>
      <c r="AN12" s="59">
        <f t="shared" si="0"/>
        <v>138600.07082024353</v>
      </c>
      <c r="AO12" s="59">
        <f t="shared" si="0"/>
        <v>140696.68392802367</v>
      </c>
      <c r="AP12" s="59">
        <f t="shared" si="0"/>
        <v>142808.2137656144</v>
      </c>
      <c r="AQ12" s="59">
        <f t="shared" si="0"/>
        <v>144933.87804631819</v>
      </c>
      <c r="AR12" s="59">
        <f t="shared" si="0"/>
        <v>147072.83561285169</v>
      </c>
      <c r="AS12" s="59">
        <f t="shared" si="0"/>
        <v>149224.18353094015</v>
      </c>
      <c r="AT12" s="50"/>
    </row>
    <row r="15" spans="2:46" x14ac:dyDescent="0.45">
      <c r="B15" t="s">
        <v>95</v>
      </c>
      <c r="D15" s="17" t="s">
        <v>90</v>
      </c>
      <c r="F15" s="45" cm="1">
        <f t="array" ref="F15:AS15">'A&amp;D '!F11:AS11</f>
        <v>0</v>
      </c>
      <c r="G15" s="31">
        <v>0</v>
      </c>
      <c r="H15" s="31">
        <v>0</v>
      </c>
      <c r="I15" s="31">
        <v>0</v>
      </c>
      <c r="J15" s="31">
        <v>-9168.2982774031498</v>
      </c>
      <c r="K15" s="31">
        <v>-9168.2982774031498</v>
      </c>
      <c r="L15" s="31">
        <v>-9168.2982774031498</v>
      </c>
      <c r="M15" s="31">
        <v>-9168.2982774031498</v>
      </c>
      <c r="N15" s="31">
        <v>-9168.2982774031498</v>
      </c>
      <c r="O15" s="31">
        <v>-9168.2982774031498</v>
      </c>
      <c r="P15" s="31">
        <v>-9168.2982774031498</v>
      </c>
      <c r="Q15" s="31">
        <v>-9168.2982774031498</v>
      </c>
      <c r="R15" s="31">
        <v>-9168.2982774031498</v>
      </c>
      <c r="S15" s="31">
        <v>-9168.2982774031498</v>
      </c>
      <c r="T15" s="31">
        <v>-9168.2982774031498</v>
      </c>
      <c r="U15" s="31">
        <v>-9168.2982774031498</v>
      </c>
      <c r="V15" s="31">
        <v>-9168.2982774031498</v>
      </c>
      <c r="W15" s="31">
        <v>-9168.2982774031498</v>
      </c>
      <c r="X15" s="31">
        <v>-9168.2982774031498</v>
      </c>
      <c r="Y15" s="31">
        <v>-9168.2982774031498</v>
      </c>
      <c r="Z15" s="31">
        <v>-9168.2982774031498</v>
      </c>
      <c r="AA15" s="31">
        <v>-9168.2982774031498</v>
      </c>
      <c r="AB15" s="31">
        <v>-9168.2982774031498</v>
      </c>
      <c r="AC15" s="31">
        <v>-9168.2982774031498</v>
      </c>
      <c r="AD15" s="31">
        <v>-9168.2982774031498</v>
      </c>
      <c r="AE15" s="31">
        <v>-9168.2982774031498</v>
      </c>
      <c r="AF15" s="31">
        <v>-9168.2982774031498</v>
      </c>
      <c r="AG15" s="31">
        <v>-9168.2982774031498</v>
      </c>
      <c r="AH15" s="31">
        <v>-9168.2982774031498</v>
      </c>
      <c r="AI15" s="31">
        <v>-9168.2982774031498</v>
      </c>
      <c r="AJ15" s="31">
        <v>-9168.2982774031498</v>
      </c>
      <c r="AK15" s="31">
        <v>-9168.2982774031498</v>
      </c>
      <c r="AL15" s="31">
        <v>-9168.2982774031498</v>
      </c>
      <c r="AM15" s="31">
        <v>-9168.2982774031498</v>
      </c>
      <c r="AN15" s="31">
        <v>-9168.2982774031498</v>
      </c>
      <c r="AO15" s="31">
        <v>-9168.2982774031498</v>
      </c>
      <c r="AP15" s="31">
        <v>-9168.2982774031498</v>
      </c>
      <c r="AQ15" s="31">
        <v>-9168.2982774031498</v>
      </c>
      <c r="AR15" s="31">
        <v>-9168.2982774031498</v>
      </c>
      <c r="AS15" s="31">
        <v>-9168.2982774031498</v>
      </c>
    </row>
    <row r="18" spans="2:46" x14ac:dyDescent="0.45">
      <c r="B18" s="52" t="s">
        <v>96</v>
      </c>
      <c r="C18" s="57"/>
      <c r="D18" s="26"/>
      <c r="E18" s="26"/>
      <c r="F18" s="60">
        <f>SUM(F12+F15)</f>
        <v>0</v>
      </c>
      <c r="G18" s="60">
        <f t="shared" ref="G18:AS18" si="1">SUM(G12+G15)</f>
        <v>0</v>
      </c>
      <c r="H18" s="60">
        <f t="shared" si="1"/>
        <v>0</v>
      </c>
      <c r="I18" s="60">
        <f t="shared" si="1"/>
        <v>0</v>
      </c>
      <c r="J18" s="60">
        <f t="shared" si="1"/>
        <v>75580.136046462329</v>
      </c>
      <c r="K18" s="60">
        <f t="shared" si="1"/>
        <v>77066.869909259636</v>
      </c>
      <c r="L18" s="60">
        <f t="shared" si="1"/>
        <v>78575.009056365685</v>
      </c>
      <c r="M18" s="60">
        <f t="shared" si="1"/>
        <v>80104.648417748773</v>
      </c>
      <c r="N18" s="60">
        <f t="shared" si="1"/>
        <v>81655.871494947831</v>
      </c>
      <c r="O18" s="60">
        <f t="shared" si="1"/>
        <v>83228.749599422707</v>
      </c>
      <c r="P18" s="60">
        <f t="shared" si="1"/>
        <v>84823.341054348231</v>
      </c>
      <c r="Q18" s="60">
        <f t="shared" si="1"/>
        <v>86439.690358267762</v>
      </c>
      <c r="R18" s="60">
        <f t="shared" si="1"/>
        <v>88077.827308957116</v>
      </c>
      <c r="S18" s="60">
        <f t="shared" si="1"/>
        <v>89737.766085779265</v>
      </c>
      <c r="T18" s="60">
        <f t="shared" si="1"/>
        <v>91419.504288741664</v>
      </c>
      <c r="U18" s="60">
        <f t="shared" si="1"/>
        <v>93123.021932391246</v>
      </c>
      <c r="V18" s="60">
        <f t="shared" si="1"/>
        <v>94848.280392606917</v>
      </c>
      <c r="W18" s="60">
        <f t="shared" si="1"/>
        <v>96595.221304267689</v>
      </c>
      <c r="X18" s="60">
        <f t="shared" si="1"/>
        <v>98363.765407692073</v>
      </c>
      <c r="Y18" s="60">
        <f t="shared" si="1"/>
        <v>100153.81134165656</v>
      </c>
      <c r="Z18" s="60">
        <f t="shared" si="1"/>
        <v>101965.23438071088</v>
      </c>
      <c r="AA18" s="60">
        <f t="shared" si="1"/>
        <v>103797.88511441323</v>
      </c>
      <c r="AB18" s="60">
        <f t="shared" si="1"/>
        <v>105651.5880660112</v>
      </c>
      <c r="AC18" s="60">
        <f t="shared" si="1"/>
        <v>107526.14024799164</v>
      </c>
      <c r="AD18" s="60">
        <f t="shared" si="1"/>
        <v>109421.30965181612</v>
      </c>
      <c r="AE18" s="60">
        <f t="shared" si="1"/>
        <v>111336.83366904978</v>
      </c>
      <c r="AF18" s="60">
        <f t="shared" si="1"/>
        <v>113272.41744097408</v>
      </c>
      <c r="AG18" s="60">
        <f t="shared" si="1"/>
        <v>115227.73213365661</v>
      </c>
      <c r="AH18" s="60">
        <f t="shared" si="1"/>
        <v>117202.41313532546</v>
      </c>
      <c r="AI18" s="60">
        <f t="shared" si="1"/>
        <v>119196.05817276558</v>
      </c>
      <c r="AJ18" s="60">
        <f t="shared" si="1"/>
        <v>121208.22534332199</v>
      </c>
      <c r="AK18" s="60">
        <f t="shared" si="1"/>
        <v>123238.43105895158</v>
      </c>
      <c r="AL18" s="60">
        <f t="shared" si="1"/>
        <v>125286.1478986224</v>
      </c>
      <c r="AM18" s="60">
        <f t="shared" si="1"/>
        <v>127350.80236520433</v>
      </c>
      <c r="AN18" s="60">
        <f t="shared" si="1"/>
        <v>129431.77254284038</v>
      </c>
      <c r="AO18" s="60">
        <f t="shared" si="1"/>
        <v>131528.38565062053</v>
      </c>
      <c r="AP18" s="60">
        <f t="shared" si="1"/>
        <v>133639.91548821126</v>
      </c>
      <c r="AQ18" s="60">
        <f t="shared" si="1"/>
        <v>135765.57976891505</v>
      </c>
      <c r="AR18" s="60">
        <f t="shared" si="1"/>
        <v>137904.53733544855</v>
      </c>
      <c r="AS18" s="60">
        <f t="shared" si="1"/>
        <v>140055.88525353701</v>
      </c>
    </row>
    <row r="19" spans="2:46" x14ac:dyDescent="0.45">
      <c r="B19" s="17"/>
      <c r="C19" s="17"/>
    </row>
    <row r="21" spans="2:46" x14ac:dyDescent="0.45">
      <c r="B21" t="s">
        <v>103</v>
      </c>
      <c r="D21" s="17" t="s">
        <v>90</v>
      </c>
      <c r="F21" s="33">
        <f>Debt!E13</f>
        <v>0</v>
      </c>
      <c r="G21" s="33">
        <f>Debt!F13</f>
        <v>0</v>
      </c>
      <c r="H21" s="33">
        <f>Debt!G13</f>
        <v>0</v>
      </c>
      <c r="I21" s="33">
        <f>Debt!H13</f>
        <v>0</v>
      </c>
      <c r="J21" s="33">
        <f>Debt!I13</f>
        <v>-15768.556207305683</v>
      </c>
      <c r="K21" s="33">
        <f>Debt!J13</f>
        <v>-15670.744065272105</v>
      </c>
      <c r="L21" s="33">
        <f>Debt!K13</f>
        <v>-15565.742730799057</v>
      </c>
      <c r="M21" s="33">
        <f>Debt!L13</f>
        <v>-15453.023798242239</v>
      </c>
      <c r="N21" s="33">
        <f>Debt!M13</f>
        <v>-15332.020024142495</v>
      </c>
      <c r="O21" s="33">
        <f>Debt!N13</f>
        <v>-15202.122472646421</v>
      </c>
      <c r="P21" s="33">
        <f>Debt!O13</f>
        <v>-15062.677451115385</v>
      </c>
      <c r="Q21" s="33">
        <f>Debt!P13</f>
        <v>-14912.983220501819</v>
      </c>
      <c r="R21" s="33">
        <f>Debt!Q13</f>
        <v>-14752.286463938153</v>
      </c>
      <c r="S21" s="33">
        <f>Debt!R13</f>
        <v>-14579.778495767061</v>
      </c>
      <c r="T21" s="33">
        <f>Debt!S13</f>
        <v>-14394.591191935393</v>
      </c>
      <c r="U21" s="33">
        <f>Debt!T13</f>
        <v>-14195.792621272096</v>
      </c>
      <c r="V21" s="33">
        <f>Debt!U13</f>
        <v>-13982.382355665048</v>
      </c>
      <c r="W21" s="33">
        <f>Debt!V13</f>
        <v>-13753.28643553588</v>
      </c>
      <c r="X21" s="33">
        <f>Debt!W13</f>
        <v>-13507.351965277219</v>
      </c>
      <c r="Y21" s="33">
        <f>Debt!X13</f>
        <v>-13243.341311454547</v>
      </c>
      <c r="Z21" s="33">
        <f>Debt!Y13</f>
        <v>-12959.925874575909</v>
      </c>
      <c r="AA21" s="33">
        <f>Debt!Z13</f>
        <v>-12655.679403086691</v>
      </c>
      <c r="AB21" s="33">
        <f>Debt!AA13</f>
        <v>-12329.070815943016</v>
      </c>
      <c r="AC21" s="33">
        <f>Debt!AB13</f>
        <v>-11978.45649764428</v>
      </c>
      <c r="AD21" s="33">
        <f>Debt!AC13</f>
        <v>-11602.072026950585</v>
      </c>
      <c r="AE21" s="33">
        <f>Debt!AD13</f>
        <v>-11198.023297660906</v>
      </c>
      <c r="AF21" s="33">
        <f>Debt!AE13</f>
        <v>-10764.276986768433</v>
      </c>
      <c r="AG21" s="33">
        <f>Debt!AF13</f>
        <v>-10298.650322025367</v>
      </c>
      <c r="AH21" s="33">
        <f>Debt!AG13</f>
        <v>-9798.800097423682</v>
      </c>
      <c r="AI21" s="33">
        <f>Debt!AH13</f>
        <v>-9262.2108813137747</v>
      </c>
      <c r="AJ21" s="33">
        <f>Debt!AI13</f>
        <v>-8686.1823578197909</v>
      </c>
      <c r="AK21" s="33">
        <f>Debt!AJ13</f>
        <v>-8067.8157378489977</v>
      </c>
      <c r="AL21" s="33">
        <f>Debt!AK13</f>
        <v>-7403.9991713103518</v>
      </c>
      <c r="AM21" s="33">
        <f>Debt!AL13</f>
        <v>-6691.3920871311147</v>
      </c>
      <c r="AN21" s="33">
        <f>Debt!AM13</f>
        <v>-5926.4083822647044</v>
      </c>
      <c r="AO21" s="33">
        <f>Debt!AN13</f>
        <v>-5105.1983750906129</v>
      </c>
      <c r="AP21" s="33">
        <f>Debt!AO13</f>
        <v>-4223.6294323892243</v>
      </c>
      <c r="AQ21" s="33">
        <f>Debt!AP13</f>
        <v>-3277.2651723992849</v>
      </c>
      <c r="AR21" s="33">
        <f>Debt!AQ13</f>
        <v>-2261.3431393000847</v>
      </c>
      <c r="AS21" s="33">
        <f>Debt!AR13</f>
        <v>-1170.750836768093</v>
      </c>
    </row>
    <row r="24" spans="2:46" x14ac:dyDescent="0.45">
      <c r="B24" s="48" t="s">
        <v>104</v>
      </c>
      <c r="C24" s="58"/>
      <c r="D24" s="55" t="s">
        <v>90</v>
      </c>
      <c r="E24" s="49"/>
      <c r="F24" s="59">
        <f>SUM(F18+F21)</f>
        <v>0</v>
      </c>
      <c r="G24" s="59">
        <f t="shared" ref="G24:AS24" si="2">SUM(G18+G21)</f>
        <v>0</v>
      </c>
      <c r="H24" s="59">
        <f t="shared" si="2"/>
        <v>0</v>
      </c>
      <c r="I24" s="59">
        <f t="shared" si="2"/>
        <v>0</v>
      </c>
      <c r="J24" s="59">
        <f t="shared" si="2"/>
        <v>59811.57983915665</v>
      </c>
      <c r="K24" s="59">
        <f t="shared" si="2"/>
        <v>61396.125843987531</v>
      </c>
      <c r="L24" s="59">
        <f t="shared" si="2"/>
        <v>63009.266325566627</v>
      </c>
      <c r="M24" s="59">
        <f t="shared" si="2"/>
        <v>64651.624619506532</v>
      </c>
      <c r="N24" s="59">
        <f t="shared" si="2"/>
        <v>66323.851470805341</v>
      </c>
      <c r="O24" s="59">
        <f t="shared" si="2"/>
        <v>68026.627126776293</v>
      </c>
      <c r="P24" s="59">
        <f t="shared" si="2"/>
        <v>69760.663603232853</v>
      </c>
      <c r="Q24" s="59">
        <f t="shared" si="2"/>
        <v>71526.707137765945</v>
      </c>
      <c r="R24" s="59">
        <f t="shared" si="2"/>
        <v>73325.540845018957</v>
      </c>
      <c r="S24" s="59">
        <f t="shared" si="2"/>
        <v>75157.987590012199</v>
      </c>
      <c r="T24" s="59">
        <f t="shared" si="2"/>
        <v>77024.913096806267</v>
      </c>
      <c r="U24" s="59">
        <f t="shared" si="2"/>
        <v>78927.229311119154</v>
      </c>
      <c r="V24" s="59">
        <f t="shared" si="2"/>
        <v>80865.898036941871</v>
      </c>
      <c r="W24" s="59">
        <f t="shared" si="2"/>
        <v>82841.934868731812</v>
      </c>
      <c r="X24" s="59">
        <f t="shared" si="2"/>
        <v>84856.413442414851</v>
      </c>
      <c r="Y24" s="59">
        <f t="shared" si="2"/>
        <v>86910.470030202006</v>
      </c>
      <c r="Z24" s="59">
        <f t="shared" si="2"/>
        <v>89005.30850613497</v>
      </c>
      <c r="AA24" s="59">
        <f t="shared" si="2"/>
        <v>91142.205711326547</v>
      </c>
      <c r="AB24" s="59">
        <f t="shared" si="2"/>
        <v>93322.51725006818</v>
      </c>
      <c r="AC24" s="59">
        <f t="shared" si="2"/>
        <v>95547.683750347365</v>
      </c>
      <c r="AD24" s="59">
        <f t="shared" si="2"/>
        <v>97819.237624865535</v>
      </c>
      <c r="AE24" s="59">
        <f t="shared" si="2"/>
        <v>100138.81037138887</v>
      </c>
      <c r="AF24" s="59">
        <f t="shared" si="2"/>
        <v>102508.14045420566</v>
      </c>
      <c r="AG24" s="59">
        <f t="shared" si="2"/>
        <v>104929.08181163124</v>
      </c>
      <c r="AH24" s="59">
        <f t="shared" si="2"/>
        <v>107403.61303790178</v>
      </c>
      <c r="AI24" s="59">
        <f t="shared" si="2"/>
        <v>109933.84729145181</v>
      </c>
      <c r="AJ24" s="59">
        <f t="shared" si="2"/>
        <v>112522.04298550219</v>
      </c>
      <c r="AK24" s="59">
        <f t="shared" si="2"/>
        <v>115170.61532110258</v>
      </c>
      <c r="AL24" s="59">
        <f t="shared" si="2"/>
        <v>117882.14872731204</v>
      </c>
      <c r="AM24" s="59">
        <f t="shared" si="2"/>
        <v>120659.41027807322</v>
      </c>
      <c r="AN24" s="59">
        <f t="shared" si="2"/>
        <v>123505.36416057567</v>
      </c>
      <c r="AO24" s="59">
        <f t="shared" si="2"/>
        <v>126423.18727552993</v>
      </c>
      <c r="AP24" s="59">
        <f t="shared" si="2"/>
        <v>129416.28605582204</v>
      </c>
      <c r="AQ24" s="59">
        <f t="shared" si="2"/>
        <v>132488.31459651576</v>
      </c>
      <c r="AR24" s="59">
        <f t="shared" si="2"/>
        <v>135643.19419614846</v>
      </c>
      <c r="AS24" s="59">
        <f t="shared" si="2"/>
        <v>138885.13441676891</v>
      </c>
    </row>
    <row r="27" spans="2:46" x14ac:dyDescent="0.45">
      <c r="B27" t="s">
        <v>97</v>
      </c>
      <c r="F27" s="54">
        <f>F24*(1-Inputs!$E$37)</f>
        <v>0</v>
      </c>
      <c r="G27" s="54">
        <f>IF(G24&lt;0,0,-G24*Inputs!$E$37)</f>
        <v>0</v>
      </c>
      <c r="H27" s="54">
        <f>IF(H24&lt;0,0,-H24*Inputs!$E$37)</f>
        <v>0</v>
      </c>
      <c r="I27" s="54">
        <f>IF(I24&lt;0,0,-I24*Inputs!$E$37)</f>
        <v>0</v>
      </c>
      <c r="J27" s="54">
        <f>IF(J24&lt;0,0,-J24*Inputs!$E$37)</f>
        <v>-17943.473951746993</v>
      </c>
      <c r="K27" s="54">
        <f>IF(K24&lt;0,0,-K24*Inputs!$E$37)</f>
        <v>-18418.837753196258</v>
      </c>
      <c r="L27" s="54">
        <f>IF(L24&lt;0,0,-L24*Inputs!$E$37)</f>
        <v>-18902.779897669989</v>
      </c>
      <c r="M27" s="54">
        <f>IF(M24&lt;0,0,-M24*Inputs!$E$37)</f>
        <v>-19395.48738585196</v>
      </c>
      <c r="N27" s="54">
        <f>IF(N24&lt;0,0,-N24*Inputs!$E$37)</f>
        <v>-19897.155441241601</v>
      </c>
      <c r="O27" s="54">
        <f>IF(O24&lt;0,0,-O24*Inputs!$E$37)</f>
        <v>-20407.988138032888</v>
      </c>
      <c r="P27" s="54">
        <f>IF(P24&lt;0,0,-P24*Inputs!$E$37)</f>
        <v>-20928.199080969855</v>
      </c>
      <c r="Q27" s="54">
        <f>IF(Q24&lt;0,0,-Q24*Inputs!$E$37)</f>
        <v>-21458.012141329782</v>
      </c>
      <c r="R27" s="54">
        <f>IF(R24&lt;0,0,-R24*Inputs!$E$37)</f>
        <v>-21997.662253505685</v>
      </c>
      <c r="S27" s="54">
        <f>IF(S24&lt;0,0,-S24*Inputs!$E$37)</f>
        <v>-22547.39627700366</v>
      </c>
      <c r="T27" s="54">
        <f>IF(T24&lt;0,0,-T24*Inputs!$E$37)</f>
        <v>-23107.47392904188</v>
      </c>
      <c r="U27" s="54">
        <f>IF(U24&lt;0,0,-U24*Inputs!$E$37)</f>
        <v>-23678.168793335746</v>
      </c>
      <c r="V27" s="54">
        <f>IF(V24&lt;0,0,-V24*Inputs!$E$37)</f>
        <v>-24259.769411082561</v>
      </c>
      <c r="W27" s="54">
        <f>IF(W24&lt;0,0,-W24*Inputs!$E$37)</f>
        <v>-24852.580460619542</v>
      </c>
      <c r="X27" s="54">
        <f>IF(X24&lt;0,0,-X24*Inputs!$E$37)</f>
        <v>-25456.924032724455</v>
      </c>
      <c r="Y27" s="54">
        <f>IF(Y24&lt;0,0,-Y24*Inputs!$E$37)</f>
        <v>-26073.1410090606</v>
      </c>
      <c r="Z27" s="54">
        <f>IF(Z24&lt;0,0,-Z24*Inputs!$E$37)</f>
        <v>-26701.592551840491</v>
      </c>
      <c r="AA27" s="54">
        <f>IF(AA24&lt;0,0,-AA24*Inputs!$E$37)</f>
        <v>-27342.661713397963</v>
      </c>
      <c r="AB27" s="54">
        <f>IF(AB24&lt;0,0,-AB24*Inputs!$E$37)</f>
        <v>-27996.755175020455</v>
      </c>
      <c r="AC27" s="54">
        <f>IF(AC24&lt;0,0,-AC24*Inputs!$E$37)</f>
        <v>-28664.305125104209</v>
      </c>
      <c r="AD27" s="54">
        <f>IF(AD24&lt;0,0,-AD24*Inputs!$E$37)</f>
        <v>-29345.771287459658</v>
      </c>
      <c r="AE27" s="54">
        <f>IF(AE24&lt;0,0,-AE24*Inputs!$E$37)</f>
        <v>-30041.643111416659</v>
      </c>
      <c r="AF27" s="54">
        <f>IF(AF24&lt;0,0,-AF24*Inputs!$E$37)</f>
        <v>-30752.442136261696</v>
      </c>
      <c r="AG27" s="54">
        <f>IF(AG24&lt;0,0,-AG24*Inputs!$E$37)</f>
        <v>-31478.72454348937</v>
      </c>
      <c r="AH27" s="54">
        <f>IF(AH24&lt;0,0,-AH24*Inputs!$E$37)</f>
        <v>-32221.083911370533</v>
      </c>
      <c r="AI27" s="54">
        <f>IF(AI24&lt;0,0,-AI24*Inputs!$E$37)</f>
        <v>-32980.154187435539</v>
      </c>
      <c r="AJ27" s="54">
        <f>IF(AJ24&lt;0,0,-AJ24*Inputs!$E$37)</f>
        <v>-33756.612895650658</v>
      </c>
      <c r="AK27" s="54">
        <f>IF(AK24&lt;0,0,-AK24*Inputs!$E$37)</f>
        <v>-34551.184596330771</v>
      </c>
      <c r="AL27" s="54">
        <f>IF(AL24&lt;0,0,-AL24*Inputs!$E$37)</f>
        <v>-35364.644618193612</v>
      </c>
      <c r="AM27" s="54">
        <f>IF(AM24&lt;0,0,-AM24*Inputs!$E$37)</f>
        <v>-36197.823083421965</v>
      </c>
      <c r="AN27" s="54">
        <f>IF(AN24&lt;0,0,-AN24*Inputs!$E$37)</f>
        <v>-37051.609248172703</v>
      </c>
      <c r="AO27" s="54">
        <f>IF(AO24&lt;0,0,-AO24*Inputs!$E$37)</f>
        <v>-37926.956182658978</v>
      </c>
      <c r="AP27" s="54">
        <f>IF(AP24&lt;0,0,-AP24*Inputs!$E$37)</f>
        <v>-38824.88581674661</v>
      </c>
      <c r="AQ27" s="54">
        <f>IF(AQ24&lt;0,0,-AQ24*Inputs!$E$37)</f>
        <v>-39746.494378954725</v>
      </c>
      <c r="AR27" s="54">
        <f>IF(AR24&lt;0,0,-AR24*Inputs!$E$37)</f>
        <v>-40692.958258844534</v>
      </c>
      <c r="AS27" s="54">
        <f>IF(AS24&lt;0,0,-AS24*Inputs!$E$37)</f>
        <v>-41665.54032503067</v>
      </c>
    </row>
    <row r="30" spans="2:46" x14ac:dyDescent="0.45">
      <c r="B30" s="25" t="s">
        <v>98</v>
      </c>
      <c r="C30" s="26"/>
      <c r="D30" s="26"/>
      <c r="E30" s="26"/>
      <c r="F30" s="60">
        <f>SUM(F24+F27)</f>
        <v>0</v>
      </c>
      <c r="G30" s="60">
        <f>SUM(G24+G27)</f>
        <v>0</v>
      </c>
      <c r="H30" s="60">
        <f t="shared" ref="H30:AS30" si="3">SUM(H24+H27)</f>
        <v>0</v>
      </c>
      <c r="I30" s="60">
        <f t="shared" si="3"/>
        <v>0</v>
      </c>
      <c r="J30" s="60">
        <f t="shared" si="3"/>
        <v>41868.105887409656</v>
      </c>
      <c r="K30" s="60">
        <f t="shared" si="3"/>
        <v>42977.288090791277</v>
      </c>
      <c r="L30" s="60">
        <f t="shared" si="3"/>
        <v>44106.486427896642</v>
      </c>
      <c r="M30" s="60">
        <f t="shared" si="3"/>
        <v>45256.137233654576</v>
      </c>
      <c r="N30" s="60">
        <f t="shared" si="3"/>
        <v>46426.69602956374</v>
      </c>
      <c r="O30" s="60">
        <f t="shared" si="3"/>
        <v>47618.638988743405</v>
      </c>
      <c r="P30" s="60">
        <f t="shared" si="3"/>
        <v>48832.464522262999</v>
      </c>
      <c r="Q30" s="60">
        <f t="shared" si="3"/>
        <v>50068.694996436163</v>
      </c>
      <c r="R30" s="60">
        <f t="shared" si="3"/>
        <v>51327.878591513276</v>
      </c>
      <c r="S30" s="60">
        <f t="shared" si="3"/>
        <v>52610.591313008539</v>
      </c>
      <c r="T30" s="60">
        <f t="shared" si="3"/>
        <v>53917.439167764387</v>
      </c>
      <c r="U30" s="60">
        <f t="shared" si="3"/>
        <v>55249.060517783408</v>
      </c>
      <c r="V30" s="60">
        <f t="shared" si="3"/>
        <v>56606.12862585931</v>
      </c>
      <c r="W30" s="60">
        <f t="shared" si="3"/>
        <v>57989.354408112267</v>
      </c>
      <c r="X30" s="60">
        <f t="shared" si="3"/>
        <v>59399.489409690395</v>
      </c>
      <c r="Y30" s="60">
        <f t="shared" si="3"/>
        <v>60837.329021141406</v>
      </c>
      <c r="Z30" s="60">
        <f t="shared" si="3"/>
        <v>62303.715954294479</v>
      </c>
      <c r="AA30" s="60">
        <f t="shared" si="3"/>
        <v>63799.543997928587</v>
      </c>
      <c r="AB30" s="60">
        <f t="shared" si="3"/>
        <v>65325.762075047722</v>
      </c>
      <c r="AC30" s="60">
        <f t="shared" si="3"/>
        <v>66883.37862524316</v>
      </c>
      <c r="AD30" s="60">
        <f t="shared" si="3"/>
        <v>68473.466337405873</v>
      </c>
      <c r="AE30" s="60">
        <f t="shared" si="3"/>
        <v>70097.167259972208</v>
      </c>
      <c r="AF30" s="60">
        <f t="shared" si="3"/>
        <v>71755.698317943956</v>
      </c>
      <c r="AG30" s="60">
        <f t="shared" si="3"/>
        <v>73450.357268141874</v>
      </c>
      <c r="AH30" s="60">
        <f t="shared" si="3"/>
        <v>75182.529126531255</v>
      </c>
      <c r="AI30" s="60">
        <f t="shared" si="3"/>
        <v>76953.693104016274</v>
      </c>
      <c r="AJ30" s="60">
        <f t="shared" si="3"/>
        <v>78765.430089851536</v>
      </c>
      <c r="AK30" s="60">
        <f t="shared" si="3"/>
        <v>80619.43072477181</v>
      </c>
      <c r="AL30" s="60">
        <f t="shared" si="3"/>
        <v>82517.504109118425</v>
      </c>
      <c r="AM30" s="60">
        <f t="shared" si="3"/>
        <v>84461.587194651249</v>
      </c>
      <c r="AN30" s="60">
        <f t="shared" si="3"/>
        <v>86453.754912402976</v>
      </c>
      <c r="AO30" s="60">
        <f t="shared" si="3"/>
        <v>88496.231092870948</v>
      </c>
      <c r="AP30" s="60">
        <f t="shared" si="3"/>
        <v>90591.400239075432</v>
      </c>
      <c r="AQ30" s="60">
        <f t="shared" si="3"/>
        <v>92741.820217561035</v>
      </c>
      <c r="AR30" s="60">
        <f t="shared" si="3"/>
        <v>94950.235937303922</v>
      </c>
      <c r="AS30" s="60">
        <f t="shared" si="3"/>
        <v>97219.59409173824</v>
      </c>
      <c r="AT3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A802-6B8C-485A-9A49-65C26880341E}">
  <sheetPr codeName="Sheet7"/>
  <dimension ref="A2:AS16"/>
  <sheetViews>
    <sheetView showGridLines="0" topLeftCell="B1" workbookViewId="0">
      <selection activeCell="I13" sqref="I13"/>
    </sheetView>
  </sheetViews>
  <sheetFormatPr defaultColWidth="0" defaultRowHeight="14.25" x14ac:dyDescent="0.45"/>
  <cols>
    <col min="1" max="1" width="6.6640625" customWidth="1"/>
    <col min="2" max="2" width="28.33203125" customWidth="1"/>
    <col min="3" max="4" width="8.86328125" customWidth="1"/>
    <col min="5" max="45" width="10.796875" customWidth="1"/>
    <col min="46" max="16384" width="8.86328125" hidden="1"/>
  </cols>
  <sheetData>
    <row r="2" spans="2:45" x14ac:dyDescent="0.45">
      <c r="B2" s="18" t="s">
        <v>43</v>
      </c>
      <c r="C2" s="29"/>
      <c r="D2" s="15"/>
      <c r="E2" s="29">
        <v>1</v>
      </c>
      <c r="F2" s="29">
        <v>2</v>
      </c>
      <c r="G2" s="29">
        <v>3</v>
      </c>
      <c r="H2" s="29">
        <v>4</v>
      </c>
      <c r="I2" s="29">
        <v>5</v>
      </c>
      <c r="J2" s="29">
        <v>6</v>
      </c>
      <c r="K2" s="29">
        <v>7</v>
      </c>
      <c r="L2" s="29">
        <v>8</v>
      </c>
      <c r="M2" s="29">
        <v>9</v>
      </c>
      <c r="N2" s="29">
        <v>10</v>
      </c>
      <c r="O2" s="29">
        <v>11</v>
      </c>
      <c r="P2" s="29">
        <v>12</v>
      </c>
      <c r="Q2" s="29">
        <v>13</v>
      </c>
      <c r="R2" s="29">
        <v>14</v>
      </c>
      <c r="S2" s="29">
        <v>15</v>
      </c>
      <c r="T2" s="29">
        <v>16</v>
      </c>
      <c r="U2" s="29">
        <v>17</v>
      </c>
      <c r="V2" s="29">
        <v>18</v>
      </c>
      <c r="W2" s="29">
        <v>19</v>
      </c>
      <c r="X2" s="29">
        <v>20</v>
      </c>
      <c r="Y2" s="29">
        <v>21</v>
      </c>
      <c r="Z2" s="29">
        <v>22</v>
      </c>
      <c r="AA2" s="29">
        <v>23</v>
      </c>
      <c r="AB2" s="29">
        <v>24</v>
      </c>
      <c r="AC2" s="29">
        <v>25</v>
      </c>
      <c r="AD2" s="29">
        <v>26</v>
      </c>
      <c r="AE2" s="29">
        <v>27</v>
      </c>
      <c r="AF2" s="29">
        <v>28</v>
      </c>
      <c r="AG2" s="29">
        <v>29</v>
      </c>
      <c r="AH2" s="29">
        <v>30</v>
      </c>
      <c r="AI2" s="29">
        <v>31</v>
      </c>
      <c r="AJ2" s="29">
        <v>32</v>
      </c>
      <c r="AK2" s="29">
        <v>33</v>
      </c>
      <c r="AL2" s="29">
        <v>34</v>
      </c>
      <c r="AM2" s="29">
        <v>35</v>
      </c>
      <c r="AN2" s="29">
        <v>36</v>
      </c>
      <c r="AO2" s="29">
        <v>37</v>
      </c>
      <c r="AP2" s="29">
        <v>38</v>
      </c>
      <c r="AQ2" s="29">
        <v>39</v>
      </c>
      <c r="AR2" s="30">
        <v>40</v>
      </c>
    </row>
    <row r="5" spans="2:45" x14ac:dyDescent="0.45">
      <c r="B5" s="18" t="s">
        <v>106</v>
      </c>
      <c r="C5" s="29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/>
    </row>
    <row r="7" spans="2:45" x14ac:dyDescent="0.45">
      <c r="B7" t="s">
        <v>107</v>
      </c>
      <c r="C7" s="17" t="s">
        <v>90</v>
      </c>
      <c r="E7" s="33">
        <f>Construction!E33</f>
        <v>0</v>
      </c>
      <c r="F7" s="33">
        <f>Construction!F33</f>
        <v>0</v>
      </c>
      <c r="G7" s="33">
        <f>F10</f>
        <v>46482.849566458375</v>
      </c>
      <c r="H7" s="33">
        <f t="shared" ref="H7:AR7" si="0">G10</f>
        <v>128340.27027566955</v>
      </c>
      <c r="I7" s="33">
        <f t="shared" si="0"/>
        <v>214538.17969123376</v>
      </c>
      <c r="J7" s="33">
        <f t="shared" si="0"/>
        <v>213207.40224860003</v>
      </c>
      <c r="K7" s="33">
        <f t="shared" si="0"/>
        <v>211778.81266393271</v>
      </c>
      <c r="L7" s="33">
        <f t="shared" si="0"/>
        <v>210245.22174479233</v>
      </c>
      <c r="M7" s="33">
        <f t="shared" si="0"/>
        <v>208598.91189309515</v>
      </c>
      <c r="N7" s="33">
        <f t="shared" si="0"/>
        <v>206831.59826729822</v>
      </c>
      <c r="O7" s="33">
        <f t="shared" si="0"/>
        <v>204934.38709000521</v>
      </c>
      <c r="P7" s="33">
        <f t="shared" si="0"/>
        <v>202897.73089118119</v>
      </c>
      <c r="Q7" s="33">
        <f t="shared" si="0"/>
        <v>200711.38046174357</v>
      </c>
      <c r="R7" s="33">
        <f t="shared" si="0"/>
        <v>198364.3332757423</v>
      </c>
      <c r="S7" s="33">
        <f t="shared" si="0"/>
        <v>195844.77812156995</v>
      </c>
      <c r="T7" s="33">
        <f t="shared" si="0"/>
        <v>193140.03566356591</v>
      </c>
      <c r="U7" s="33">
        <f t="shared" si="0"/>
        <v>190236.49463489858</v>
      </c>
      <c r="V7" s="33">
        <f t="shared" si="0"/>
        <v>187119.54334062419</v>
      </c>
      <c r="W7" s="33">
        <f t="shared" si="0"/>
        <v>183773.49612622065</v>
      </c>
      <c r="X7" s="33">
        <f t="shared" si="0"/>
        <v>180181.51444155845</v>
      </c>
      <c r="Y7" s="33">
        <f t="shared" si="0"/>
        <v>176325.52210307357</v>
      </c>
      <c r="Z7" s="33">
        <f t="shared" si="0"/>
        <v>172186.11432771006</v>
      </c>
      <c r="AA7" s="33">
        <f t="shared" si="0"/>
        <v>167742.46008085733</v>
      </c>
      <c r="AB7" s="33">
        <f t="shared" si="0"/>
        <v>162972.19724686092</v>
      </c>
      <c r="AC7" s="33">
        <f t="shared" si="0"/>
        <v>157851.32009456577</v>
      </c>
      <c r="AD7" s="33">
        <f t="shared" si="0"/>
        <v>152354.05847157692</v>
      </c>
      <c r="AE7" s="33">
        <f t="shared" si="0"/>
        <v>146452.7481192984</v>
      </c>
      <c r="AF7" s="33">
        <f t="shared" si="0"/>
        <v>140117.69145612742</v>
      </c>
      <c r="AG7" s="33">
        <f t="shared" si="0"/>
        <v>133317.00812821335</v>
      </c>
      <c r="AH7" s="33">
        <f t="shared" si="0"/>
        <v>126016.4745756976</v>
      </c>
      <c r="AI7" s="33">
        <f t="shared" si="0"/>
        <v>118179.35180707196</v>
      </c>
      <c r="AJ7" s="33">
        <f t="shared" si="0"/>
        <v>109766.20051495233</v>
      </c>
      <c r="AK7" s="33">
        <f t="shared" si="0"/>
        <v>100734.68260286191</v>
      </c>
      <c r="AL7" s="33">
        <f t="shared" si="0"/>
        <v>91039.348124232842</v>
      </c>
      <c r="AM7" s="33">
        <f t="shared" si="0"/>
        <v>80631.406561424534</v>
      </c>
      <c r="AN7" s="33">
        <f t="shared" si="0"/>
        <v>69458.481293749821</v>
      </c>
      <c r="AO7" s="33">
        <f t="shared" si="0"/>
        <v>57464.346018901007</v>
      </c>
      <c r="AP7" s="33">
        <f t="shared" si="0"/>
        <v>44588.641801350808</v>
      </c>
      <c r="AQ7" s="33">
        <f t="shared" si="0"/>
        <v>30766.57332381067</v>
      </c>
      <c r="AR7" s="33">
        <f t="shared" si="0"/>
        <v>15928.582813171332</v>
      </c>
    </row>
    <row r="8" spans="2:45" x14ac:dyDescent="0.45">
      <c r="B8" t="s">
        <v>108</v>
      </c>
      <c r="C8" s="17" t="s">
        <v>90</v>
      </c>
      <c r="E8" s="33">
        <f>Construction!E34</f>
        <v>0</v>
      </c>
      <c r="F8" s="33">
        <f>Construction!F34</f>
        <v>46482.849566458375</v>
      </c>
      <c r="G8" s="33">
        <f>Construction!G34</f>
        <v>81857.420709211176</v>
      </c>
      <c r="H8" s="33">
        <f>Construction!H34</f>
        <v>86197.909415564209</v>
      </c>
      <c r="I8" s="33">
        <f>Construction!I34</f>
        <v>0</v>
      </c>
      <c r="J8" s="33">
        <f>Construction!J34</f>
        <v>0</v>
      </c>
      <c r="K8" s="33">
        <f>Construction!K34</f>
        <v>0</v>
      </c>
      <c r="L8" s="33">
        <f>Construction!L34</f>
        <v>0</v>
      </c>
      <c r="M8" s="33">
        <f>Construction!M34</f>
        <v>0</v>
      </c>
      <c r="N8" s="33">
        <f>Construction!N34</f>
        <v>0</v>
      </c>
      <c r="O8" s="33">
        <f>Construction!O34</f>
        <v>0</v>
      </c>
      <c r="P8" s="33">
        <f>Construction!P34</f>
        <v>0</v>
      </c>
      <c r="Q8" s="33">
        <f>Construction!Q34</f>
        <v>0</v>
      </c>
      <c r="R8" s="33">
        <f>Construction!R34</f>
        <v>0</v>
      </c>
      <c r="S8" s="33">
        <f>Construction!S34</f>
        <v>0</v>
      </c>
      <c r="T8" s="33">
        <f>Construction!T34</f>
        <v>0</v>
      </c>
      <c r="U8" s="33">
        <f>Construction!U34</f>
        <v>0</v>
      </c>
      <c r="V8" s="33">
        <f>Construction!V34</f>
        <v>0</v>
      </c>
      <c r="W8" s="33">
        <f>Construction!W34</f>
        <v>0</v>
      </c>
      <c r="X8" s="33">
        <f>Construction!X34</f>
        <v>0</v>
      </c>
      <c r="Y8" s="33">
        <f>Construction!Y34</f>
        <v>0</v>
      </c>
      <c r="Z8" s="33">
        <f>Construction!Z34</f>
        <v>0</v>
      </c>
      <c r="AA8" s="33">
        <f>Construction!AA34</f>
        <v>0</v>
      </c>
      <c r="AB8" s="33">
        <f>Construction!AB34</f>
        <v>0</v>
      </c>
      <c r="AC8" s="33">
        <f>Construction!AC34</f>
        <v>0</v>
      </c>
      <c r="AD8" s="33">
        <f>Construction!AD34</f>
        <v>0</v>
      </c>
      <c r="AE8" s="33">
        <f>Construction!AE34</f>
        <v>0</v>
      </c>
      <c r="AF8" s="33">
        <f>Construction!AF34</f>
        <v>0</v>
      </c>
      <c r="AG8" s="33">
        <f>Construction!AG34</f>
        <v>0</v>
      </c>
      <c r="AH8" s="33">
        <f>Construction!AH34</f>
        <v>0</v>
      </c>
      <c r="AI8" s="33">
        <f>Construction!AI34</f>
        <v>0</v>
      </c>
      <c r="AJ8" s="33">
        <f>Construction!AJ34</f>
        <v>0</v>
      </c>
      <c r="AK8" s="33">
        <f>Construction!AK34</f>
        <v>0</v>
      </c>
      <c r="AL8" s="33">
        <f>Construction!AL34</f>
        <v>0</v>
      </c>
      <c r="AM8" s="33">
        <f>Construction!AM34</f>
        <v>0</v>
      </c>
      <c r="AN8" s="33">
        <f>Construction!AN34</f>
        <v>0</v>
      </c>
      <c r="AO8" s="33">
        <f>Construction!AO34</f>
        <v>0</v>
      </c>
      <c r="AP8" s="33">
        <f>Construction!AP34</f>
        <v>0</v>
      </c>
      <c r="AQ8" s="33">
        <f>Construction!AQ34</f>
        <v>0</v>
      </c>
      <c r="AR8" s="33">
        <f>Construction!AR34</f>
        <v>0</v>
      </c>
    </row>
    <row r="9" spans="2:45" x14ac:dyDescent="0.45">
      <c r="B9" t="s">
        <v>109</v>
      </c>
      <c r="C9" s="17" t="s">
        <v>90</v>
      </c>
      <c r="E9" s="33">
        <f>IF(TBA!D10=1,PPMT(SUM(Inputs!$E$29+Inputs!$E$30),E2-$H$2,TBA!$C$10,Construction!$C$34),0)</f>
        <v>0</v>
      </c>
      <c r="F9" s="33">
        <f>IF(TBA!E10=1,PPMT(SUM(Inputs!$E$29+Inputs!$E$30),F2-$H$2,TBA!$C$10,Construction!$C$34),0)</f>
        <v>0</v>
      </c>
      <c r="G9" s="33">
        <f>IF(TBA!F10=1,PPMT(SUM(Inputs!$E$29+Inputs!$E$30),G2-$H$2,TBA!$C$10,Construction!$C$34),0)</f>
        <v>0</v>
      </c>
      <c r="H9" s="33">
        <f>IF(TBA!G10=1,PPMT(SUM(Inputs!$E$29+Inputs!$E$30),H2-$H$2,TBA!$C$10,Construction!$C$34),0)</f>
        <v>0</v>
      </c>
      <c r="I9" s="33">
        <f>IF(TBA!H10=1,PPMT(SUM(Inputs!$E$29+Inputs!$E$30),I2-$H$2,TBA!$C$10,Construction!$C$34),0)</f>
        <v>-1330.7774426337407</v>
      </c>
      <c r="J9" s="33">
        <f>IF(TBA!I10=1,PPMT(SUM(Inputs!$E$29+Inputs!$E$30),J2-$H$2,TBA!$C$10,Construction!$C$34),0)</f>
        <v>-1428.5895846673207</v>
      </c>
      <c r="K9" s="33">
        <f>IF(TBA!J10=1,PPMT(SUM(Inputs!$E$29+Inputs!$E$30),K2-$H$2,TBA!$C$10,Construction!$C$34),0)</f>
        <v>-1533.5909191403691</v>
      </c>
      <c r="L9" s="33">
        <f>IF(TBA!K10=1,PPMT(SUM(Inputs!$E$29+Inputs!$E$30),L2-$H$2,TBA!$C$10,Construction!$C$34),0)</f>
        <v>-1646.3098516971856</v>
      </c>
      <c r="M9" s="33">
        <f>IF(TBA!L10=1,PPMT(SUM(Inputs!$E$29+Inputs!$E$30),M2-$H$2,TBA!$C$10,Construction!$C$34),0)</f>
        <v>-1767.313625796929</v>
      </c>
      <c r="N9" s="33">
        <f>IF(TBA!M10=1,PPMT(SUM(Inputs!$E$29+Inputs!$E$30),N2-$H$2,TBA!$C$10,Construction!$C$34),0)</f>
        <v>-1897.2111772930039</v>
      </c>
      <c r="O9" s="33">
        <f>IF(TBA!N10=1,PPMT(SUM(Inputs!$E$29+Inputs!$E$30),O2-$H$2,TBA!$C$10,Construction!$C$34),0)</f>
        <v>-2036.6561988240389</v>
      </c>
      <c r="P9" s="33">
        <f>IF(TBA!O10=1,PPMT(SUM(Inputs!$E$29+Inputs!$E$30),P2-$H$2,TBA!$C$10,Construction!$C$34),0)</f>
        <v>-2186.3504294376062</v>
      </c>
      <c r="Q9" s="33">
        <f>IF(TBA!P10=1,PPMT(SUM(Inputs!$E$29+Inputs!$E$30),Q2-$H$2,TBA!$C$10,Construction!$C$34),0)</f>
        <v>-2347.0471860012699</v>
      </c>
      <c r="R9" s="33">
        <f>IF(TBA!Q10=1,PPMT(SUM(Inputs!$E$29+Inputs!$E$30),R2-$H$2,TBA!$C$10,Construction!$C$34),0)</f>
        <v>-2519.5551541723639</v>
      </c>
      <c r="S9" s="33">
        <f>IF(TBA!R10=1,PPMT(SUM(Inputs!$E$29+Inputs!$E$30),S2-$H$2,TBA!$C$10,Construction!$C$34),0)</f>
        <v>-2704.742458004032</v>
      </c>
      <c r="T9" s="33">
        <f>IF(TBA!S10=1,PPMT(SUM(Inputs!$E$29+Inputs!$E$30),T2-$H$2,TBA!$C$10,Construction!$C$34),0)</f>
        <v>-2903.5410286673282</v>
      </c>
      <c r="U9" s="33">
        <f>IF(TBA!T10=1,PPMT(SUM(Inputs!$E$29+Inputs!$E$30),U2-$H$2,TBA!$C$10,Construction!$C$34),0)</f>
        <v>-3116.9512942743772</v>
      </c>
      <c r="V9" s="33">
        <f>IF(TBA!U10=1,PPMT(SUM(Inputs!$E$29+Inputs!$E$30),V2-$H$2,TBA!$C$10,Construction!$C$34),0)</f>
        <v>-3346.0472144035443</v>
      </c>
      <c r="W9" s="33">
        <f>IF(TBA!V10=1,PPMT(SUM(Inputs!$E$29+Inputs!$E$30),W2-$H$2,TBA!$C$10,Construction!$C$34),0)</f>
        <v>-3591.9816846622048</v>
      </c>
      <c r="X9" s="33">
        <f>IF(TBA!W10=1,PPMT(SUM(Inputs!$E$29+Inputs!$E$30),X2-$H$2,TBA!$C$10,Construction!$C$34),0)</f>
        <v>-3855.9923384848762</v>
      </c>
      <c r="Y9" s="33">
        <f>IF(TBA!X10=1,PPMT(SUM(Inputs!$E$29+Inputs!$E$30),Y2-$H$2,TBA!$C$10,Construction!$C$34),0)</f>
        <v>-4139.4077753635156</v>
      </c>
      <c r="Z9" s="33">
        <f>IF(TBA!Y10=1,PPMT(SUM(Inputs!$E$29+Inputs!$E$30),Z2-$H$2,TBA!$C$10,Construction!$C$34),0)</f>
        <v>-4443.6542468527341</v>
      </c>
      <c r="AA9" s="33">
        <f>IF(TBA!Z10=1,PPMT(SUM(Inputs!$E$29+Inputs!$E$30),AA2-$H$2,TBA!$C$10,Construction!$C$34),0)</f>
        <v>-4770.2628339964094</v>
      </c>
      <c r="AB9" s="33">
        <f>IF(TBA!AA10=1,PPMT(SUM(Inputs!$E$29+Inputs!$E$30),AB2-$H$2,TBA!$C$10,Construction!$C$34),0)</f>
        <v>-5120.8771522951447</v>
      </c>
      <c r="AC9" s="33">
        <f>IF(TBA!AB10=1,PPMT(SUM(Inputs!$E$29+Inputs!$E$30),AC2-$H$2,TBA!$C$10,Construction!$C$34),0)</f>
        <v>-5497.261622988839</v>
      </c>
      <c r="AD9" s="33">
        <f>IF(TBA!AC10=1,PPMT(SUM(Inputs!$E$29+Inputs!$E$30),AD2-$H$2,TBA!$C$10,Construction!$C$34),0)</f>
        <v>-5901.3103522785186</v>
      </c>
      <c r="AE9" s="33">
        <f>IF(TBA!AD10=1,PPMT(SUM(Inputs!$E$29+Inputs!$E$30),AE2-$H$2,TBA!$C$10,Construction!$C$34),0)</f>
        <v>-6335.0566631709889</v>
      </c>
      <c r="AF9" s="33">
        <f>IF(TBA!AE10=1,PPMT(SUM(Inputs!$E$29+Inputs!$E$30),AF2-$H$2,TBA!$C$10,Construction!$C$34),0)</f>
        <v>-6800.6833279140574</v>
      </c>
      <c r="AG9" s="33">
        <f>IF(TBA!AF10=1,PPMT(SUM(Inputs!$E$29+Inputs!$E$30),AG2-$H$2,TBA!$C$10,Construction!$C$34),0)</f>
        <v>-7300.5335525157407</v>
      </c>
      <c r="AH9" s="33">
        <f>IF(TBA!AG10=1,PPMT(SUM(Inputs!$E$29+Inputs!$E$30),AH2-$H$2,TBA!$C$10,Construction!$C$34),0)</f>
        <v>-7837.122768625647</v>
      </c>
      <c r="AI9" s="33">
        <f>IF(TBA!AH10=1,PPMT(SUM(Inputs!$E$29+Inputs!$E$30),AI2-$H$2,TBA!$C$10,Construction!$C$34),0)</f>
        <v>-8413.1512921196336</v>
      </c>
      <c r="AJ9" s="33">
        <f>IF(TBA!AI10=1,PPMT(SUM(Inputs!$E$29+Inputs!$E$30),AJ2-$H$2,TBA!$C$10,Construction!$C$34),0)</f>
        <v>-9031.5179120904268</v>
      </c>
      <c r="AK9" s="33">
        <f>IF(TBA!AJ10=1,PPMT(SUM(Inputs!$E$29+Inputs!$E$30),AK2-$H$2,TBA!$C$10,Construction!$C$34),0)</f>
        <v>-9695.3344786290709</v>
      </c>
      <c r="AL9" s="33">
        <f>IF(TBA!AK10=1,PPMT(SUM(Inputs!$E$29+Inputs!$E$30),AL2-$H$2,TBA!$C$10,Construction!$C$34),0)</f>
        <v>-10407.94156280831</v>
      </c>
      <c r="AM9" s="33">
        <f>IF(TBA!AL10=1,PPMT(SUM(Inputs!$E$29+Inputs!$E$30),AM2-$H$2,TBA!$C$10,Construction!$C$34),0)</f>
        <v>-11172.92526767472</v>
      </c>
      <c r="AN9" s="33">
        <f>IF(TBA!AM10=1,PPMT(SUM(Inputs!$E$29+Inputs!$E$30),AN2-$H$2,TBA!$C$10,Construction!$C$34),0)</f>
        <v>-11994.135274848812</v>
      </c>
      <c r="AO9" s="33">
        <f>IF(TBA!AN10=1,PPMT(SUM(Inputs!$E$29+Inputs!$E$30),AO2-$H$2,TBA!$C$10,Construction!$C$34),0)</f>
        <v>-12875.704217550199</v>
      </c>
      <c r="AP9" s="33">
        <f>IF(TBA!AO10=1,PPMT(SUM(Inputs!$E$29+Inputs!$E$30),AP2-$H$2,TBA!$C$10,Construction!$C$34),0)</f>
        <v>-13822.068477540139</v>
      </c>
      <c r="AQ9" s="33">
        <f>IF(TBA!AP10=1,PPMT(SUM(Inputs!$E$29+Inputs!$E$30),AQ2-$H$2,TBA!$C$10,Construction!$C$34),0)</f>
        <v>-14837.990510639338</v>
      </c>
      <c r="AR9" s="33">
        <f>IF(TBA!AQ10=1,PPMT(SUM(Inputs!$E$29+Inputs!$E$30),AR2-$H$2,TBA!$C$10,Construction!$C$34),0)</f>
        <v>-15928.582813171332</v>
      </c>
    </row>
    <row r="10" spans="2:45" x14ac:dyDescent="0.45">
      <c r="B10" t="s">
        <v>110</v>
      </c>
      <c r="C10" s="17" t="s">
        <v>90</v>
      </c>
      <c r="E10" s="17">
        <f>SUM(E7:E9)</f>
        <v>0</v>
      </c>
      <c r="F10" s="33">
        <f t="shared" ref="F10:AR10" si="1">SUM(F7:F9)</f>
        <v>46482.849566458375</v>
      </c>
      <c r="G10" s="33">
        <f t="shared" si="1"/>
        <v>128340.27027566955</v>
      </c>
      <c r="H10" s="33">
        <f t="shared" si="1"/>
        <v>214538.17969123376</v>
      </c>
      <c r="I10" s="33">
        <f t="shared" si="1"/>
        <v>213207.40224860003</v>
      </c>
      <c r="J10" s="33">
        <f t="shared" si="1"/>
        <v>211778.81266393271</v>
      </c>
      <c r="K10" s="33">
        <f t="shared" si="1"/>
        <v>210245.22174479233</v>
      </c>
      <c r="L10" s="33">
        <f t="shared" si="1"/>
        <v>208598.91189309515</v>
      </c>
      <c r="M10" s="33">
        <f t="shared" si="1"/>
        <v>206831.59826729822</v>
      </c>
      <c r="N10" s="33">
        <f t="shared" si="1"/>
        <v>204934.38709000521</v>
      </c>
      <c r="O10" s="33">
        <f t="shared" si="1"/>
        <v>202897.73089118119</v>
      </c>
      <c r="P10" s="33">
        <f t="shared" si="1"/>
        <v>200711.38046174357</v>
      </c>
      <c r="Q10" s="33">
        <f t="shared" si="1"/>
        <v>198364.3332757423</v>
      </c>
      <c r="R10" s="33">
        <f t="shared" si="1"/>
        <v>195844.77812156995</v>
      </c>
      <c r="S10" s="33">
        <f t="shared" si="1"/>
        <v>193140.03566356591</v>
      </c>
      <c r="T10" s="33">
        <f t="shared" si="1"/>
        <v>190236.49463489858</v>
      </c>
      <c r="U10" s="33">
        <f t="shared" si="1"/>
        <v>187119.54334062419</v>
      </c>
      <c r="V10" s="33">
        <f t="shared" si="1"/>
        <v>183773.49612622065</v>
      </c>
      <c r="W10" s="33">
        <f t="shared" si="1"/>
        <v>180181.51444155845</v>
      </c>
      <c r="X10" s="33">
        <f t="shared" si="1"/>
        <v>176325.52210307357</v>
      </c>
      <c r="Y10" s="33">
        <f t="shared" si="1"/>
        <v>172186.11432771006</v>
      </c>
      <c r="Z10" s="33">
        <f t="shared" si="1"/>
        <v>167742.46008085733</v>
      </c>
      <c r="AA10" s="33">
        <f t="shared" si="1"/>
        <v>162972.19724686092</v>
      </c>
      <c r="AB10" s="33">
        <f t="shared" si="1"/>
        <v>157851.32009456577</v>
      </c>
      <c r="AC10" s="33">
        <f t="shared" si="1"/>
        <v>152354.05847157692</v>
      </c>
      <c r="AD10" s="33">
        <f t="shared" si="1"/>
        <v>146452.7481192984</v>
      </c>
      <c r="AE10" s="33">
        <f t="shared" si="1"/>
        <v>140117.69145612742</v>
      </c>
      <c r="AF10" s="33">
        <f t="shared" si="1"/>
        <v>133317.00812821335</v>
      </c>
      <c r="AG10" s="33">
        <f t="shared" si="1"/>
        <v>126016.4745756976</v>
      </c>
      <c r="AH10" s="33">
        <f t="shared" si="1"/>
        <v>118179.35180707196</v>
      </c>
      <c r="AI10" s="33">
        <f t="shared" si="1"/>
        <v>109766.20051495233</v>
      </c>
      <c r="AJ10" s="33">
        <f t="shared" si="1"/>
        <v>100734.68260286191</v>
      </c>
      <c r="AK10" s="33">
        <f t="shared" si="1"/>
        <v>91039.348124232842</v>
      </c>
      <c r="AL10" s="33">
        <f t="shared" si="1"/>
        <v>80631.406561424534</v>
      </c>
      <c r="AM10" s="33">
        <f t="shared" si="1"/>
        <v>69458.481293749821</v>
      </c>
      <c r="AN10" s="33">
        <f t="shared" si="1"/>
        <v>57464.346018901007</v>
      </c>
      <c r="AO10" s="33">
        <f t="shared" si="1"/>
        <v>44588.641801350808</v>
      </c>
      <c r="AP10" s="33">
        <f t="shared" si="1"/>
        <v>30766.57332381067</v>
      </c>
      <c r="AQ10" s="33">
        <f t="shared" si="1"/>
        <v>15928.582813171332</v>
      </c>
      <c r="AR10" s="33">
        <f t="shared" si="1"/>
        <v>0</v>
      </c>
    </row>
    <row r="13" spans="2:45" x14ac:dyDescent="0.45">
      <c r="B13" t="s">
        <v>111</v>
      </c>
      <c r="C13" s="17" t="s">
        <v>90</v>
      </c>
      <c r="E13" s="33">
        <f>-(Inputs!$E$29+Inputs!$E$30)*Debt!E7*TBA!D19</f>
        <v>0</v>
      </c>
      <c r="F13" s="33">
        <f>-(Inputs!$E$29+Inputs!$E$30)*Debt!F7*TBA!E19</f>
        <v>0</v>
      </c>
      <c r="G13" s="33">
        <f>-(Inputs!$E$29+Inputs!$E$30)*Debt!G7*TBA!F19</f>
        <v>0</v>
      </c>
      <c r="H13" s="33">
        <f>-(Inputs!$E$29+Inputs!$E$30)*Debt!H7*TBA!G19</f>
        <v>0</v>
      </c>
      <c r="I13" s="33">
        <f>-(Inputs!$E$29+Inputs!$E$30)*Debt!I7*TBA!H19</f>
        <v>-15768.556207305683</v>
      </c>
      <c r="J13" s="33">
        <f>-(Inputs!$E$29+Inputs!$E$30)*Debt!J7*TBA!I19</f>
        <v>-15670.744065272105</v>
      </c>
      <c r="K13" s="33">
        <f>-(Inputs!$E$29+Inputs!$E$30)*Debt!K7*TBA!J19</f>
        <v>-15565.742730799057</v>
      </c>
      <c r="L13" s="33">
        <f>-(Inputs!$E$29+Inputs!$E$30)*Debt!L7*TBA!K19</f>
        <v>-15453.023798242239</v>
      </c>
      <c r="M13" s="33">
        <f>-(Inputs!$E$29+Inputs!$E$30)*Debt!M7*TBA!L19</f>
        <v>-15332.020024142495</v>
      </c>
      <c r="N13" s="33">
        <f>-(Inputs!$E$29+Inputs!$E$30)*Debt!N7*TBA!M19</f>
        <v>-15202.122472646421</v>
      </c>
      <c r="O13" s="33">
        <f>-(Inputs!$E$29+Inputs!$E$30)*Debt!O7*TBA!N19</f>
        <v>-15062.677451115385</v>
      </c>
      <c r="P13" s="33">
        <f>-(Inputs!$E$29+Inputs!$E$30)*Debt!P7*TBA!O19</f>
        <v>-14912.983220501819</v>
      </c>
      <c r="Q13" s="33">
        <f>-(Inputs!$E$29+Inputs!$E$30)*Debt!Q7*TBA!P19</f>
        <v>-14752.286463938153</v>
      </c>
      <c r="R13" s="33">
        <f>-(Inputs!$E$29+Inputs!$E$30)*Debt!R7*TBA!Q19</f>
        <v>-14579.778495767061</v>
      </c>
      <c r="S13" s="33">
        <f>-(Inputs!$E$29+Inputs!$E$30)*Debt!S7*TBA!R19</f>
        <v>-14394.591191935393</v>
      </c>
      <c r="T13" s="33">
        <f>-(Inputs!$E$29+Inputs!$E$30)*Debt!T7*TBA!S19</f>
        <v>-14195.792621272096</v>
      </c>
      <c r="U13" s="33">
        <f>-(Inputs!$E$29+Inputs!$E$30)*Debt!U7*TBA!T19</f>
        <v>-13982.382355665048</v>
      </c>
      <c r="V13" s="33">
        <f>-(Inputs!$E$29+Inputs!$E$30)*Debt!V7*TBA!U19</f>
        <v>-13753.28643553588</v>
      </c>
      <c r="W13" s="33">
        <f>-(Inputs!$E$29+Inputs!$E$30)*Debt!W7*TBA!V19</f>
        <v>-13507.351965277219</v>
      </c>
      <c r="X13" s="33">
        <f>-(Inputs!$E$29+Inputs!$E$30)*Debt!X7*TBA!W19</f>
        <v>-13243.341311454547</v>
      </c>
      <c r="Y13" s="33">
        <f>-(Inputs!$E$29+Inputs!$E$30)*Debt!Y7*TBA!X19</f>
        <v>-12959.925874575909</v>
      </c>
      <c r="Z13" s="33">
        <f>-(Inputs!$E$29+Inputs!$E$30)*Debt!Z7*TBA!Y19</f>
        <v>-12655.679403086691</v>
      </c>
      <c r="AA13" s="33">
        <f>-(Inputs!$E$29+Inputs!$E$30)*Debt!AA7*TBA!Z19</f>
        <v>-12329.070815943016</v>
      </c>
      <c r="AB13" s="33">
        <f>-(Inputs!$E$29+Inputs!$E$30)*Debt!AB7*TBA!AA19</f>
        <v>-11978.45649764428</v>
      </c>
      <c r="AC13" s="33">
        <f>-(Inputs!$E$29+Inputs!$E$30)*Debt!AC7*TBA!AB19</f>
        <v>-11602.072026950585</v>
      </c>
      <c r="AD13" s="33">
        <f>-(Inputs!$E$29+Inputs!$E$30)*Debt!AD7*TBA!AC19</f>
        <v>-11198.023297660906</v>
      </c>
      <c r="AE13" s="33">
        <f>-(Inputs!$E$29+Inputs!$E$30)*Debt!AE7*TBA!AD19</f>
        <v>-10764.276986768433</v>
      </c>
      <c r="AF13" s="33">
        <f>-(Inputs!$E$29+Inputs!$E$30)*Debt!AF7*TBA!AE19</f>
        <v>-10298.650322025367</v>
      </c>
      <c r="AG13" s="33">
        <f>-(Inputs!$E$29+Inputs!$E$30)*Debt!AG7*TBA!AF19</f>
        <v>-9798.800097423682</v>
      </c>
      <c r="AH13" s="33">
        <f>-(Inputs!$E$29+Inputs!$E$30)*Debt!AH7*TBA!AG19</f>
        <v>-9262.2108813137747</v>
      </c>
      <c r="AI13" s="33">
        <f>-(Inputs!$E$29+Inputs!$E$30)*Debt!AI7*TBA!AH19</f>
        <v>-8686.1823578197909</v>
      </c>
      <c r="AJ13" s="33">
        <f>-(Inputs!$E$29+Inputs!$E$30)*Debt!AJ7*TBA!AI19</f>
        <v>-8067.8157378489977</v>
      </c>
      <c r="AK13" s="33">
        <f>-(Inputs!$E$29+Inputs!$E$30)*Debt!AK7*TBA!AJ19</f>
        <v>-7403.9991713103518</v>
      </c>
      <c r="AL13" s="33">
        <f>-(Inputs!$E$29+Inputs!$E$30)*Debt!AL7*TBA!AK19</f>
        <v>-6691.3920871311147</v>
      </c>
      <c r="AM13" s="33">
        <f>-(Inputs!$E$29+Inputs!$E$30)*Debt!AM7*TBA!AL19</f>
        <v>-5926.4083822647044</v>
      </c>
      <c r="AN13" s="33">
        <f>-(Inputs!$E$29+Inputs!$E$30)*Debt!AN7*TBA!AM19</f>
        <v>-5105.1983750906129</v>
      </c>
      <c r="AO13" s="33">
        <f>-(Inputs!$E$29+Inputs!$E$30)*Debt!AO7*TBA!AN19</f>
        <v>-4223.6294323892243</v>
      </c>
      <c r="AP13" s="33">
        <f>-(Inputs!$E$29+Inputs!$E$30)*Debt!AP7*TBA!AO19</f>
        <v>-3277.2651723992849</v>
      </c>
      <c r="AQ13" s="33">
        <f>-(Inputs!$E$29+Inputs!$E$30)*Debt!AQ7*TBA!AP19</f>
        <v>-2261.3431393000847</v>
      </c>
      <c r="AR13" s="33">
        <f>-(Inputs!$E$29+Inputs!$E$30)*Debt!AR7*TBA!AQ19</f>
        <v>-1170.750836768093</v>
      </c>
    </row>
    <row r="14" spans="2:45" x14ac:dyDescent="0.45">
      <c r="C14" s="17"/>
    </row>
    <row r="15" spans="2:45" x14ac:dyDescent="0.45">
      <c r="C15" s="17"/>
    </row>
    <row r="16" spans="2:45" x14ac:dyDescent="0.45">
      <c r="B16" t="s">
        <v>112</v>
      </c>
      <c r="C16" s="17" t="s">
        <v>90</v>
      </c>
      <c r="E16" s="33">
        <f>SUM(E9+E13)</f>
        <v>0</v>
      </c>
      <c r="F16" s="33">
        <f t="shared" ref="F16:AR16" si="2">SUM(F9+F13)</f>
        <v>0</v>
      </c>
      <c r="G16" s="33">
        <f t="shared" si="2"/>
        <v>0</v>
      </c>
      <c r="H16" s="33">
        <f t="shared" si="2"/>
        <v>0</v>
      </c>
      <c r="I16" s="33">
        <f t="shared" si="2"/>
        <v>-17099.333649939425</v>
      </c>
      <c r="J16" s="33">
        <f t="shared" si="2"/>
        <v>-17099.333649939425</v>
      </c>
      <c r="K16" s="33">
        <f t="shared" si="2"/>
        <v>-17099.333649939425</v>
      </c>
      <c r="L16" s="33">
        <f t="shared" si="2"/>
        <v>-17099.333649939425</v>
      </c>
      <c r="M16" s="33">
        <f t="shared" si="2"/>
        <v>-17099.333649939425</v>
      </c>
      <c r="N16" s="33">
        <f t="shared" si="2"/>
        <v>-17099.333649939425</v>
      </c>
      <c r="O16" s="33">
        <f t="shared" si="2"/>
        <v>-17099.333649939425</v>
      </c>
      <c r="P16" s="33">
        <f t="shared" si="2"/>
        <v>-17099.333649939425</v>
      </c>
      <c r="Q16" s="33">
        <f t="shared" si="2"/>
        <v>-17099.333649939425</v>
      </c>
      <c r="R16" s="33">
        <f t="shared" si="2"/>
        <v>-17099.333649939425</v>
      </c>
      <c r="S16" s="33">
        <f t="shared" si="2"/>
        <v>-17099.333649939425</v>
      </c>
      <c r="T16" s="33">
        <f t="shared" si="2"/>
        <v>-17099.333649939425</v>
      </c>
      <c r="U16" s="33">
        <f t="shared" si="2"/>
        <v>-17099.333649939425</v>
      </c>
      <c r="V16" s="33">
        <f t="shared" si="2"/>
        <v>-17099.333649939425</v>
      </c>
      <c r="W16" s="33">
        <f t="shared" si="2"/>
        <v>-17099.333649939425</v>
      </c>
      <c r="X16" s="33">
        <f t="shared" si="2"/>
        <v>-17099.333649939425</v>
      </c>
      <c r="Y16" s="33">
        <f t="shared" si="2"/>
        <v>-17099.333649939425</v>
      </c>
      <c r="Z16" s="33">
        <f t="shared" si="2"/>
        <v>-17099.333649939425</v>
      </c>
      <c r="AA16" s="33">
        <f t="shared" si="2"/>
        <v>-17099.333649939425</v>
      </c>
      <c r="AB16" s="33">
        <f t="shared" si="2"/>
        <v>-17099.333649939425</v>
      </c>
      <c r="AC16" s="33">
        <f t="shared" si="2"/>
        <v>-17099.333649939425</v>
      </c>
      <c r="AD16" s="33">
        <f t="shared" si="2"/>
        <v>-17099.333649939425</v>
      </c>
      <c r="AE16" s="33">
        <f t="shared" si="2"/>
        <v>-17099.333649939421</v>
      </c>
      <c r="AF16" s="33">
        <f t="shared" si="2"/>
        <v>-17099.333649939425</v>
      </c>
      <c r="AG16" s="33">
        <f t="shared" si="2"/>
        <v>-17099.333649939421</v>
      </c>
      <c r="AH16" s="33">
        <f t="shared" si="2"/>
        <v>-17099.333649939421</v>
      </c>
      <c r="AI16" s="33">
        <f t="shared" si="2"/>
        <v>-17099.333649939425</v>
      </c>
      <c r="AJ16" s="33">
        <f t="shared" si="2"/>
        <v>-17099.333649939425</v>
      </c>
      <c r="AK16" s="33">
        <f t="shared" si="2"/>
        <v>-17099.333649939421</v>
      </c>
      <c r="AL16" s="33">
        <f t="shared" si="2"/>
        <v>-17099.333649939425</v>
      </c>
      <c r="AM16" s="33">
        <f t="shared" si="2"/>
        <v>-17099.333649939425</v>
      </c>
      <c r="AN16" s="33">
        <f t="shared" si="2"/>
        <v>-17099.333649939425</v>
      </c>
      <c r="AO16" s="33">
        <f t="shared" si="2"/>
        <v>-17099.333649939425</v>
      </c>
      <c r="AP16" s="33">
        <f t="shared" si="2"/>
        <v>-17099.333649939425</v>
      </c>
      <c r="AQ16" s="33">
        <f t="shared" si="2"/>
        <v>-17099.333649939421</v>
      </c>
      <c r="AR16" s="33">
        <f t="shared" si="2"/>
        <v>-17099.333649939425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9E81-B72D-4F8E-BA82-4DB0AA6788BB}">
  <sheetPr codeName="Sheet8"/>
  <dimension ref="A2:AW11"/>
  <sheetViews>
    <sheetView showGridLines="0" workbookViewId="0">
      <selection activeCell="F7" sqref="F7:AS7"/>
    </sheetView>
  </sheetViews>
  <sheetFormatPr defaultColWidth="0" defaultRowHeight="14.25" x14ac:dyDescent="0.45"/>
  <cols>
    <col min="1" max="1" width="8.86328125" customWidth="1"/>
    <col min="2" max="2" width="19.86328125" customWidth="1"/>
    <col min="3" max="46" width="8.86328125" customWidth="1"/>
    <col min="47" max="49" width="0" hidden="1" customWidth="1"/>
    <col min="50" max="16384" width="8.86328125" hidden="1"/>
  </cols>
  <sheetData>
    <row r="2" spans="2:45" x14ac:dyDescent="0.45">
      <c r="B2" s="18" t="s">
        <v>43</v>
      </c>
      <c r="C2" s="29"/>
      <c r="D2" s="29"/>
      <c r="E2" s="15"/>
      <c r="F2" s="29">
        <v>1</v>
      </c>
      <c r="G2" s="29">
        <v>2</v>
      </c>
      <c r="H2" s="29">
        <v>3</v>
      </c>
      <c r="I2" s="29">
        <v>4</v>
      </c>
      <c r="J2" s="29">
        <v>5</v>
      </c>
      <c r="K2" s="29">
        <v>6</v>
      </c>
      <c r="L2" s="29">
        <v>7</v>
      </c>
      <c r="M2" s="29">
        <v>8</v>
      </c>
      <c r="N2" s="29">
        <v>9</v>
      </c>
      <c r="O2" s="29">
        <v>10</v>
      </c>
      <c r="P2" s="29">
        <v>11</v>
      </c>
      <c r="Q2" s="29">
        <v>12</v>
      </c>
      <c r="R2" s="29">
        <v>13</v>
      </c>
      <c r="S2" s="29">
        <v>14</v>
      </c>
      <c r="T2" s="29">
        <v>15</v>
      </c>
      <c r="U2" s="29">
        <v>16</v>
      </c>
      <c r="V2" s="29">
        <v>17</v>
      </c>
      <c r="W2" s="29">
        <v>18</v>
      </c>
      <c r="X2" s="29">
        <v>19</v>
      </c>
      <c r="Y2" s="29">
        <v>20</v>
      </c>
      <c r="Z2" s="29">
        <v>21</v>
      </c>
      <c r="AA2" s="29">
        <v>22</v>
      </c>
      <c r="AB2" s="29">
        <v>23</v>
      </c>
      <c r="AC2" s="29">
        <v>24</v>
      </c>
      <c r="AD2" s="29">
        <v>25</v>
      </c>
      <c r="AE2" s="29">
        <v>26</v>
      </c>
      <c r="AF2" s="29">
        <v>27</v>
      </c>
      <c r="AG2" s="29">
        <v>28</v>
      </c>
      <c r="AH2" s="29">
        <v>29</v>
      </c>
      <c r="AI2" s="29">
        <v>30</v>
      </c>
      <c r="AJ2" s="29">
        <v>31</v>
      </c>
      <c r="AK2" s="29">
        <v>32</v>
      </c>
      <c r="AL2" s="29">
        <v>33</v>
      </c>
      <c r="AM2" s="29">
        <v>34</v>
      </c>
      <c r="AN2" s="29">
        <v>35</v>
      </c>
      <c r="AO2" s="29">
        <v>36</v>
      </c>
      <c r="AP2" s="29">
        <v>37</v>
      </c>
      <c r="AQ2" s="29">
        <v>38</v>
      </c>
      <c r="AR2" s="29">
        <v>39</v>
      </c>
      <c r="AS2" s="30">
        <v>40</v>
      </c>
    </row>
    <row r="5" spans="2:45" x14ac:dyDescent="0.45">
      <c r="B5" s="18" t="s">
        <v>99</v>
      </c>
      <c r="C5" s="29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/>
    </row>
    <row r="7" spans="2:45" x14ac:dyDescent="0.45">
      <c r="B7" t="s">
        <v>101</v>
      </c>
      <c r="F7" s="32">
        <f>E9+Construction!E19</f>
        <v>82610.739837268236</v>
      </c>
      <c r="G7" s="32">
        <f>F9+Construction!F19</f>
        <v>162003.40786173806</v>
      </c>
      <c r="H7" s="32">
        <f>G9+Construction!G19</f>
        <v>243860.82857094923</v>
      </c>
      <c r="I7" s="32">
        <f>H9+Construction!H19</f>
        <v>330058.73798651341</v>
      </c>
      <c r="J7" s="32">
        <f>I9+Construction!I19</f>
        <v>330058.73798651341</v>
      </c>
      <c r="K7" s="32">
        <f>J9+Construction!J19</f>
        <v>320890.43970911024</v>
      </c>
      <c r="L7" s="32">
        <f>K9+Construction!K19</f>
        <v>311722.14143170707</v>
      </c>
      <c r="M7" s="32">
        <f>L9+Construction!L19</f>
        <v>302553.8431543039</v>
      </c>
      <c r="N7" s="32">
        <f>M9+Construction!M19</f>
        <v>293385.54487690073</v>
      </c>
      <c r="O7" s="32">
        <f>N9+Construction!N19</f>
        <v>284217.24659949756</v>
      </c>
      <c r="P7" s="32">
        <f>O9+Construction!O19</f>
        <v>275048.94832209439</v>
      </c>
      <c r="Q7" s="32">
        <f>P9+Construction!P19</f>
        <v>265880.65004469123</v>
      </c>
      <c r="R7" s="32">
        <f>Q9+Construction!Q19</f>
        <v>256712.35176728808</v>
      </c>
      <c r="S7" s="32">
        <f>R9+Construction!R19</f>
        <v>247544.05348988494</v>
      </c>
      <c r="T7" s="32">
        <f>S9+Construction!S19</f>
        <v>238375.7552124818</v>
      </c>
      <c r="U7" s="32">
        <f>T9+Construction!T19</f>
        <v>229207.45693507866</v>
      </c>
      <c r="V7" s="32">
        <f>U9+Construction!U19</f>
        <v>220039.15865767552</v>
      </c>
      <c r="W7" s="32">
        <f>V9+Construction!V19</f>
        <v>210870.86038027238</v>
      </c>
      <c r="X7" s="32">
        <f>W9+Construction!W19</f>
        <v>201702.56210286924</v>
      </c>
      <c r="Y7" s="32">
        <f>X9+Construction!X19</f>
        <v>192534.2638254661</v>
      </c>
      <c r="Z7" s="32">
        <f>Y9+Construction!Y19</f>
        <v>183365.96554806296</v>
      </c>
      <c r="AA7" s="32">
        <f>Z9+Construction!Z19</f>
        <v>174197.66727065982</v>
      </c>
      <c r="AB7" s="32">
        <f>AA9+Construction!AA19</f>
        <v>165029.36899325668</v>
      </c>
      <c r="AC7" s="32">
        <f>AB9+Construction!AB19</f>
        <v>155861.07071585354</v>
      </c>
      <c r="AD7" s="32">
        <f>AC9+Construction!AC19</f>
        <v>146692.7724384504</v>
      </c>
      <c r="AE7" s="32">
        <f>AD9+Construction!AD19</f>
        <v>137524.47416104726</v>
      </c>
      <c r="AF7" s="32">
        <f>AE9+Construction!AE19</f>
        <v>128356.1758836441</v>
      </c>
      <c r="AG7" s="32">
        <f>AF9+Construction!AF19</f>
        <v>119187.87760624095</v>
      </c>
      <c r="AH7" s="32">
        <f>AG9+Construction!AG19</f>
        <v>110019.57932883779</v>
      </c>
      <c r="AI7" s="32">
        <f>AH9+Construction!AH19</f>
        <v>100851.28105143463</v>
      </c>
      <c r="AJ7" s="32">
        <f>AI9+Construction!AI19</f>
        <v>91682.982774031479</v>
      </c>
      <c r="AK7" s="32">
        <f>AJ9+Construction!AJ19</f>
        <v>82514.684496628324</v>
      </c>
      <c r="AL7" s="32">
        <f>AK9+Construction!AK19</f>
        <v>73346.386219225169</v>
      </c>
      <c r="AM7" s="32">
        <f>AL9+Construction!AL19</f>
        <v>64178.087941822021</v>
      </c>
      <c r="AN7" s="32">
        <f>AM9+Construction!AM19</f>
        <v>55009.789664418873</v>
      </c>
      <c r="AO7" s="32">
        <f>AN9+Construction!AN19</f>
        <v>45841.491387015725</v>
      </c>
      <c r="AP7" s="32">
        <f>AO9+Construction!AO19</f>
        <v>36673.193109612577</v>
      </c>
      <c r="AQ7" s="32">
        <f>AP9+Construction!AP19</f>
        <v>27504.894832209429</v>
      </c>
      <c r="AR7" s="32">
        <f>AQ9+Construction!AQ19</f>
        <v>18336.596554806281</v>
      </c>
      <c r="AS7" s="32">
        <f>AR9+Construction!AR19</f>
        <v>9168.2982774031316</v>
      </c>
    </row>
    <row r="9" spans="2:45" x14ac:dyDescent="0.45">
      <c r="B9" t="s">
        <v>102</v>
      </c>
      <c r="F9" s="32">
        <f>F7+F11</f>
        <v>82610.739837268236</v>
      </c>
      <c r="G9" s="32">
        <f t="shared" ref="G9:AS9" si="0">G7+G11</f>
        <v>162003.40786173806</v>
      </c>
      <c r="H9" s="32">
        <f t="shared" si="0"/>
        <v>243860.82857094923</v>
      </c>
      <c r="I9" s="32">
        <f t="shared" si="0"/>
        <v>330058.73798651341</v>
      </c>
      <c r="J9" s="32">
        <f t="shared" si="0"/>
        <v>320890.43970911024</v>
      </c>
      <c r="K9" s="32">
        <f t="shared" si="0"/>
        <v>311722.14143170707</v>
      </c>
      <c r="L9" s="32">
        <f t="shared" si="0"/>
        <v>302553.8431543039</v>
      </c>
      <c r="M9" s="32">
        <f t="shared" si="0"/>
        <v>293385.54487690073</v>
      </c>
      <c r="N9" s="32">
        <f t="shared" si="0"/>
        <v>284217.24659949756</v>
      </c>
      <c r="O9" s="32">
        <f t="shared" si="0"/>
        <v>275048.94832209439</v>
      </c>
      <c r="P9" s="32">
        <f t="shared" si="0"/>
        <v>265880.65004469123</v>
      </c>
      <c r="Q9" s="32">
        <f t="shared" si="0"/>
        <v>256712.35176728808</v>
      </c>
      <c r="R9" s="32">
        <f t="shared" si="0"/>
        <v>247544.05348988494</v>
      </c>
      <c r="S9" s="32">
        <f t="shared" si="0"/>
        <v>238375.7552124818</v>
      </c>
      <c r="T9" s="32">
        <f t="shared" si="0"/>
        <v>229207.45693507866</v>
      </c>
      <c r="U9" s="32">
        <f t="shared" si="0"/>
        <v>220039.15865767552</v>
      </c>
      <c r="V9" s="32">
        <f t="shared" si="0"/>
        <v>210870.86038027238</v>
      </c>
      <c r="W9" s="32">
        <f t="shared" si="0"/>
        <v>201702.56210286924</v>
      </c>
      <c r="X9" s="32">
        <f t="shared" si="0"/>
        <v>192534.2638254661</v>
      </c>
      <c r="Y9" s="32">
        <f t="shared" si="0"/>
        <v>183365.96554806296</v>
      </c>
      <c r="Z9" s="32">
        <f t="shared" si="0"/>
        <v>174197.66727065982</v>
      </c>
      <c r="AA9" s="32">
        <f t="shared" si="0"/>
        <v>165029.36899325668</v>
      </c>
      <c r="AB9" s="32">
        <f t="shared" si="0"/>
        <v>155861.07071585354</v>
      </c>
      <c r="AC9" s="32">
        <f t="shared" si="0"/>
        <v>146692.7724384504</v>
      </c>
      <c r="AD9" s="32">
        <f t="shared" si="0"/>
        <v>137524.47416104726</v>
      </c>
      <c r="AE9" s="32">
        <f t="shared" si="0"/>
        <v>128356.1758836441</v>
      </c>
      <c r="AF9" s="32">
        <f t="shared" si="0"/>
        <v>119187.87760624095</v>
      </c>
      <c r="AG9" s="32">
        <f t="shared" si="0"/>
        <v>110019.57932883779</v>
      </c>
      <c r="AH9" s="32">
        <f t="shared" si="0"/>
        <v>100851.28105143463</v>
      </c>
      <c r="AI9" s="32">
        <f t="shared" si="0"/>
        <v>91682.982774031479</v>
      </c>
      <c r="AJ9" s="32">
        <f t="shared" si="0"/>
        <v>82514.684496628324</v>
      </c>
      <c r="AK9" s="32">
        <f t="shared" si="0"/>
        <v>73346.386219225169</v>
      </c>
      <c r="AL9" s="32">
        <f t="shared" si="0"/>
        <v>64178.087941822021</v>
      </c>
      <c r="AM9" s="32">
        <f t="shared" si="0"/>
        <v>55009.789664418873</v>
      </c>
      <c r="AN9" s="32">
        <f t="shared" si="0"/>
        <v>45841.491387015725</v>
      </c>
      <c r="AO9" s="32">
        <f t="shared" si="0"/>
        <v>36673.193109612577</v>
      </c>
      <c r="AP9" s="32">
        <f t="shared" si="0"/>
        <v>27504.894832209429</v>
      </c>
      <c r="AQ9" s="32">
        <f t="shared" si="0"/>
        <v>18336.596554806281</v>
      </c>
      <c r="AR9" s="32">
        <f t="shared" si="0"/>
        <v>9168.2982774031316</v>
      </c>
      <c r="AS9" s="32">
        <f t="shared" si="0"/>
        <v>-1.8189894035458565E-11</v>
      </c>
    </row>
    <row r="11" spans="2:45" x14ac:dyDescent="0.45">
      <c r="B11" t="s">
        <v>100</v>
      </c>
      <c r="D11" s="32">
        <f>SUM(F11:AS11)</f>
        <v>-330058.73798651347</v>
      </c>
      <c r="F11" s="33">
        <f>-Construction!$C$20/(Inputs!$E$6-Inputs!$E$7)*TBA!D10</f>
        <v>0</v>
      </c>
      <c r="G11" s="33">
        <f>-Construction!$C$20/(Inputs!$E$6-Inputs!$E$7)*TBA!E10</f>
        <v>0</v>
      </c>
      <c r="H11" s="33">
        <f>-Construction!$C$20/(Inputs!$E$6-Inputs!$E$7)*TBA!F10</f>
        <v>0</v>
      </c>
      <c r="I11" s="33">
        <f>-Construction!$C$20/(Inputs!$E$6-Inputs!$E$7)*TBA!G10</f>
        <v>0</v>
      </c>
      <c r="J11" s="33">
        <f>-Construction!$C$20/(Inputs!$E$6-Inputs!$E$7)*TBA!H10</f>
        <v>-9168.2982774031498</v>
      </c>
      <c r="K11" s="33">
        <f>-Construction!$C$20/(Inputs!$E$6-Inputs!$E$7)*TBA!I10</f>
        <v>-9168.2982774031498</v>
      </c>
      <c r="L11" s="33">
        <f>-Construction!$C$20/(Inputs!$E$6-Inputs!$E$7)*TBA!J10</f>
        <v>-9168.2982774031498</v>
      </c>
      <c r="M11" s="33">
        <f>-Construction!$C$20/(Inputs!$E$6-Inputs!$E$7)*TBA!K10</f>
        <v>-9168.2982774031498</v>
      </c>
      <c r="N11" s="33">
        <f>-Construction!$C$20/(Inputs!$E$6-Inputs!$E$7)*TBA!L10</f>
        <v>-9168.2982774031498</v>
      </c>
      <c r="O11" s="33">
        <f>-Construction!$C$20/(Inputs!$E$6-Inputs!$E$7)*TBA!M10</f>
        <v>-9168.2982774031498</v>
      </c>
      <c r="P11" s="33">
        <f>-Construction!$C$20/(Inputs!$E$6-Inputs!$E$7)*TBA!N10</f>
        <v>-9168.2982774031498</v>
      </c>
      <c r="Q11" s="33">
        <f>-Construction!$C$20/(Inputs!$E$6-Inputs!$E$7)*TBA!O10</f>
        <v>-9168.2982774031498</v>
      </c>
      <c r="R11" s="33">
        <f>-Construction!$C$20/(Inputs!$E$6-Inputs!$E$7)*TBA!P10</f>
        <v>-9168.2982774031498</v>
      </c>
      <c r="S11" s="33">
        <f>-Construction!$C$20/(Inputs!$E$6-Inputs!$E$7)*TBA!Q10</f>
        <v>-9168.2982774031498</v>
      </c>
      <c r="T11" s="33">
        <f>-Construction!$C$20/(Inputs!$E$6-Inputs!$E$7)*TBA!R10</f>
        <v>-9168.2982774031498</v>
      </c>
      <c r="U11" s="33">
        <f>-Construction!$C$20/(Inputs!$E$6-Inputs!$E$7)*TBA!S10</f>
        <v>-9168.2982774031498</v>
      </c>
      <c r="V11" s="33">
        <f>-Construction!$C$20/(Inputs!$E$6-Inputs!$E$7)*TBA!T10</f>
        <v>-9168.2982774031498</v>
      </c>
      <c r="W11" s="33">
        <f>-Construction!$C$20/(Inputs!$E$6-Inputs!$E$7)*TBA!U10</f>
        <v>-9168.2982774031498</v>
      </c>
      <c r="X11" s="33">
        <f>-Construction!$C$20/(Inputs!$E$6-Inputs!$E$7)*TBA!V10</f>
        <v>-9168.2982774031498</v>
      </c>
      <c r="Y11" s="33">
        <f>-Construction!$C$20/(Inputs!$E$6-Inputs!$E$7)*TBA!W10</f>
        <v>-9168.2982774031498</v>
      </c>
      <c r="Z11" s="33">
        <f>-Construction!$C$20/(Inputs!$E$6-Inputs!$E$7)*TBA!X10</f>
        <v>-9168.2982774031498</v>
      </c>
      <c r="AA11" s="33">
        <f>-Construction!$C$20/(Inputs!$E$6-Inputs!$E$7)*TBA!Y10</f>
        <v>-9168.2982774031498</v>
      </c>
      <c r="AB11" s="33">
        <f>-Construction!$C$20/(Inputs!$E$6-Inputs!$E$7)*TBA!Z10</f>
        <v>-9168.2982774031498</v>
      </c>
      <c r="AC11" s="33">
        <f>-Construction!$C$20/(Inputs!$E$6-Inputs!$E$7)*TBA!AA10</f>
        <v>-9168.2982774031498</v>
      </c>
      <c r="AD11" s="33">
        <f>-Construction!$C$20/(Inputs!$E$6-Inputs!$E$7)*TBA!AB10</f>
        <v>-9168.2982774031498</v>
      </c>
      <c r="AE11" s="33">
        <f>-Construction!$C$20/(Inputs!$E$6-Inputs!$E$7)*TBA!AC10</f>
        <v>-9168.2982774031498</v>
      </c>
      <c r="AF11" s="33">
        <f>-Construction!$C$20/(Inputs!$E$6-Inputs!$E$7)*TBA!AD10</f>
        <v>-9168.2982774031498</v>
      </c>
      <c r="AG11" s="33">
        <f>-Construction!$C$20/(Inputs!$E$6-Inputs!$E$7)*TBA!AE10</f>
        <v>-9168.2982774031498</v>
      </c>
      <c r="AH11" s="33">
        <f>-Construction!$C$20/(Inputs!$E$6-Inputs!$E$7)*TBA!AF10</f>
        <v>-9168.2982774031498</v>
      </c>
      <c r="AI11" s="33">
        <f>-Construction!$C$20/(Inputs!$E$6-Inputs!$E$7)*TBA!AG10</f>
        <v>-9168.2982774031498</v>
      </c>
      <c r="AJ11" s="33">
        <f>-Construction!$C$20/(Inputs!$E$6-Inputs!$E$7)*TBA!AH10</f>
        <v>-9168.2982774031498</v>
      </c>
      <c r="AK11" s="33">
        <f>-Construction!$C$20/(Inputs!$E$6-Inputs!$E$7)*TBA!AI10</f>
        <v>-9168.2982774031498</v>
      </c>
      <c r="AL11" s="33">
        <f>-Construction!$C$20/(Inputs!$E$6-Inputs!$E$7)*TBA!AJ10</f>
        <v>-9168.2982774031498</v>
      </c>
      <c r="AM11" s="33">
        <f>-Construction!$C$20/(Inputs!$E$6-Inputs!$E$7)*TBA!AK10</f>
        <v>-9168.2982774031498</v>
      </c>
      <c r="AN11" s="33">
        <f>-Construction!$C$20/(Inputs!$E$6-Inputs!$E$7)*TBA!AL10</f>
        <v>-9168.2982774031498</v>
      </c>
      <c r="AO11" s="33">
        <f>-Construction!$C$20/(Inputs!$E$6-Inputs!$E$7)*TBA!AM10</f>
        <v>-9168.2982774031498</v>
      </c>
      <c r="AP11" s="33">
        <f>-Construction!$C$20/(Inputs!$E$6-Inputs!$E$7)*TBA!AN10</f>
        <v>-9168.2982774031498</v>
      </c>
      <c r="AQ11" s="33">
        <f>-Construction!$C$20/(Inputs!$E$6-Inputs!$E$7)*TBA!AO10</f>
        <v>-9168.2982774031498</v>
      </c>
      <c r="AR11" s="33">
        <f>-Construction!$C$20/(Inputs!$E$6-Inputs!$E$7)*TBA!AP10</f>
        <v>-9168.2982774031498</v>
      </c>
      <c r="AS11" s="33">
        <f>-Construction!$C$20/(Inputs!$E$6-Inputs!$E$7)*TBA!AQ10</f>
        <v>-9168.2982774031498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9EC2-AAD5-4981-9C5B-F60DC85FDC6B}">
  <sheetPr codeName="Sheet9"/>
  <dimension ref="A2:AT28"/>
  <sheetViews>
    <sheetView showGridLines="0" zoomScaleNormal="100" workbookViewId="0">
      <selection activeCell="F24" sqref="F24"/>
    </sheetView>
  </sheetViews>
  <sheetFormatPr defaultColWidth="0" defaultRowHeight="14.25" x14ac:dyDescent="0.45"/>
  <cols>
    <col min="1" max="1" width="8.86328125" customWidth="1"/>
    <col min="2" max="2" width="37.86328125" customWidth="1"/>
    <col min="3" max="3" width="12.86328125" customWidth="1"/>
    <col min="4" max="46" width="8.86328125" customWidth="1"/>
    <col min="47" max="16384" width="8.86328125" hidden="1"/>
  </cols>
  <sheetData>
    <row r="2" spans="2:46" x14ac:dyDescent="0.45">
      <c r="B2" s="18" t="s">
        <v>43</v>
      </c>
      <c r="C2" s="29"/>
      <c r="D2" s="29"/>
      <c r="E2" s="15"/>
      <c r="F2" s="29">
        <v>1</v>
      </c>
      <c r="G2" s="29">
        <v>2</v>
      </c>
      <c r="H2" s="29">
        <v>3</v>
      </c>
      <c r="I2" s="29">
        <v>4</v>
      </c>
      <c r="J2" s="29">
        <v>5</v>
      </c>
      <c r="K2" s="29">
        <v>6</v>
      </c>
      <c r="L2" s="29">
        <v>7</v>
      </c>
      <c r="M2" s="29">
        <v>8</v>
      </c>
      <c r="N2" s="29">
        <v>9</v>
      </c>
      <c r="O2" s="29">
        <v>10</v>
      </c>
      <c r="P2" s="29">
        <v>11</v>
      </c>
      <c r="Q2" s="29">
        <v>12</v>
      </c>
      <c r="R2" s="29">
        <v>13</v>
      </c>
      <c r="S2" s="29">
        <v>14</v>
      </c>
      <c r="T2" s="29">
        <v>15</v>
      </c>
      <c r="U2" s="29">
        <v>16</v>
      </c>
      <c r="V2" s="29">
        <v>17</v>
      </c>
      <c r="W2" s="29">
        <v>18</v>
      </c>
      <c r="X2" s="29">
        <v>19</v>
      </c>
      <c r="Y2" s="29">
        <v>20</v>
      </c>
      <c r="Z2" s="29">
        <v>21</v>
      </c>
      <c r="AA2" s="29">
        <v>22</v>
      </c>
      <c r="AB2" s="29">
        <v>23</v>
      </c>
      <c r="AC2" s="29">
        <v>24</v>
      </c>
      <c r="AD2" s="29">
        <v>25</v>
      </c>
      <c r="AE2" s="29">
        <v>26</v>
      </c>
      <c r="AF2" s="29">
        <v>27</v>
      </c>
      <c r="AG2" s="29">
        <v>28</v>
      </c>
      <c r="AH2" s="29">
        <v>29</v>
      </c>
      <c r="AI2" s="29">
        <v>30</v>
      </c>
      <c r="AJ2" s="29">
        <v>31</v>
      </c>
      <c r="AK2" s="29">
        <v>32</v>
      </c>
      <c r="AL2" s="29">
        <v>33</v>
      </c>
      <c r="AM2" s="29">
        <v>34</v>
      </c>
      <c r="AN2" s="29">
        <v>35</v>
      </c>
      <c r="AO2" s="29">
        <v>36</v>
      </c>
      <c r="AP2" s="29">
        <v>37</v>
      </c>
      <c r="AQ2" s="29">
        <v>38</v>
      </c>
      <c r="AR2" s="29">
        <v>39</v>
      </c>
      <c r="AS2" s="30">
        <v>40</v>
      </c>
    </row>
    <row r="5" spans="2:46" x14ac:dyDescent="0.45">
      <c r="B5" s="18" t="s">
        <v>113</v>
      </c>
      <c r="C5" s="29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/>
    </row>
    <row r="7" spans="2:46" x14ac:dyDescent="0.45">
      <c r="B7" t="s">
        <v>92</v>
      </c>
      <c r="C7" s="17" t="s">
        <v>90</v>
      </c>
      <c r="F7" s="33">
        <f>Operations!E15</f>
        <v>0</v>
      </c>
      <c r="G7" s="33">
        <f>Operations!F15</f>
        <v>0</v>
      </c>
      <c r="H7" s="33">
        <f>Operations!G15</f>
        <v>0</v>
      </c>
      <c r="I7" s="33">
        <f>Operations!H15</f>
        <v>0</v>
      </c>
      <c r="J7" s="33">
        <f>Operations!I15</f>
        <v>95160.175507865482</v>
      </c>
      <c r="K7" s="33">
        <f>Operations!J15</f>
        <v>97063.379018022795</v>
      </c>
      <c r="L7" s="33">
        <f>Operations!K15</f>
        <v>99004.646598383246</v>
      </c>
      <c r="M7" s="33">
        <f>Operations!L15</f>
        <v>100984.73953035091</v>
      </c>
      <c r="N7" s="33">
        <f>Operations!M15</f>
        <v>103004.43432095792</v>
      </c>
      <c r="O7" s="33">
        <f>Operations!N15</f>
        <v>105064.52300737708</v>
      </c>
      <c r="P7" s="33">
        <f>Operations!O15</f>
        <v>107165.81346752465</v>
      </c>
      <c r="Q7" s="33">
        <f>Operations!P15</f>
        <v>109309.12973687511</v>
      </c>
      <c r="R7" s="33">
        <f>Operations!Q15</f>
        <v>111495.31233161264</v>
      </c>
      <c r="S7" s="33">
        <f>Operations!R15</f>
        <v>113725.21857824488</v>
      </c>
      <c r="T7" s="33">
        <f>Operations!S15</f>
        <v>115999.72294980977</v>
      </c>
      <c r="U7" s="33">
        <f>Operations!T15</f>
        <v>118319.71740880595</v>
      </c>
      <c r="V7" s="33">
        <f>Operations!U15</f>
        <v>120686.11175698209</v>
      </c>
      <c r="W7" s="33">
        <f>Operations!V15</f>
        <v>123099.83399212174</v>
      </c>
      <c r="X7" s="33">
        <f>Operations!W15</f>
        <v>125561.83067196417</v>
      </c>
      <c r="Y7" s="33">
        <f>Operations!X15</f>
        <v>128073.06728540342</v>
      </c>
      <c r="Z7" s="33">
        <f>Operations!Y15</f>
        <v>130634.52863111149</v>
      </c>
      <c r="AA7" s="33">
        <f>Operations!Z15</f>
        <v>133247.21920373375</v>
      </c>
      <c r="AB7" s="33">
        <f>Operations!AA15</f>
        <v>135912.16358780841</v>
      </c>
      <c r="AC7" s="33">
        <f>Operations!AB15</f>
        <v>138630.40685956459</v>
      </c>
      <c r="AD7" s="33">
        <f>Operations!AC15</f>
        <v>141403.01499675587</v>
      </c>
      <c r="AE7" s="33">
        <f>Operations!AD15</f>
        <v>144231.07529669101</v>
      </c>
      <c r="AF7" s="33">
        <f>Operations!AE15</f>
        <v>147115.69680262482</v>
      </c>
      <c r="AG7" s="33">
        <f>Operations!AF15</f>
        <v>150058.01073867726</v>
      </c>
      <c r="AH7" s="33">
        <f>Operations!AG15</f>
        <v>153059.17095345081</v>
      </c>
      <c r="AI7" s="33">
        <f>Operations!AH15</f>
        <v>156120.35437251983</v>
      </c>
      <c r="AJ7" s="33">
        <f>Operations!AI15</f>
        <v>159242.76145997026</v>
      </c>
      <c r="AK7" s="33">
        <f>Operations!AJ15</f>
        <v>162427.61668916966</v>
      </c>
      <c r="AL7" s="33">
        <f>Operations!AK15</f>
        <v>165676.16902295308</v>
      </c>
      <c r="AM7" s="33">
        <f>Operations!AL15</f>
        <v>168989.69240341213</v>
      </c>
      <c r="AN7" s="33">
        <f>Operations!AM15</f>
        <v>172369.48625148035</v>
      </c>
      <c r="AO7" s="33">
        <f>Operations!AN15</f>
        <v>175816.87597650997</v>
      </c>
      <c r="AP7" s="33">
        <f>Operations!AO15</f>
        <v>179333.21349604015</v>
      </c>
      <c r="AQ7" s="33">
        <f>Operations!AP15</f>
        <v>182919.87776596096</v>
      </c>
      <c r="AR7" s="33">
        <f>Operations!AQ15</f>
        <v>186578.27532128018</v>
      </c>
      <c r="AS7" s="33">
        <f>Operations!AR15</f>
        <v>190309.84082770578</v>
      </c>
    </row>
    <row r="8" spans="2:46" x14ac:dyDescent="0.45"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</row>
    <row r="9" spans="2:46" x14ac:dyDescent="0.45">
      <c r="B9" t="s">
        <v>114</v>
      </c>
      <c r="C9" s="17" t="s">
        <v>90</v>
      </c>
      <c r="F9" s="33">
        <f>-Operations!E22</f>
        <v>0</v>
      </c>
      <c r="G9" s="33">
        <f>-Operations!F22</f>
        <v>0</v>
      </c>
      <c r="H9" s="33">
        <f>-Operations!G22</f>
        <v>0</v>
      </c>
      <c r="I9" s="33">
        <f>-Operations!H22</f>
        <v>0</v>
      </c>
      <c r="J9" s="33">
        <f>-Operations!I22</f>
        <v>-10411.741184000002</v>
      </c>
      <c r="K9" s="33">
        <f>-Operations!J22</f>
        <v>-10828.210831360004</v>
      </c>
      <c r="L9" s="33">
        <f>-Operations!K22</f>
        <v>-11261.339264614404</v>
      </c>
      <c r="M9" s="33">
        <f>-Operations!L22</f>
        <v>-11711.792835198978</v>
      </c>
      <c r="N9" s="33">
        <f>-Operations!M22</f>
        <v>-12180.26454860694</v>
      </c>
      <c r="O9" s="33">
        <f>-Operations!N22</f>
        <v>-12667.475130551218</v>
      </c>
      <c r="P9" s="33">
        <f>-Operations!O22</f>
        <v>-13174.174135773268</v>
      </c>
      <c r="Q9" s="33">
        <f>-Operations!P22</f>
        <v>-13701.141101204195</v>
      </c>
      <c r="R9" s="33">
        <f>-Operations!Q22</f>
        <v>-14249.186745252367</v>
      </c>
      <c r="S9" s="33">
        <f>-Operations!R22</f>
        <v>-14819.154215062461</v>
      </c>
      <c r="T9" s="33">
        <f>-Operations!S22</f>
        <v>-15411.920383664959</v>
      </c>
      <c r="U9" s="33">
        <f>-Operations!T22</f>
        <v>-16028.397199011559</v>
      </c>
      <c r="V9" s="33">
        <f>-Operations!U22</f>
        <v>-16669.533086972024</v>
      </c>
      <c r="W9" s="33">
        <f>-Operations!V22</f>
        <v>-17336.314410450905</v>
      </c>
      <c r="X9" s="33">
        <f>-Operations!W22</f>
        <v>-18029.766986868945</v>
      </c>
      <c r="Y9" s="33">
        <f>-Operations!X22</f>
        <v>-18750.9576663437</v>
      </c>
      <c r="Z9" s="33">
        <f>-Operations!Y22</f>
        <v>-19500.995972997451</v>
      </c>
      <c r="AA9" s="33">
        <f>-Operations!Z22</f>
        <v>-20281.035811917354</v>
      </c>
      <c r="AB9" s="33">
        <f>-Operations!AA22</f>
        <v>-21092.277244394045</v>
      </c>
      <c r="AC9" s="33">
        <f>-Operations!AB22</f>
        <v>-21935.968334169804</v>
      </c>
      <c r="AD9" s="33">
        <f>-Operations!AC22</f>
        <v>-22813.407067536598</v>
      </c>
      <c r="AE9" s="33">
        <f>-Operations!AD22</f>
        <v>-23725.943350238071</v>
      </c>
      <c r="AF9" s="33">
        <f>-Operations!AE22</f>
        <v>-24674.981084247589</v>
      </c>
      <c r="AG9" s="33">
        <f>-Operations!AF22</f>
        <v>-25661.980327617493</v>
      </c>
      <c r="AH9" s="33">
        <f>-Operations!AG22</f>
        <v>-26688.4595407222</v>
      </c>
      <c r="AI9" s="33">
        <f>-Operations!AH22</f>
        <v>-27755.997922351089</v>
      </c>
      <c r="AJ9" s="33">
        <f>-Operations!AI22</f>
        <v>-28866.237839245125</v>
      </c>
      <c r="AK9" s="33">
        <f>-Operations!AJ22</f>
        <v>-30020.887352814931</v>
      </c>
      <c r="AL9" s="33">
        <f>-Operations!AK22</f>
        <v>-31221.722846927536</v>
      </c>
      <c r="AM9" s="33">
        <f>-Operations!AL22</f>
        <v>-32470.591760804633</v>
      </c>
      <c r="AN9" s="33">
        <f>-Operations!AM22</f>
        <v>-33769.415431236826</v>
      </c>
      <c r="AO9" s="33">
        <f>-Operations!AN22</f>
        <v>-35120.1920484863</v>
      </c>
      <c r="AP9" s="33">
        <f>-Operations!AO22</f>
        <v>-36524.999730425749</v>
      </c>
      <c r="AQ9" s="33">
        <f>-Operations!AP22</f>
        <v>-37985.999719642787</v>
      </c>
      <c r="AR9" s="33">
        <f>-Operations!AQ22</f>
        <v>-39505.439708428494</v>
      </c>
      <c r="AS9" s="33">
        <f>-Operations!AR22</f>
        <v>-41085.657296765632</v>
      </c>
    </row>
    <row r="10" spans="2:46" x14ac:dyDescent="0.45"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</row>
    <row r="11" spans="2:46" x14ac:dyDescent="0.45">
      <c r="B11" t="s">
        <v>97</v>
      </c>
      <c r="C11" s="17" t="s">
        <v>90</v>
      </c>
      <c r="F11" s="33">
        <f>'P&amp;L Statement'!F27</f>
        <v>0</v>
      </c>
      <c r="G11" s="33">
        <f>'P&amp;L Statement'!G27</f>
        <v>0</v>
      </c>
      <c r="H11" s="33">
        <f>'P&amp;L Statement'!H27</f>
        <v>0</v>
      </c>
      <c r="I11" s="33">
        <f>'P&amp;L Statement'!I27</f>
        <v>0</v>
      </c>
      <c r="J11" s="33">
        <f>'P&amp;L Statement'!J27</f>
        <v>-17943.473951746993</v>
      </c>
      <c r="K11" s="33">
        <f>'P&amp;L Statement'!K27</f>
        <v>-18418.837753196258</v>
      </c>
      <c r="L11" s="33">
        <f>'P&amp;L Statement'!L27</f>
        <v>-18902.779897669989</v>
      </c>
      <c r="M11" s="33">
        <f>'P&amp;L Statement'!M27</f>
        <v>-19395.48738585196</v>
      </c>
      <c r="N11" s="33">
        <f>'P&amp;L Statement'!N27</f>
        <v>-19897.155441241601</v>
      </c>
      <c r="O11" s="33">
        <f>'P&amp;L Statement'!O27</f>
        <v>-20407.988138032888</v>
      </c>
      <c r="P11" s="33">
        <f>'P&amp;L Statement'!P27</f>
        <v>-20928.199080969855</v>
      </c>
      <c r="Q11" s="33">
        <f>'P&amp;L Statement'!Q27</f>
        <v>-21458.012141329782</v>
      </c>
      <c r="R11" s="33">
        <f>'P&amp;L Statement'!R27</f>
        <v>-21997.662253505685</v>
      </c>
      <c r="S11" s="33">
        <f>'P&amp;L Statement'!S27</f>
        <v>-22547.39627700366</v>
      </c>
      <c r="T11" s="33">
        <f>'P&amp;L Statement'!T27</f>
        <v>-23107.47392904188</v>
      </c>
      <c r="U11" s="33">
        <f>'P&amp;L Statement'!U27</f>
        <v>-23678.168793335746</v>
      </c>
      <c r="V11" s="33">
        <f>'P&amp;L Statement'!V27</f>
        <v>-24259.769411082561</v>
      </c>
      <c r="W11" s="33">
        <f>'P&amp;L Statement'!W27</f>
        <v>-24852.580460619542</v>
      </c>
      <c r="X11" s="33">
        <f>'P&amp;L Statement'!X27</f>
        <v>-25456.924032724455</v>
      </c>
      <c r="Y11" s="33">
        <f>'P&amp;L Statement'!Y27</f>
        <v>-26073.1410090606</v>
      </c>
      <c r="Z11" s="33">
        <f>'P&amp;L Statement'!Z27</f>
        <v>-26701.592551840491</v>
      </c>
      <c r="AA11" s="33">
        <f>'P&amp;L Statement'!AA27</f>
        <v>-27342.661713397963</v>
      </c>
      <c r="AB11" s="33">
        <f>'P&amp;L Statement'!AB27</f>
        <v>-27996.755175020455</v>
      </c>
      <c r="AC11" s="33">
        <f>'P&amp;L Statement'!AC27</f>
        <v>-28664.305125104209</v>
      </c>
      <c r="AD11" s="33">
        <f>'P&amp;L Statement'!AD27</f>
        <v>-29345.771287459658</v>
      </c>
      <c r="AE11" s="33">
        <f>'P&amp;L Statement'!AE27</f>
        <v>-30041.643111416659</v>
      </c>
      <c r="AF11" s="33">
        <f>'P&amp;L Statement'!AF27</f>
        <v>-30752.442136261696</v>
      </c>
      <c r="AG11" s="33">
        <f>'P&amp;L Statement'!AG27</f>
        <v>-31478.72454348937</v>
      </c>
      <c r="AH11" s="33">
        <f>'P&amp;L Statement'!AH27</f>
        <v>-32221.083911370533</v>
      </c>
      <c r="AI11" s="33">
        <f>'P&amp;L Statement'!AI27</f>
        <v>-32980.154187435539</v>
      </c>
      <c r="AJ11" s="33">
        <f>'P&amp;L Statement'!AJ27</f>
        <v>-33756.612895650658</v>
      </c>
      <c r="AK11" s="33">
        <f>'P&amp;L Statement'!AK27</f>
        <v>-34551.184596330771</v>
      </c>
      <c r="AL11" s="33">
        <f>'P&amp;L Statement'!AL27</f>
        <v>-35364.644618193612</v>
      </c>
      <c r="AM11" s="33">
        <f>'P&amp;L Statement'!AM27</f>
        <v>-36197.823083421965</v>
      </c>
      <c r="AN11" s="33">
        <f>'P&amp;L Statement'!AN27</f>
        <v>-37051.609248172703</v>
      </c>
      <c r="AO11" s="33">
        <f>'P&amp;L Statement'!AO27</f>
        <v>-37926.956182658978</v>
      </c>
      <c r="AP11" s="33">
        <f>'P&amp;L Statement'!AP27</f>
        <v>-38824.88581674661</v>
      </c>
      <c r="AQ11" s="33">
        <f>'P&amp;L Statement'!AQ27</f>
        <v>-39746.494378954725</v>
      </c>
      <c r="AR11" s="33">
        <f>'P&amp;L Statement'!AR27</f>
        <v>-40692.958258844534</v>
      </c>
      <c r="AS11" s="33">
        <f>'P&amp;L Statement'!AS27</f>
        <v>-41665.54032503067</v>
      </c>
    </row>
    <row r="12" spans="2:46" x14ac:dyDescent="0.45"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</row>
    <row r="13" spans="2:46" x14ac:dyDescent="0.45">
      <c r="B13" s="61" t="s">
        <v>115</v>
      </c>
      <c r="C13" s="26"/>
      <c r="D13" s="26"/>
      <c r="E13" s="26"/>
      <c r="F13" s="60">
        <f>SUM(F7+F9+F11)</f>
        <v>0</v>
      </c>
      <c r="G13" s="60">
        <f t="shared" ref="G13:AS13" si="0">SUM(G7+G9+G11)</f>
        <v>0</v>
      </c>
      <c r="H13" s="60">
        <f t="shared" si="0"/>
        <v>0</v>
      </c>
      <c r="I13" s="60">
        <f t="shared" si="0"/>
        <v>0</v>
      </c>
      <c r="J13" s="60">
        <f t="shared" si="0"/>
        <v>66804.960372118483</v>
      </c>
      <c r="K13" s="60">
        <f t="shared" si="0"/>
        <v>67816.33043346653</v>
      </c>
      <c r="L13" s="60">
        <f t="shared" si="0"/>
        <v>68840.527436098855</v>
      </c>
      <c r="M13" s="60">
        <f t="shared" si="0"/>
        <v>69877.459309299971</v>
      </c>
      <c r="N13" s="60">
        <f t="shared" si="0"/>
        <v>70927.014331109385</v>
      </c>
      <c r="O13" s="60">
        <f t="shared" si="0"/>
        <v>71989.059738792974</v>
      </c>
      <c r="P13" s="60">
        <f t="shared" si="0"/>
        <v>73063.440250781539</v>
      </c>
      <c r="Q13" s="60">
        <f t="shared" si="0"/>
        <v>74149.976494341128</v>
      </c>
      <c r="R13" s="60">
        <f t="shared" si="0"/>
        <v>75248.46333285459</v>
      </c>
      <c r="S13" s="60">
        <f t="shared" si="0"/>
        <v>76358.668086178761</v>
      </c>
      <c r="T13" s="60">
        <f t="shared" si="0"/>
        <v>77480.328637102939</v>
      </c>
      <c r="U13" s="60">
        <f t="shared" si="0"/>
        <v>78613.151416458655</v>
      </c>
      <c r="V13" s="60">
        <f t="shared" si="0"/>
        <v>79756.809258927504</v>
      </c>
      <c r="W13" s="60">
        <f t="shared" si="0"/>
        <v>80910.939121051299</v>
      </c>
      <c r="X13" s="60">
        <f t="shared" si="0"/>
        <v>82075.139652370766</v>
      </c>
      <c r="Y13" s="60">
        <f t="shared" si="0"/>
        <v>83248.968609999109</v>
      </c>
      <c r="Z13" s="60">
        <f t="shared" si="0"/>
        <v>84431.940106273541</v>
      </c>
      <c r="AA13" s="60">
        <f t="shared" si="0"/>
        <v>85623.52167841843</v>
      </c>
      <c r="AB13" s="60">
        <f t="shared" si="0"/>
        <v>86823.131168393898</v>
      </c>
      <c r="AC13" s="60">
        <f t="shared" si="0"/>
        <v>88030.133400290593</v>
      </c>
      <c r="AD13" s="60">
        <f t="shared" si="0"/>
        <v>89243.836641759612</v>
      </c>
      <c r="AE13" s="60">
        <f t="shared" si="0"/>
        <v>90463.488835036274</v>
      </c>
      <c r="AF13" s="60">
        <f t="shared" si="0"/>
        <v>91688.273582115537</v>
      </c>
      <c r="AG13" s="60">
        <f t="shared" si="0"/>
        <v>92917.305867570394</v>
      </c>
      <c r="AH13" s="60">
        <f t="shared" si="0"/>
        <v>94149.627501358089</v>
      </c>
      <c r="AI13" s="60">
        <f t="shared" si="0"/>
        <v>95384.20226273319</v>
      </c>
      <c r="AJ13" s="60">
        <f t="shared" si="0"/>
        <v>96619.910725074486</v>
      </c>
      <c r="AK13" s="60">
        <f t="shared" si="0"/>
        <v>97855.544740023965</v>
      </c>
      <c r="AL13" s="60">
        <f t="shared" si="0"/>
        <v>99089.801557831932</v>
      </c>
      <c r="AM13" s="60">
        <f t="shared" si="0"/>
        <v>100321.27755918552</v>
      </c>
      <c r="AN13" s="60">
        <f t="shared" si="0"/>
        <v>101548.46157207084</v>
      </c>
      <c r="AO13" s="60">
        <f t="shared" si="0"/>
        <v>102769.7277453647</v>
      </c>
      <c r="AP13" s="60">
        <f t="shared" si="0"/>
        <v>103983.32794886779</v>
      </c>
      <c r="AQ13" s="60">
        <f t="shared" si="0"/>
        <v>105187.38366736347</v>
      </c>
      <c r="AR13" s="60">
        <f t="shared" si="0"/>
        <v>106379.87735400716</v>
      </c>
      <c r="AS13" s="60">
        <f t="shared" si="0"/>
        <v>107558.64320590948</v>
      </c>
      <c r="AT13" s="9"/>
    </row>
    <row r="16" spans="2:46" x14ac:dyDescent="0.45">
      <c r="B16" t="s">
        <v>103</v>
      </c>
      <c r="C16" t="s">
        <v>90</v>
      </c>
      <c r="F16" s="33">
        <f>'P&amp;L Statement'!F21</f>
        <v>0</v>
      </c>
      <c r="G16" s="33">
        <f>'P&amp;L Statement'!G21</f>
        <v>0</v>
      </c>
      <c r="H16" s="33">
        <f>'P&amp;L Statement'!H21</f>
        <v>0</v>
      </c>
      <c r="I16" s="33">
        <f>'P&amp;L Statement'!I21</f>
        <v>0</v>
      </c>
      <c r="J16" s="33">
        <f>'P&amp;L Statement'!J21</f>
        <v>-15768.556207305683</v>
      </c>
      <c r="K16" s="33">
        <f>'P&amp;L Statement'!K21</f>
        <v>-15670.744065272105</v>
      </c>
      <c r="L16" s="33">
        <f>'P&amp;L Statement'!L21</f>
        <v>-15565.742730799057</v>
      </c>
      <c r="M16" s="33">
        <f>'P&amp;L Statement'!M21</f>
        <v>-15453.023798242239</v>
      </c>
      <c r="N16" s="33">
        <f>'P&amp;L Statement'!N21</f>
        <v>-15332.020024142495</v>
      </c>
      <c r="O16" s="33">
        <f>'P&amp;L Statement'!O21</f>
        <v>-15202.122472646421</v>
      </c>
      <c r="P16" s="33">
        <f>'P&amp;L Statement'!P21</f>
        <v>-15062.677451115385</v>
      </c>
      <c r="Q16" s="33">
        <f>'P&amp;L Statement'!Q21</f>
        <v>-14912.983220501819</v>
      </c>
      <c r="R16" s="33">
        <f>'P&amp;L Statement'!R21</f>
        <v>-14752.286463938153</v>
      </c>
      <c r="S16" s="33">
        <f>'P&amp;L Statement'!S21</f>
        <v>-14579.778495767061</v>
      </c>
      <c r="T16" s="33">
        <f>'P&amp;L Statement'!T21</f>
        <v>-14394.591191935393</v>
      </c>
      <c r="U16" s="33">
        <f>'P&amp;L Statement'!U21</f>
        <v>-14195.792621272096</v>
      </c>
      <c r="V16" s="33">
        <f>'P&amp;L Statement'!V21</f>
        <v>-13982.382355665048</v>
      </c>
      <c r="W16" s="33">
        <f>'P&amp;L Statement'!W21</f>
        <v>-13753.28643553588</v>
      </c>
      <c r="X16" s="33">
        <f>'P&amp;L Statement'!X21</f>
        <v>-13507.351965277219</v>
      </c>
      <c r="Y16" s="33">
        <f>'P&amp;L Statement'!Y21</f>
        <v>-13243.341311454547</v>
      </c>
      <c r="Z16" s="33">
        <f>'P&amp;L Statement'!Z21</f>
        <v>-12959.925874575909</v>
      </c>
      <c r="AA16" s="33">
        <f>'P&amp;L Statement'!AA21</f>
        <v>-12655.679403086691</v>
      </c>
      <c r="AB16" s="33">
        <f>'P&amp;L Statement'!AB21</f>
        <v>-12329.070815943016</v>
      </c>
      <c r="AC16" s="33">
        <f>'P&amp;L Statement'!AC21</f>
        <v>-11978.45649764428</v>
      </c>
      <c r="AD16" s="33">
        <f>'P&amp;L Statement'!AD21</f>
        <v>-11602.072026950585</v>
      </c>
      <c r="AE16" s="33">
        <f>'P&amp;L Statement'!AE21</f>
        <v>-11198.023297660906</v>
      </c>
      <c r="AF16" s="33">
        <f>'P&amp;L Statement'!AF21</f>
        <v>-10764.276986768433</v>
      </c>
      <c r="AG16" s="33">
        <f>'P&amp;L Statement'!AG21</f>
        <v>-10298.650322025367</v>
      </c>
      <c r="AH16" s="33">
        <f>'P&amp;L Statement'!AH21</f>
        <v>-9798.800097423682</v>
      </c>
      <c r="AI16" s="33">
        <f>'P&amp;L Statement'!AI21</f>
        <v>-9262.2108813137747</v>
      </c>
      <c r="AJ16" s="33">
        <f>'P&amp;L Statement'!AJ21</f>
        <v>-8686.1823578197909</v>
      </c>
      <c r="AK16" s="33">
        <f>'P&amp;L Statement'!AK21</f>
        <v>-8067.8157378489977</v>
      </c>
      <c r="AL16" s="33">
        <f>'P&amp;L Statement'!AL21</f>
        <v>-7403.9991713103518</v>
      </c>
      <c r="AM16" s="33">
        <f>'P&amp;L Statement'!AM21</f>
        <v>-6691.3920871311147</v>
      </c>
      <c r="AN16" s="33">
        <f>'P&amp;L Statement'!AN21</f>
        <v>-5926.4083822647044</v>
      </c>
      <c r="AO16" s="33">
        <f>'P&amp;L Statement'!AO21</f>
        <v>-5105.1983750906129</v>
      </c>
      <c r="AP16" s="33">
        <f>'P&amp;L Statement'!AP21</f>
        <v>-4223.6294323892243</v>
      </c>
      <c r="AQ16" s="33">
        <f>'P&amp;L Statement'!AQ21</f>
        <v>-3277.2651723992849</v>
      </c>
      <c r="AR16" s="33">
        <f>'P&amp;L Statement'!AR21</f>
        <v>-2261.3431393000847</v>
      </c>
      <c r="AS16" s="33">
        <f>'P&amp;L Statement'!AS21</f>
        <v>-1170.750836768093</v>
      </c>
    </row>
    <row r="18" spans="2:46" x14ac:dyDescent="0.45">
      <c r="B18" t="s">
        <v>109</v>
      </c>
      <c r="C18" t="s">
        <v>90</v>
      </c>
      <c r="F18" s="33">
        <f>Debt!E9</f>
        <v>0</v>
      </c>
      <c r="G18" s="33">
        <f>Debt!F9</f>
        <v>0</v>
      </c>
      <c r="H18" s="33">
        <f>Debt!G9</f>
        <v>0</v>
      </c>
      <c r="I18" s="33">
        <f>Debt!H9</f>
        <v>0</v>
      </c>
      <c r="J18" s="33">
        <f>Debt!I9</f>
        <v>-1330.7774426337407</v>
      </c>
      <c r="K18" s="33">
        <f>Debt!J9</f>
        <v>-1428.5895846673207</v>
      </c>
      <c r="L18" s="33">
        <f>Debt!K9</f>
        <v>-1533.5909191403691</v>
      </c>
      <c r="M18" s="33">
        <f>Debt!L9</f>
        <v>-1646.3098516971856</v>
      </c>
      <c r="N18" s="33">
        <f>Debt!M9</f>
        <v>-1767.313625796929</v>
      </c>
      <c r="O18" s="33">
        <f>Debt!N9</f>
        <v>-1897.2111772930039</v>
      </c>
      <c r="P18" s="33">
        <f>Debt!O9</f>
        <v>-2036.6561988240389</v>
      </c>
      <c r="Q18" s="33">
        <f>Debt!P9</f>
        <v>-2186.3504294376062</v>
      </c>
      <c r="R18" s="33">
        <f>Debt!Q9</f>
        <v>-2347.0471860012699</v>
      </c>
      <c r="S18" s="33">
        <f>Debt!R9</f>
        <v>-2519.5551541723639</v>
      </c>
      <c r="T18" s="33">
        <f>Debt!S9</f>
        <v>-2704.742458004032</v>
      </c>
      <c r="U18" s="33">
        <f>Debt!T9</f>
        <v>-2903.5410286673282</v>
      </c>
      <c r="V18" s="33">
        <f>Debt!U9</f>
        <v>-3116.9512942743772</v>
      </c>
      <c r="W18" s="33">
        <f>Debt!V9</f>
        <v>-3346.0472144035443</v>
      </c>
      <c r="X18" s="33">
        <f>Debt!W9</f>
        <v>-3591.9816846622048</v>
      </c>
      <c r="Y18" s="33">
        <f>Debt!X9</f>
        <v>-3855.9923384848762</v>
      </c>
      <c r="Z18" s="33">
        <f>Debt!Y9</f>
        <v>-4139.4077753635156</v>
      </c>
      <c r="AA18" s="33">
        <f>Debt!Z9</f>
        <v>-4443.6542468527341</v>
      </c>
      <c r="AB18" s="33">
        <f>Debt!AA9</f>
        <v>-4770.2628339964094</v>
      </c>
      <c r="AC18" s="33">
        <f>Debt!AB9</f>
        <v>-5120.8771522951447</v>
      </c>
      <c r="AD18" s="33">
        <f>Debt!AC9</f>
        <v>-5497.261622988839</v>
      </c>
      <c r="AE18" s="33">
        <f>Debt!AD9</f>
        <v>-5901.3103522785186</v>
      </c>
      <c r="AF18" s="33">
        <f>Debt!AE9</f>
        <v>-6335.0566631709889</v>
      </c>
      <c r="AG18" s="33">
        <f>Debt!AF9</f>
        <v>-6800.6833279140574</v>
      </c>
      <c r="AH18" s="33">
        <f>Debt!AG9</f>
        <v>-7300.5335525157407</v>
      </c>
      <c r="AI18" s="33">
        <f>Debt!AH9</f>
        <v>-7837.122768625647</v>
      </c>
      <c r="AJ18" s="33">
        <f>Debt!AI9</f>
        <v>-8413.1512921196336</v>
      </c>
      <c r="AK18" s="33">
        <f>Debt!AJ9</f>
        <v>-9031.5179120904268</v>
      </c>
      <c r="AL18" s="33">
        <f>Debt!AK9</f>
        <v>-9695.3344786290709</v>
      </c>
      <c r="AM18" s="33">
        <f>Debt!AL9</f>
        <v>-10407.94156280831</v>
      </c>
      <c r="AN18" s="33">
        <f>Debt!AM9</f>
        <v>-11172.92526767472</v>
      </c>
      <c r="AO18" s="33">
        <f>Debt!AN9</f>
        <v>-11994.135274848812</v>
      </c>
      <c r="AP18" s="33">
        <f>Debt!AO9</f>
        <v>-12875.704217550199</v>
      </c>
      <c r="AQ18" s="33">
        <f>Debt!AP9</f>
        <v>-13822.068477540139</v>
      </c>
      <c r="AR18" s="33">
        <f>Debt!AQ9</f>
        <v>-14837.990510639338</v>
      </c>
      <c r="AS18" s="33">
        <f>Debt!AR9</f>
        <v>-15928.582813171332</v>
      </c>
    </row>
    <row r="21" spans="2:46" x14ac:dyDescent="0.45">
      <c r="B21" s="52" t="s">
        <v>119</v>
      </c>
      <c r="C21" s="26"/>
      <c r="D21" s="26"/>
      <c r="E21" s="26"/>
      <c r="F21" s="60">
        <f>SUM(F13+F16+F18)</f>
        <v>0</v>
      </c>
      <c r="G21" s="60">
        <f t="shared" ref="G21:AS21" si="1">SUM(G13+G16+G18)</f>
        <v>0</v>
      </c>
      <c r="H21" s="60">
        <f t="shared" si="1"/>
        <v>0</v>
      </c>
      <c r="I21" s="60">
        <f t="shared" si="1"/>
        <v>0</v>
      </c>
      <c r="J21" s="60">
        <f t="shared" si="1"/>
        <v>49705.626722179062</v>
      </c>
      <c r="K21" s="60">
        <f t="shared" si="1"/>
        <v>50716.996783527102</v>
      </c>
      <c r="L21" s="60">
        <f t="shared" si="1"/>
        <v>51741.193786159427</v>
      </c>
      <c r="M21" s="60">
        <f t="shared" si="1"/>
        <v>52778.125659360543</v>
      </c>
      <c r="N21" s="60">
        <f t="shared" si="1"/>
        <v>53827.680681169957</v>
      </c>
      <c r="O21" s="60">
        <f t="shared" si="1"/>
        <v>54889.726088853553</v>
      </c>
      <c r="P21" s="60">
        <f t="shared" si="1"/>
        <v>55964.106600842118</v>
      </c>
      <c r="Q21" s="60">
        <f t="shared" si="1"/>
        <v>57050.642844401707</v>
      </c>
      <c r="R21" s="60">
        <f t="shared" si="1"/>
        <v>58149.129682915169</v>
      </c>
      <c r="S21" s="60">
        <f t="shared" si="1"/>
        <v>59259.33443623934</v>
      </c>
      <c r="T21" s="60">
        <f t="shared" si="1"/>
        <v>60380.994987163511</v>
      </c>
      <c r="U21" s="60">
        <f t="shared" si="1"/>
        <v>61513.817766519234</v>
      </c>
      <c r="V21" s="60">
        <f t="shared" si="1"/>
        <v>62657.475608988083</v>
      </c>
      <c r="W21" s="60">
        <f t="shared" si="1"/>
        <v>63811.605471111878</v>
      </c>
      <c r="X21" s="60">
        <f t="shared" si="1"/>
        <v>64975.806002431338</v>
      </c>
      <c r="Y21" s="60">
        <f t="shared" si="1"/>
        <v>66149.634960059688</v>
      </c>
      <c r="Z21" s="60">
        <f t="shared" si="1"/>
        <v>67332.606456334106</v>
      </c>
      <c r="AA21" s="60">
        <f t="shared" si="1"/>
        <v>68524.18802847901</v>
      </c>
      <c r="AB21" s="60">
        <f t="shared" si="1"/>
        <v>69723.797518454463</v>
      </c>
      <c r="AC21" s="60">
        <f t="shared" si="1"/>
        <v>70930.799750351172</v>
      </c>
      <c r="AD21" s="60">
        <f t="shared" si="1"/>
        <v>72144.502991820191</v>
      </c>
      <c r="AE21" s="60">
        <f t="shared" si="1"/>
        <v>73364.155185096839</v>
      </c>
      <c r="AF21" s="60">
        <f t="shared" si="1"/>
        <v>74588.939932176101</v>
      </c>
      <c r="AG21" s="60">
        <f t="shared" si="1"/>
        <v>75817.972217630973</v>
      </c>
      <c r="AH21" s="60">
        <f t="shared" si="1"/>
        <v>77050.293851418668</v>
      </c>
      <c r="AI21" s="60">
        <f t="shared" si="1"/>
        <v>78284.868612793769</v>
      </c>
      <c r="AJ21" s="60">
        <f t="shared" si="1"/>
        <v>79520.57707513505</v>
      </c>
      <c r="AK21" s="60">
        <f t="shared" si="1"/>
        <v>80756.211090084544</v>
      </c>
      <c r="AL21" s="60">
        <f t="shared" si="1"/>
        <v>81990.467907892511</v>
      </c>
      <c r="AM21" s="60">
        <f t="shared" si="1"/>
        <v>83221.943909246096</v>
      </c>
      <c r="AN21" s="60">
        <f t="shared" si="1"/>
        <v>84449.127922131418</v>
      </c>
      <c r="AO21" s="60">
        <f t="shared" si="1"/>
        <v>85670.394095425276</v>
      </c>
      <c r="AP21" s="60">
        <f t="shared" si="1"/>
        <v>86883.994298928374</v>
      </c>
      <c r="AQ21" s="60">
        <f t="shared" si="1"/>
        <v>88088.050017424044</v>
      </c>
      <c r="AR21" s="60">
        <f t="shared" si="1"/>
        <v>89280.543704067735</v>
      </c>
      <c r="AS21" s="60">
        <f t="shared" si="1"/>
        <v>90459.30955597006</v>
      </c>
      <c r="AT21" s="9"/>
    </row>
    <row r="24" spans="2:46" x14ac:dyDescent="0.45">
      <c r="B24" t="s">
        <v>116</v>
      </c>
      <c r="C24" s="17" t="s">
        <v>90</v>
      </c>
      <c r="F24" s="33">
        <f>-MIN(MAX('P&amp;L Statement'!F30*Inputs!$E$38,0),MAX(F21+E28,0))</f>
        <v>0</v>
      </c>
      <c r="G24" s="33">
        <f>-MIN(MAX('P&amp;L Statement'!G30*Inputs!$E$38,0),MAX(G21+F26,0))</f>
        <v>0</v>
      </c>
      <c r="H24" s="33">
        <f>-MIN(MAX('P&amp;L Statement'!H30*Inputs!$E$38,0),MAX(H21+G26,0))</f>
        <v>0</v>
      </c>
      <c r="I24" s="33">
        <f>-MIN(MAX('P&amp;L Statement'!I30*Inputs!$E$38,0),MAX(I21+H26,0))</f>
        <v>0</v>
      </c>
      <c r="J24" s="33">
        <f>-MIN(MAX('P&amp;L Statement'!J30*Inputs!$E$38,0),MAX(J21+I26,0))</f>
        <v>-41868.105887409656</v>
      </c>
      <c r="K24" s="33">
        <f>-MIN(MAX('P&amp;L Statement'!K30*Inputs!$E$38,0),MAX(K21+J26,0))</f>
        <v>-42977.288090791277</v>
      </c>
      <c r="L24" s="33">
        <f>-MIN(MAX('P&amp;L Statement'!L30*Inputs!$E$38,0),MAX(L21+K26,0))</f>
        <v>-44106.486427896642</v>
      </c>
      <c r="M24" s="33">
        <f>-MIN(MAX('P&amp;L Statement'!M30*Inputs!$E$38,0),MAX(M21+L26,0))</f>
        <v>-45256.137233654576</v>
      </c>
      <c r="N24" s="33">
        <f>-MIN(MAX('P&amp;L Statement'!N30*Inputs!$E$38,0),MAX(N21+M26,0))</f>
        <v>-46426.69602956374</v>
      </c>
      <c r="O24" s="33">
        <f>-MIN(MAX('P&amp;L Statement'!O30*Inputs!$E$38,0),MAX(O21+N26,0))</f>
        <v>-47618.638988743405</v>
      </c>
      <c r="P24" s="33">
        <f>-MIN(MAX('P&amp;L Statement'!P30*Inputs!$E$38,0),MAX(P21+O26,0))</f>
        <v>-48832.464522262999</v>
      </c>
      <c r="Q24" s="33">
        <f>-MIN(MAX('P&amp;L Statement'!Q30*Inputs!$E$38,0),MAX(Q21+P26,0))</f>
        <v>-50068.694996436163</v>
      </c>
      <c r="R24" s="33">
        <f>-MIN(MAX('P&amp;L Statement'!R30*Inputs!$E$38,0),MAX(R21+Q26,0))</f>
        <v>-51327.878591513276</v>
      </c>
      <c r="S24" s="33">
        <f>-MIN(MAX('P&amp;L Statement'!S30*Inputs!$E$38,0),MAX(S21+R26,0))</f>
        <v>-52610.591313008539</v>
      </c>
      <c r="T24" s="33">
        <f>-MIN(MAX('P&amp;L Statement'!T30*Inputs!$E$38,0),MAX(T21+S26,0))</f>
        <v>-53917.439167764387</v>
      </c>
      <c r="U24" s="33">
        <f>-MIN(MAX('P&amp;L Statement'!U30*Inputs!$E$38,0),MAX(U21+T26,0))</f>
        <v>-55249.060517783408</v>
      </c>
      <c r="V24" s="33">
        <f>-MIN(MAX('P&amp;L Statement'!V30*Inputs!$E$38,0),MAX(V21+U26,0))</f>
        <v>-56606.12862585931</v>
      </c>
      <c r="W24" s="33">
        <f>-MIN(MAX('P&amp;L Statement'!W30*Inputs!$E$38,0),MAX(W21+V26,0))</f>
        <v>-57989.354408112267</v>
      </c>
      <c r="X24" s="33">
        <f>-MIN(MAX('P&amp;L Statement'!X30*Inputs!$E$38,0),MAX(X21+W26,0))</f>
        <v>-59399.489409690395</v>
      </c>
      <c r="Y24" s="33">
        <f>-MIN(MAX('P&amp;L Statement'!Y30*Inputs!$E$38,0),MAX(Y21+X26,0))</f>
        <v>-60837.329021141406</v>
      </c>
      <c r="Z24" s="33">
        <f>-MIN(MAX('P&amp;L Statement'!Z30*Inputs!$E$38,0),MAX(Z21+Y26,0))</f>
        <v>-62303.715954294479</v>
      </c>
      <c r="AA24" s="33">
        <f>-MIN(MAX('P&amp;L Statement'!AA30*Inputs!$E$38,0),MAX(AA21+Z26,0))</f>
        <v>-63799.543997928587</v>
      </c>
      <c r="AB24" s="33">
        <f>-MIN(MAX('P&amp;L Statement'!AB30*Inputs!$E$38,0),MAX(AB21+AA26,0))</f>
        <v>-65325.762075047722</v>
      </c>
      <c r="AC24" s="33">
        <f>-MIN(MAX('P&amp;L Statement'!AC30*Inputs!$E$38,0),MAX(AC21+AB26,0))</f>
        <v>-66883.37862524316</v>
      </c>
      <c r="AD24" s="33">
        <f>-MIN(MAX('P&amp;L Statement'!AD30*Inputs!$E$38,0),MAX(AD21+AC26,0))</f>
        <v>-68473.466337405873</v>
      </c>
      <c r="AE24" s="33">
        <f>-MIN(MAX('P&amp;L Statement'!AE30*Inputs!$E$38,0),MAX(AE21+AD26,0))</f>
        <v>-70097.167259972208</v>
      </c>
      <c r="AF24" s="33">
        <f>-MIN(MAX('P&amp;L Statement'!AF30*Inputs!$E$38,0),MAX(AF21+AE26,0))</f>
        <v>-71755.698317943956</v>
      </c>
      <c r="AG24" s="33">
        <f>-MIN(MAX('P&amp;L Statement'!AG30*Inputs!$E$38,0),MAX(AG21+AF26,0))</f>
        <v>-73450.357268141874</v>
      </c>
      <c r="AH24" s="33">
        <f>-MIN(MAX('P&amp;L Statement'!AH30*Inputs!$E$38,0),MAX(AH21+AG26,0))</f>
        <v>-75182.529126531255</v>
      </c>
      <c r="AI24" s="33">
        <f>-MIN(MAX('P&amp;L Statement'!AI30*Inputs!$E$38,0),MAX(AI21+AH26,0))</f>
        <v>-76953.693104016274</v>
      </c>
      <c r="AJ24" s="33">
        <f>-MIN(MAX('P&amp;L Statement'!AJ30*Inputs!$E$38,0),MAX(AJ21+AI26,0))</f>
        <v>-78765.430089851536</v>
      </c>
      <c r="AK24" s="33">
        <f>-MIN(MAX('P&amp;L Statement'!AK30*Inputs!$E$38,0),MAX(AK21+AJ26,0))</f>
        <v>-80619.43072477181</v>
      </c>
      <c r="AL24" s="33">
        <f>-MIN(MAX('P&amp;L Statement'!AL30*Inputs!$E$38,0),MAX(AL21+AK26,0))</f>
        <v>-82127.248273205245</v>
      </c>
      <c r="AM24" s="33">
        <f>-MIN(MAX('P&amp;L Statement'!AM30*Inputs!$E$38,0),MAX(AM21+AL26,0))</f>
        <v>-83085.163543933362</v>
      </c>
      <c r="AN24" s="33">
        <f>-MIN(MAX('P&amp;L Statement'!AN30*Inputs!$E$38,0),MAX(AN21+AM26,0))</f>
        <v>-84585.908287444152</v>
      </c>
      <c r="AO24" s="33">
        <f>-MIN(MAX('P&amp;L Statement'!AO30*Inputs!$E$38,0),MAX(AO21+AN26,0))</f>
        <v>-85533.613730112542</v>
      </c>
      <c r="AP24" s="33">
        <f>-MIN(MAX('P&amp;L Statement'!AP30*Inputs!$E$38,0),MAX(AP21+AO26,0))</f>
        <v>-87020.774664241108</v>
      </c>
      <c r="AQ24" s="33">
        <f>-MIN(MAX('P&amp;L Statement'!AQ30*Inputs!$E$38,0),MAX(AQ21+AP26,0))</f>
        <v>-87951.26965211131</v>
      </c>
      <c r="AR24" s="33">
        <f>-MIN(MAX('P&amp;L Statement'!AR30*Inputs!$E$38,0),MAX(AR21+AQ26,0))</f>
        <v>-89417.324069380469</v>
      </c>
      <c r="AS24" s="33">
        <f>-MIN(MAX('P&amp;L Statement'!AS30*Inputs!$E$38,0),MAX(AS21+AR26,0))</f>
        <v>-90322.529190657326</v>
      </c>
    </row>
    <row r="26" spans="2:46" x14ac:dyDescent="0.45">
      <c r="B26" t="s">
        <v>117</v>
      </c>
      <c r="C26" s="17" t="s">
        <v>90</v>
      </c>
      <c r="F26" s="33">
        <f>(SUM(F21+F24))</f>
        <v>0</v>
      </c>
      <c r="G26" s="33">
        <f t="shared" ref="G26:AS26" si="2">(SUM(G21+G24))</f>
        <v>0</v>
      </c>
      <c r="H26" s="33">
        <f t="shared" si="2"/>
        <v>0</v>
      </c>
      <c r="I26" s="33">
        <f t="shared" si="2"/>
        <v>0</v>
      </c>
      <c r="J26" s="33">
        <f t="shared" si="2"/>
        <v>7837.5208347694061</v>
      </c>
      <c r="K26" s="33">
        <f t="shared" si="2"/>
        <v>7739.708692735825</v>
      </c>
      <c r="L26" s="33">
        <f t="shared" si="2"/>
        <v>7634.7073582627854</v>
      </c>
      <c r="M26" s="33">
        <f t="shared" si="2"/>
        <v>7521.9884257059675</v>
      </c>
      <c r="N26" s="33">
        <f t="shared" si="2"/>
        <v>7400.9846516062171</v>
      </c>
      <c r="O26" s="33">
        <f t="shared" si="2"/>
        <v>7271.0871001101477</v>
      </c>
      <c r="P26" s="33">
        <f t="shared" si="2"/>
        <v>7131.6420785791197</v>
      </c>
      <c r="Q26" s="33">
        <f t="shared" si="2"/>
        <v>6981.9478479655445</v>
      </c>
      <c r="R26" s="33">
        <f t="shared" si="2"/>
        <v>6821.2510914018931</v>
      </c>
      <c r="S26" s="33">
        <f t="shared" si="2"/>
        <v>6648.7431232308008</v>
      </c>
      <c r="T26" s="33">
        <f t="shared" si="2"/>
        <v>6463.5558193991237</v>
      </c>
      <c r="U26" s="33">
        <f t="shared" si="2"/>
        <v>6264.7572487358266</v>
      </c>
      <c r="V26" s="33">
        <f t="shared" si="2"/>
        <v>6051.346983128773</v>
      </c>
      <c r="W26" s="33">
        <f t="shared" si="2"/>
        <v>5822.2510629996104</v>
      </c>
      <c r="X26" s="33">
        <f t="shared" si="2"/>
        <v>5576.3165927409427</v>
      </c>
      <c r="Y26" s="33">
        <f t="shared" si="2"/>
        <v>5312.3059389182818</v>
      </c>
      <c r="Z26" s="33">
        <f t="shared" si="2"/>
        <v>5028.8905020396269</v>
      </c>
      <c r="AA26" s="33">
        <f t="shared" si="2"/>
        <v>4724.644030550422</v>
      </c>
      <c r="AB26" s="33">
        <f t="shared" si="2"/>
        <v>4398.0354434067413</v>
      </c>
      <c r="AC26" s="33">
        <f t="shared" si="2"/>
        <v>4047.4211251080123</v>
      </c>
      <c r="AD26" s="33">
        <f t="shared" si="2"/>
        <v>3671.036654414318</v>
      </c>
      <c r="AE26" s="33">
        <f t="shared" si="2"/>
        <v>3266.9879251246311</v>
      </c>
      <c r="AF26" s="33">
        <f t="shared" si="2"/>
        <v>2833.2416142321454</v>
      </c>
      <c r="AG26" s="33">
        <f t="shared" si="2"/>
        <v>2367.6149494890997</v>
      </c>
      <c r="AH26" s="33">
        <f t="shared" si="2"/>
        <v>1867.7647248874127</v>
      </c>
      <c r="AI26" s="33">
        <f t="shared" si="2"/>
        <v>1331.1755087774945</v>
      </c>
      <c r="AJ26" s="33">
        <f t="shared" si="2"/>
        <v>755.14698528351437</v>
      </c>
      <c r="AK26" s="33">
        <f t="shared" si="2"/>
        <v>136.78036531273392</v>
      </c>
      <c r="AL26" s="33">
        <f t="shared" si="2"/>
        <v>-136.78036531273392</v>
      </c>
      <c r="AM26" s="33">
        <f t="shared" si="2"/>
        <v>136.78036531273392</v>
      </c>
      <c r="AN26" s="33">
        <f t="shared" si="2"/>
        <v>-136.78036531273392</v>
      </c>
      <c r="AO26" s="33">
        <f t="shared" si="2"/>
        <v>136.78036531273392</v>
      </c>
      <c r="AP26" s="33">
        <f t="shared" si="2"/>
        <v>-136.78036531273392</v>
      </c>
      <c r="AQ26" s="33">
        <f t="shared" si="2"/>
        <v>136.78036531273392</v>
      </c>
      <c r="AR26" s="33">
        <f t="shared" si="2"/>
        <v>-136.78036531273392</v>
      </c>
      <c r="AS26" s="33">
        <f t="shared" si="2"/>
        <v>136.78036531273392</v>
      </c>
    </row>
    <row r="28" spans="2:46" x14ac:dyDescent="0.45">
      <c r="B28" t="s">
        <v>118</v>
      </c>
      <c r="C28" s="17" t="s">
        <v>90</v>
      </c>
      <c r="F28" s="33">
        <f>SUM(F26+E28)</f>
        <v>0</v>
      </c>
      <c r="G28" s="33">
        <f t="shared" ref="G28:AS28" si="3">SUM(G26+F28)</f>
        <v>0</v>
      </c>
      <c r="H28" s="33">
        <f t="shared" si="3"/>
        <v>0</v>
      </c>
      <c r="I28" s="33">
        <f t="shared" si="3"/>
        <v>0</v>
      </c>
      <c r="J28" s="33">
        <f t="shared" si="3"/>
        <v>7837.5208347694061</v>
      </c>
      <c r="K28" s="33">
        <f t="shared" si="3"/>
        <v>15577.229527505231</v>
      </c>
      <c r="L28" s="33">
        <f t="shared" si="3"/>
        <v>23211.936885768017</v>
      </c>
      <c r="M28" s="33">
        <f t="shared" si="3"/>
        <v>30733.925311473984</v>
      </c>
      <c r="N28" s="33">
        <f t="shared" si="3"/>
        <v>38134.909963080201</v>
      </c>
      <c r="O28" s="33">
        <f t="shared" si="3"/>
        <v>45405.997063190349</v>
      </c>
      <c r="P28" s="33">
        <f t="shared" si="3"/>
        <v>52537.639141769469</v>
      </c>
      <c r="Q28" s="33">
        <f t="shared" si="3"/>
        <v>59519.586989735013</v>
      </c>
      <c r="R28" s="33">
        <f t="shared" si="3"/>
        <v>66340.838081136899</v>
      </c>
      <c r="S28" s="33">
        <f t="shared" si="3"/>
        <v>72989.5812043677</v>
      </c>
      <c r="T28" s="33">
        <f t="shared" si="3"/>
        <v>79453.137023766816</v>
      </c>
      <c r="U28" s="33">
        <f t="shared" si="3"/>
        <v>85717.894272502643</v>
      </c>
      <c r="V28" s="33">
        <f t="shared" si="3"/>
        <v>91769.241255631408</v>
      </c>
      <c r="W28" s="33">
        <f t="shared" si="3"/>
        <v>97591.492318631019</v>
      </c>
      <c r="X28" s="33">
        <f t="shared" si="3"/>
        <v>103167.80891137196</v>
      </c>
      <c r="Y28" s="33">
        <f t="shared" si="3"/>
        <v>108480.11485029024</v>
      </c>
      <c r="Z28" s="33">
        <f t="shared" si="3"/>
        <v>113509.00535232987</v>
      </c>
      <c r="AA28" s="33">
        <f t="shared" si="3"/>
        <v>118233.64938288029</v>
      </c>
      <c r="AB28" s="33">
        <f t="shared" si="3"/>
        <v>122631.68482628703</v>
      </c>
      <c r="AC28" s="33">
        <f t="shared" si="3"/>
        <v>126679.10595139505</v>
      </c>
      <c r="AD28" s="33">
        <f t="shared" si="3"/>
        <v>130350.14260580936</v>
      </c>
      <c r="AE28" s="33">
        <f t="shared" si="3"/>
        <v>133617.130530934</v>
      </c>
      <c r="AF28" s="33">
        <f t="shared" si="3"/>
        <v>136450.37214516615</v>
      </c>
      <c r="AG28" s="33">
        <f t="shared" si="3"/>
        <v>138817.98709465525</v>
      </c>
      <c r="AH28" s="33">
        <f t="shared" si="3"/>
        <v>140685.75181954267</v>
      </c>
      <c r="AI28" s="33">
        <f t="shared" si="3"/>
        <v>142016.92732832016</v>
      </c>
      <c r="AJ28" s="33">
        <f t="shared" si="3"/>
        <v>142772.07431360369</v>
      </c>
      <c r="AK28" s="33">
        <f t="shared" si="3"/>
        <v>142908.85467891642</v>
      </c>
      <c r="AL28" s="33">
        <f t="shared" si="3"/>
        <v>142772.07431360369</v>
      </c>
      <c r="AM28" s="33">
        <f t="shared" si="3"/>
        <v>142908.85467891642</v>
      </c>
      <c r="AN28" s="33">
        <f t="shared" si="3"/>
        <v>142772.07431360369</v>
      </c>
      <c r="AO28" s="33">
        <f t="shared" si="3"/>
        <v>142908.85467891642</v>
      </c>
      <c r="AP28" s="33">
        <f t="shared" si="3"/>
        <v>142772.07431360369</v>
      </c>
      <c r="AQ28" s="33">
        <f t="shared" si="3"/>
        <v>142908.85467891642</v>
      </c>
      <c r="AR28" s="33">
        <f t="shared" si="3"/>
        <v>142772.07431360369</v>
      </c>
      <c r="AS28" s="33">
        <f t="shared" si="3"/>
        <v>142908.85467891642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B4F6-052C-433D-8836-D683C5696E8D}">
  <sheetPr codeName="Sheet10"/>
  <dimension ref="A2:AT19"/>
  <sheetViews>
    <sheetView showGridLines="0" workbookViewId="0">
      <pane xSplit="3" topLeftCell="D1" activePane="topRight" state="frozen"/>
      <selection pane="topRight" activeCell="AI28" sqref="AI28"/>
    </sheetView>
  </sheetViews>
  <sheetFormatPr defaultColWidth="0" defaultRowHeight="14.25" x14ac:dyDescent="0.45"/>
  <cols>
    <col min="1" max="1" width="8.86328125" customWidth="1"/>
    <col min="2" max="2" width="16.86328125" customWidth="1"/>
    <col min="3" max="46" width="8.86328125" customWidth="1"/>
    <col min="47" max="16384" width="8.86328125" hidden="1"/>
  </cols>
  <sheetData>
    <row r="2" spans="2:46" x14ac:dyDescent="0.45">
      <c r="B2" s="18" t="s">
        <v>43</v>
      </c>
      <c r="C2" s="29"/>
      <c r="D2" s="29"/>
      <c r="E2" s="15"/>
      <c r="F2" s="29">
        <v>1</v>
      </c>
      <c r="G2" s="29">
        <v>2</v>
      </c>
      <c r="H2" s="29">
        <v>3</v>
      </c>
      <c r="I2" s="29">
        <v>4</v>
      </c>
      <c r="J2" s="29">
        <v>5</v>
      </c>
      <c r="K2" s="29">
        <v>6</v>
      </c>
      <c r="L2" s="29">
        <v>7</v>
      </c>
      <c r="M2" s="29">
        <v>8</v>
      </c>
      <c r="N2" s="29">
        <v>9</v>
      </c>
      <c r="O2" s="29">
        <v>10</v>
      </c>
      <c r="P2" s="29">
        <v>11</v>
      </c>
      <c r="Q2" s="29">
        <v>12</v>
      </c>
      <c r="R2" s="29">
        <v>13</v>
      </c>
      <c r="S2" s="29">
        <v>14</v>
      </c>
      <c r="T2" s="29">
        <v>15</v>
      </c>
      <c r="U2" s="29">
        <v>16</v>
      </c>
      <c r="V2" s="29">
        <v>17</v>
      </c>
      <c r="W2" s="29">
        <v>18</v>
      </c>
      <c r="X2" s="29">
        <v>19</v>
      </c>
      <c r="Y2" s="29">
        <v>20</v>
      </c>
      <c r="Z2" s="29">
        <v>21</v>
      </c>
      <c r="AA2" s="29">
        <v>22</v>
      </c>
      <c r="AB2" s="29">
        <v>23</v>
      </c>
      <c r="AC2" s="29">
        <v>24</v>
      </c>
      <c r="AD2" s="29">
        <v>25</v>
      </c>
      <c r="AE2" s="29">
        <v>26</v>
      </c>
      <c r="AF2" s="29">
        <v>27</v>
      </c>
      <c r="AG2" s="29">
        <v>28</v>
      </c>
      <c r="AH2" s="29">
        <v>29</v>
      </c>
      <c r="AI2" s="29">
        <v>30</v>
      </c>
      <c r="AJ2" s="29">
        <v>31</v>
      </c>
      <c r="AK2" s="29">
        <v>32</v>
      </c>
      <c r="AL2" s="29">
        <v>33</v>
      </c>
      <c r="AM2" s="29">
        <v>34</v>
      </c>
      <c r="AN2" s="29">
        <v>35</v>
      </c>
      <c r="AO2" s="29">
        <v>36</v>
      </c>
      <c r="AP2" s="29">
        <v>37</v>
      </c>
      <c r="AQ2" s="29">
        <v>38</v>
      </c>
      <c r="AR2" s="29">
        <v>39</v>
      </c>
      <c r="AS2" s="30">
        <v>40</v>
      </c>
    </row>
    <row r="5" spans="2:46" x14ac:dyDescent="0.45">
      <c r="B5" s="18" t="s">
        <v>120</v>
      </c>
      <c r="C5" s="29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/>
    </row>
    <row r="7" spans="2:46" x14ac:dyDescent="0.45">
      <c r="B7" t="s">
        <v>121</v>
      </c>
      <c r="C7" t="s">
        <v>90</v>
      </c>
      <c r="F7" s="33">
        <f>'A&amp;D '!F9</f>
        <v>82610.739837268236</v>
      </c>
      <c r="G7" s="33">
        <f>'A&amp;D '!G9</f>
        <v>162003.40786173806</v>
      </c>
      <c r="H7" s="33">
        <f>'A&amp;D '!H9</f>
        <v>243860.82857094923</v>
      </c>
      <c r="I7" s="33">
        <f>'A&amp;D '!I9</f>
        <v>330058.73798651341</v>
      </c>
      <c r="J7" s="33">
        <f>'A&amp;D '!J9</f>
        <v>320890.43970911024</v>
      </c>
      <c r="K7" s="33">
        <f>'A&amp;D '!K9</f>
        <v>311722.14143170707</v>
      </c>
      <c r="L7" s="33">
        <f>'A&amp;D '!L9</f>
        <v>302553.8431543039</v>
      </c>
      <c r="M7" s="33">
        <f>'A&amp;D '!M9</f>
        <v>293385.54487690073</v>
      </c>
      <c r="N7" s="33">
        <f>'A&amp;D '!N9</f>
        <v>284217.24659949756</v>
      </c>
      <c r="O7" s="33">
        <f>'A&amp;D '!O9</f>
        <v>275048.94832209439</v>
      </c>
      <c r="P7" s="33">
        <f>'A&amp;D '!P9</f>
        <v>265880.65004469123</v>
      </c>
      <c r="Q7" s="33">
        <f>'A&amp;D '!Q9</f>
        <v>256712.35176728808</v>
      </c>
      <c r="R7" s="33">
        <f>'A&amp;D '!R9</f>
        <v>247544.05348988494</v>
      </c>
      <c r="S7" s="33">
        <f>'A&amp;D '!S9</f>
        <v>238375.7552124818</v>
      </c>
      <c r="T7" s="33">
        <f>'A&amp;D '!T9</f>
        <v>229207.45693507866</v>
      </c>
      <c r="U7" s="33">
        <f>'A&amp;D '!U9</f>
        <v>220039.15865767552</v>
      </c>
      <c r="V7" s="33">
        <f>'A&amp;D '!V9</f>
        <v>210870.86038027238</v>
      </c>
      <c r="W7" s="33">
        <f>'A&amp;D '!W9</f>
        <v>201702.56210286924</v>
      </c>
      <c r="X7" s="33">
        <f>'A&amp;D '!X9</f>
        <v>192534.2638254661</v>
      </c>
      <c r="Y7" s="33">
        <f>'A&amp;D '!Y9</f>
        <v>183365.96554806296</v>
      </c>
      <c r="Z7" s="33">
        <f>'A&amp;D '!Z9</f>
        <v>174197.66727065982</v>
      </c>
      <c r="AA7" s="33">
        <f>'A&amp;D '!AA9</f>
        <v>165029.36899325668</v>
      </c>
      <c r="AB7" s="33">
        <f>'A&amp;D '!AB9</f>
        <v>155861.07071585354</v>
      </c>
      <c r="AC7" s="33">
        <f>'A&amp;D '!AC9</f>
        <v>146692.7724384504</v>
      </c>
      <c r="AD7" s="33">
        <f>'A&amp;D '!AD9</f>
        <v>137524.47416104726</v>
      </c>
      <c r="AE7" s="33">
        <f>'A&amp;D '!AE9</f>
        <v>128356.1758836441</v>
      </c>
      <c r="AF7" s="33">
        <f>'A&amp;D '!AF9</f>
        <v>119187.87760624095</v>
      </c>
      <c r="AG7" s="33">
        <f>'A&amp;D '!AG9</f>
        <v>110019.57932883779</v>
      </c>
      <c r="AH7" s="33">
        <f>'A&amp;D '!AH9</f>
        <v>100851.28105143463</v>
      </c>
      <c r="AI7" s="33">
        <f>'A&amp;D '!AI9</f>
        <v>91682.982774031479</v>
      </c>
      <c r="AJ7" s="33">
        <f>'A&amp;D '!AJ9</f>
        <v>82514.684496628324</v>
      </c>
      <c r="AK7" s="33">
        <f>'A&amp;D '!AK9</f>
        <v>73346.386219225169</v>
      </c>
      <c r="AL7" s="33">
        <f>'A&amp;D '!AL9</f>
        <v>64178.087941822021</v>
      </c>
      <c r="AM7" s="33">
        <f>'A&amp;D '!AM9</f>
        <v>55009.789664418873</v>
      </c>
      <c r="AN7" s="33">
        <f>'A&amp;D '!AN9</f>
        <v>45841.491387015725</v>
      </c>
      <c r="AO7" s="33">
        <f>'A&amp;D '!AO9</f>
        <v>36673.193109612577</v>
      </c>
      <c r="AP7" s="33">
        <f>'A&amp;D '!AP9</f>
        <v>27504.894832209429</v>
      </c>
      <c r="AQ7" s="33">
        <f>'A&amp;D '!AQ9</f>
        <v>18336.596554806281</v>
      </c>
      <c r="AR7" s="33">
        <f>'A&amp;D '!AR9</f>
        <v>9168.2982774031316</v>
      </c>
      <c r="AS7" s="33">
        <f>'A&amp;D '!AS9</f>
        <v>-1.8189894035458565E-11</v>
      </c>
    </row>
    <row r="8" spans="2:46" x14ac:dyDescent="0.45">
      <c r="B8" t="s">
        <v>122</v>
      </c>
      <c r="C8" t="s">
        <v>90</v>
      </c>
      <c r="F8" s="33">
        <f>CFS!F28</f>
        <v>0</v>
      </c>
      <c r="G8" s="33">
        <f>CFS!G28</f>
        <v>0</v>
      </c>
      <c r="H8" s="33">
        <f>CFS!H28</f>
        <v>0</v>
      </c>
      <c r="I8" s="33">
        <f>CFS!I28</f>
        <v>0</v>
      </c>
      <c r="J8" s="33">
        <f>CFS!J28</f>
        <v>7837.5208347694061</v>
      </c>
      <c r="K8" s="33">
        <f>CFS!K28</f>
        <v>15577.229527505231</v>
      </c>
      <c r="L8" s="33">
        <f>CFS!L28</f>
        <v>23211.936885768017</v>
      </c>
      <c r="M8" s="33">
        <f>CFS!M28</f>
        <v>30733.925311473984</v>
      </c>
      <c r="N8" s="33">
        <f>CFS!N28</f>
        <v>38134.909963080201</v>
      </c>
      <c r="O8" s="33">
        <f>CFS!O28</f>
        <v>45405.997063190349</v>
      </c>
      <c r="P8" s="33">
        <f>CFS!P28</f>
        <v>52537.639141769469</v>
      </c>
      <c r="Q8" s="33">
        <f>CFS!Q28</f>
        <v>59519.586989735013</v>
      </c>
      <c r="R8" s="33">
        <f>CFS!R28</f>
        <v>66340.838081136899</v>
      </c>
      <c r="S8" s="33">
        <f>CFS!S28</f>
        <v>72989.5812043677</v>
      </c>
      <c r="T8" s="33">
        <f>CFS!T28</f>
        <v>79453.137023766816</v>
      </c>
      <c r="U8" s="33">
        <f>CFS!U28</f>
        <v>85717.894272502643</v>
      </c>
      <c r="V8" s="33">
        <f>CFS!V28</f>
        <v>91769.241255631408</v>
      </c>
      <c r="W8" s="33">
        <f>CFS!W28</f>
        <v>97591.492318631019</v>
      </c>
      <c r="X8" s="33">
        <f>CFS!X28</f>
        <v>103167.80891137196</v>
      </c>
      <c r="Y8" s="33">
        <f>CFS!Y28</f>
        <v>108480.11485029024</v>
      </c>
      <c r="Z8" s="33">
        <f>CFS!Z28</f>
        <v>113509.00535232987</v>
      </c>
      <c r="AA8" s="33">
        <f>CFS!AA28</f>
        <v>118233.64938288029</v>
      </c>
      <c r="AB8" s="33">
        <f>CFS!AB28</f>
        <v>122631.68482628703</v>
      </c>
      <c r="AC8" s="33">
        <f>CFS!AC28</f>
        <v>126679.10595139505</v>
      </c>
      <c r="AD8" s="33">
        <f>CFS!AD28</f>
        <v>130350.14260580936</v>
      </c>
      <c r="AE8" s="33">
        <f>CFS!AE28</f>
        <v>133617.130530934</v>
      </c>
      <c r="AF8" s="33">
        <f>CFS!AF28</f>
        <v>136450.37214516615</v>
      </c>
      <c r="AG8" s="33">
        <f>CFS!AG28</f>
        <v>138817.98709465525</v>
      </c>
      <c r="AH8" s="33">
        <f>CFS!AH28</f>
        <v>140685.75181954267</v>
      </c>
      <c r="AI8" s="33">
        <f>CFS!AI28</f>
        <v>142016.92732832016</v>
      </c>
      <c r="AJ8" s="33">
        <f>CFS!AJ28</f>
        <v>142772.07431360369</v>
      </c>
      <c r="AK8" s="33">
        <f>CFS!AK28</f>
        <v>142908.85467891642</v>
      </c>
      <c r="AL8" s="33">
        <f>CFS!AL28</f>
        <v>142772.07431360369</v>
      </c>
      <c r="AM8" s="33">
        <f>CFS!AM28</f>
        <v>142908.85467891642</v>
      </c>
      <c r="AN8" s="33">
        <f>CFS!AN28</f>
        <v>142772.07431360369</v>
      </c>
      <c r="AO8" s="33">
        <f>CFS!AO28</f>
        <v>142908.85467891642</v>
      </c>
      <c r="AP8" s="33">
        <f>CFS!AP28</f>
        <v>142772.07431360369</v>
      </c>
      <c r="AQ8" s="33">
        <f>CFS!AQ28</f>
        <v>142908.85467891642</v>
      </c>
      <c r="AR8" s="33">
        <f>CFS!AR28</f>
        <v>142772.07431360369</v>
      </c>
      <c r="AS8" s="33">
        <f>CFS!AS28</f>
        <v>142908.85467891642</v>
      </c>
    </row>
    <row r="9" spans="2:46" x14ac:dyDescent="0.45">
      <c r="B9" s="27" t="s">
        <v>79</v>
      </c>
      <c r="C9" s="21"/>
      <c r="D9" s="21"/>
      <c r="E9" s="21"/>
      <c r="F9" s="53">
        <f>F7+F8</f>
        <v>82610.739837268236</v>
      </c>
      <c r="G9" s="53">
        <f t="shared" ref="G9:AS9" si="0">G7+G8</f>
        <v>162003.40786173806</v>
      </c>
      <c r="H9" s="53">
        <f t="shared" si="0"/>
        <v>243860.82857094923</v>
      </c>
      <c r="I9" s="53">
        <f t="shared" si="0"/>
        <v>330058.73798651341</v>
      </c>
      <c r="J9" s="53">
        <f t="shared" si="0"/>
        <v>328727.96054387966</v>
      </c>
      <c r="K9" s="53">
        <f t="shared" si="0"/>
        <v>327299.37095921231</v>
      </c>
      <c r="L9" s="53">
        <f t="shared" si="0"/>
        <v>325765.78004007193</v>
      </c>
      <c r="M9" s="53">
        <f t="shared" si="0"/>
        <v>324119.47018837475</v>
      </c>
      <c r="N9" s="53">
        <f t="shared" si="0"/>
        <v>322352.15656257776</v>
      </c>
      <c r="O9" s="53">
        <f t="shared" si="0"/>
        <v>320454.94538528472</v>
      </c>
      <c r="P9" s="53">
        <f t="shared" si="0"/>
        <v>318418.28918646066</v>
      </c>
      <c r="Q9" s="53">
        <f t="shared" si="0"/>
        <v>316231.93875702308</v>
      </c>
      <c r="R9" s="53">
        <f t="shared" si="0"/>
        <v>313884.89157102187</v>
      </c>
      <c r="S9" s="53">
        <f t="shared" si="0"/>
        <v>311365.33641684952</v>
      </c>
      <c r="T9" s="53">
        <f t="shared" si="0"/>
        <v>308660.59395884548</v>
      </c>
      <c r="U9" s="53">
        <f t="shared" si="0"/>
        <v>305757.05293017818</v>
      </c>
      <c r="V9" s="53">
        <f t="shared" si="0"/>
        <v>302640.10163590382</v>
      </c>
      <c r="W9" s="53">
        <f t="shared" si="0"/>
        <v>299294.05442150024</v>
      </c>
      <c r="X9" s="53">
        <f t="shared" si="0"/>
        <v>295702.07273683808</v>
      </c>
      <c r="Y9" s="53">
        <f t="shared" si="0"/>
        <v>291846.08039835317</v>
      </c>
      <c r="Z9" s="53">
        <f t="shared" si="0"/>
        <v>287706.67262298969</v>
      </c>
      <c r="AA9" s="53">
        <f t="shared" si="0"/>
        <v>283263.01837613696</v>
      </c>
      <c r="AB9" s="53">
        <f t="shared" si="0"/>
        <v>278492.75554214057</v>
      </c>
      <c r="AC9" s="53">
        <f t="shared" si="0"/>
        <v>273371.87838984543</v>
      </c>
      <c r="AD9" s="53">
        <f t="shared" si="0"/>
        <v>267874.61676685663</v>
      </c>
      <c r="AE9" s="53">
        <f t="shared" si="0"/>
        <v>261973.30641457811</v>
      </c>
      <c r="AF9" s="53">
        <f t="shared" si="0"/>
        <v>255638.2497514071</v>
      </c>
      <c r="AG9" s="53">
        <f t="shared" si="0"/>
        <v>248837.56642349303</v>
      </c>
      <c r="AH9" s="53">
        <f t="shared" si="0"/>
        <v>241537.0328709773</v>
      </c>
      <c r="AI9" s="53">
        <f t="shared" si="0"/>
        <v>233699.91010235163</v>
      </c>
      <c r="AJ9" s="53">
        <f t="shared" si="0"/>
        <v>225286.75881023202</v>
      </c>
      <c r="AK9" s="53">
        <f t="shared" si="0"/>
        <v>216255.24089814158</v>
      </c>
      <c r="AL9" s="53">
        <f t="shared" si="0"/>
        <v>206950.1622554257</v>
      </c>
      <c r="AM9" s="53">
        <f t="shared" si="0"/>
        <v>197918.6443433353</v>
      </c>
      <c r="AN9" s="53">
        <f t="shared" si="0"/>
        <v>188613.56570061942</v>
      </c>
      <c r="AO9" s="53">
        <f t="shared" si="0"/>
        <v>179582.04778852902</v>
      </c>
      <c r="AP9" s="53">
        <f t="shared" si="0"/>
        <v>170276.96914581311</v>
      </c>
      <c r="AQ9" s="53">
        <f t="shared" si="0"/>
        <v>161245.45123372271</v>
      </c>
      <c r="AR9" s="53">
        <f t="shared" si="0"/>
        <v>151940.37259100683</v>
      </c>
      <c r="AS9" s="53">
        <f t="shared" si="0"/>
        <v>142908.8546789164</v>
      </c>
      <c r="AT9" s="22"/>
    </row>
    <row r="11" spans="2:46" x14ac:dyDescent="0.45">
      <c r="G11" t="s">
        <v>124</v>
      </c>
    </row>
    <row r="13" spans="2:46" x14ac:dyDescent="0.45">
      <c r="B13" t="s">
        <v>66</v>
      </c>
      <c r="C13" t="s">
        <v>90</v>
      </c>
      <c r="F13" s="33">
        <f>SUM(Construction!$E$26:'Construction'!E26)</f>
        <v>82610.739837268236</v>
      </c>
      <c r="G13" s="33">
        <f>SUM(Construction!$E$26:'Construction'!F26)</f>
        <v>115520.55829527968</v>
      </c>
      <c r="H13" s="33">
        <f>SUM(Construction!$E$26:'Construction'!G26)</f>
        <v>115520.55829527968</v>
      </c>
      <c r="I13" s="33">
        <f>SUM(Construction!$E$26:'Construction'!H26)</f>
        <v>115520.55829527968</v>
      </c>
      <c r="J13" s="33">
        <f>SUM(Construction!$E$26:'Construction'!I26)</f>
        <v>115520.55829527968</v>
      </c>
      <c r="K13" s="33">
        <f>SUM(Construction!$E$26:'Construction'!J26)</f>
        <v>115520.55829527968</v>
      </c>
      <c r="L13" s="33">
        <f>SUM(Construction!$E$26:'Construction'!K26)</f>
        <v>115520.55829527968</v>
      </c>
      <c r="M13" s="33">
        <f>SUM(Construction!$E$26:'Construction'!L26)</f>
        <v>115520.55829527968</v>
      </c>
      <c r="N13" s="33">
        <f>SUM(Construction!$E$26:'Construction'!M26)</f>
        <v>115520.55829527968</v>
      </c>
      <c r="O13" s="33">
        <f>SUM(Construction!$E$26:'Construction'!N26)</f>
        <v>115520.55829527968</v>
      </c>
      <c r="P13" s="33">
        <f>SUM(Construction!$E$26:'Construction'!O26)</f>
        <v>115520.55829527968</v>
      </c>
      <c r="Q13" s="33">
        <f>SUM(Construction!$E$26:'Construction'!P26)</f>
        <v>115520.55829527968</v>
      </c>
      <c r="R13" s="33">
        <f>SUM(Construction!$E$26:'Construction'!Q26)</f>
        <v>115520.55829527968</v>
      </c>
      <c r="S13" s="33">
        <f>SUM(Construction!$E$26:'Construction'!R26)</f>
        <v>115520.55829527968</v>
      </c>
      <c r="T13" s="33">
        <f>SUM(Construction!$E$26:'Construction'!S26)</f>
        <v>115520.55829527968</v>
      </c>
      <c r="U13" s="33">
        <f>SUM(Construction!$E$26:'Construction'!T26)</f>
        <v>115520.55829527968</v>
      </c>
      <c r="V13" s="33">
        <f>SUM(Construction!$E$26:'Construction'!U26)</f>
        <v>115520.55829527968</v>
      </c>
      <c r="W13" s="33">
        <f>SUM(Construction!$E$26:'Construction'!V26)</f>
        <v>115520.55829527968</v>
      </c>
      <c r="X13" s="33">
        <f>SUM(Construction!$E$26:'Construction'!W26)</f>
        <v>115520.55829527968</v>
      </c>
      <c r="Y13" s="33">
        <f>SUM(Construction!$E$26:'Construction'!X26)</f>
        <v>115520.55829527968</v>
      </c>
      <c r="Z13" s="33">
        <f>SUM(Construction!$E$26:'Construction'!Y26)</f>
        <v>115520.55829527968</v>
      </c>
      <c r="AA13" s="33">
        <f>SUM(Construction!$E$26:'Construction'!Z26)</f>
        <v>115520.55829527968</v>
      </c>
      <c r="AB13" s="33">
        <f>SUM(Construction!$E$26:'Construction'!AA26)</f>
        <v>115520.55829527968</v>
      </c>
      <c r="AC13" s="33">
        <f>SUM(Construction!$E$26:'Construction'!AB26)</f>
        <v>115520.55829527968</v>
      </c>
      <c r="AD13" s="33">
        <f>SUM(Construction!$E$26:'Construction'!AC26)</f>
        <v>115520.55829527968</v>
      </c>
      <c r="AE13" s="33">
        <f>SUM(Construction!$E$26:'Construction'!AD26)</f>
        <v>115520.55829527968</v>
      </c>
      <c r="AF13" s="33">
        <f>SUM(Construction!$E$26:'Construction'!AE26)</f>
        <v>115520.55829527968</v>
      </c>
      <c r="AG13" s="33">
        <f>SUM(Construction!$E$26:'Construction'!AF26)</f>
        <v>115520.55829527968</v>
      </c>
      <c r="AH13" s="33">
        <f>SUM(Construction!$E$26:'Construction'!AG26)</f>
        <v>115520.55829527968</v>
      </c>
      <c r="AI13" s="33">
        <f>SUM(Construction!$E$26:'Construction'!AH26)</f>
        <v>115520.55829527968</v>
      </c>
      <c r="AJ13" s="33">
        <f>SUM(Construction!$E$26:'Construction'!AI26)</f>
        <v>115520.55829527968</v>
      </c>
      <c r="AK13" s="33">
        <f>SUM(Construction!$E$26:'Construction'!AJ26)</f>
        <v>115520.55829527968</v>
      </c>
      <c r="AL13" s="33">
        <f>SUM(Construction!$E$26:'Construction'!AK26)</f>
        <v>115520.55829527968</v>
      </c>
      <c r="AM13" s="33">
        <f>SUM(Construction!$E$26:'Construction'!AL26)</f>
        <v>115520.55829527968</v>
      </c>
      <c r="AN13" s="33">
        <f>SUM(Construction!$E$26:'Construction'!AM26)</f>
        <v>115520.55829527968</v>
      </c>
      <c r="AO13" s="33">
        <f>SUM(Construction!$E$26:'Construction'!AN26)</f>
        <v>115520.55829527968</v>
      </c>
      <c r="AP13" s="33">
        <f>SUM(Construction!$E$26:'Construction'!AO26)</f>
        <v>115520.55829527968</v>
      </c>
      <c r="AQ13" s="33">
        <f>SUM(Construction!$E$26:'Construction'!AP26)</f>
        <v>115520.55829527968</v>
      </c>
      <c r="AR13" s="33">
        <f>SUM(Construction!$E$26:'Construction'!AQ26)</f>
        <v>115520.55829527968</v>
      </c>
      <c r="AS13" s="33">
        <f>SUM(Construction!$E$26:'Construction'!AR26)</f>
        <v>115520.55829527968</v>
      </c>
    </row>
    <row r="14" spans="2:46" x14ac:dyDescent="0.45">
      <c r="B14" t="s">
        <v>123</v>
      </c>
      <c r="C14" t="s">
        <v>90</v>
      </c>
      <c r="F14" s="33">
        <f>'P&amp;L Statement'!F30+CFS!F24+'Balance Sheet'!E14</f>
        <v>0</v>
      </c>
      <c r="G14" s="33">
        <f>'P&amp;L Statement'!G30+CFS!G24+'Balance Sheet'!F14</f>
        <v>0</v>
      </c>
      <c r="H14" s="33">
        <f>'P&amp;L Statement'!H30+CFS!H24+'Balance Sheet'!G14</f>
        <v>0</v>
      </c>
      <c r="I14" s="33">
        <f>'P&amp;L Statement'!I30+CFS!I24+'Balance Sheet'!H14</f>
        <v>0</v>
      </c>
      <c r="J14" s="33">
        <f>'P&amp;L Statement'!J30+CFS!J24+'Balance Sheet'!I14</f>
        <v>0</v>
      </c>
      <c r="K14" s="33">
        <f>'P&amp;L Statement'!K30+CFS!K24+'Balance Sheet'!J14</f>
        <v>0</v>
      </c>
      <c r="L14" s="33">
        <f>'P&amp;L Statement'!L30+CFS!L24+'Balance Sheet'!K14</f>
        <v>0</v>
      </c>
      <c r="M14" s="33">
        <f>'P&amp;L Statement'!M30+CFS!M24+'Balance Sheet'!L14</f>
        <v>0</v>
      </c>
      <c r="N14" s="33">
        <f>'P&amp;L Statement'!N30+CFS!N24+'Balance Sheet'!M14</f>
        <v>0</v>
      </c>
      <c r="O14" s="33">
        <f>'P&amp;L Statement'!O30+CFS!O24+'Balance Sheet'!N14</f>
        <v>0</v>
      </c>
      <c r="P14" s="33">
        <f>'P&amp;L Statement'!P30+CFS!P24+'Balance Sheet'!O14</f>
        <v>0</v>
      </c>
      <c r="Q14" s="33">
        <f>'P&amp;L Statement'!Q30+CFS!Q24+'Balance Sheet'!P14</f>
        <v>0</v>
      </c>
      <c r="R14" s="33">
        <f>'P&amp;L Statement'!R30+CFS!R24+'Balance Sheet'!Q14</f>
        <v>0</v>
      </c>
      <c r="S14" s="33">
        <f>'P&amp;L Statement'!S30+CFS!S24+'Balance Sheet'!R14</f>
        <v>0</v>
      </c>
      <c r="T14" s="33">
        <f>'P&amp;L Statement'!T30+CFS!T24+'Balance Sheet'!S14</f>
        <v>0</v>
      </c>
      <c r="U14" s="33">
        <f>'P&amp;L Statement'!U30+CFS!U24+'Balance Sheet'!T14</f>
        <v>0</v>
      </c>
      <c r="V14" s="33">
        <f>'P&amp;L Statement'!V30+CFS!V24+'Balance Sheet'!U14</f>
        <v>0</v>
      </c>
      <c r="W14" s="33">
        <f>'P&amp;L Statement'!W30+CFS!W24+'Balance Sheet'!V14</f>
        <v>0</v>
      </c>
      <c r="X14" s="33">
        <f>'P&amp;L Statement'!X30+CFS!X24+'Balance Sheet'!W14</f>
        <v>0</v>
      </c>
      <c r="Y14" s="33">
        <f>'P&amp;L Statement'!Y30+CFS!Y24+'Balance Sheet'!X14</f>
        <v>0</v>
      </c>
      <c r="Z14" s="33">
        <f>'P&amp;L Statement'!Z30+CFS!Z24+'Balance Sheet'!Y14</f>
        <v>0</v>
      </c>
      <c r="AA14" s="33">
        <f>'P&amp;L Statement'!AA30+CFS!AA24+'Balance Sheet'!Z14</f>
        <v>0</v>
      </c>
      <c r="AB14" s="33">
        <f>'P&amp;L Statement'!AB30+CFS!AB24+'Balance Sheet'!AA14</f>
        <v>0</v>
      </c>
      <c r="AC14" s="33">
        <f>'P&amp;L Statement'!AC30+CFS!AC24+'Balance Sheet'!AB14</f>
        <v>0</v>
      </c>
      <c r="AD14" s="33">
        <f>'P&amp;L Statement'!AD30+CFS!AD24+'Balance Sheet'!AC14</f>
        <v>0</v>
      </c>
      <c r="AE14" s="33">
        <f>'P&amp;L Statement'!AE30+CFS!AE24+'Balance Sheet'!AD14</f>
        <v>0</v>
      </c>
      <c r="AF14" s="33">
        <f>'P&amp;L Statement'!AF30+CFS!AF24+'Balance Sheet'!AE14</f>
        <v>0</v>
      </c>
      <c r="AG14" s="33">
        <f>'P&amp;L Statement'!AG30+CFS!AG24+'Balance Sheet'!AF14</f>
        <v>0</v>
      </c>
      <c r="AH14" s="33">
        <f>'P&amp;L Statement'!AH30+CFS!AH24+'Balance Sheet'!AG14</f>
        <v>0</v>
      </c>
      <c r="AI14" s="33">
        <f>'P&amp;L Statement'!AI30+CFS!AI24+'Balance Sheet'!AH14</f>
        <v>0</v>
      </c>
      <c r="AJ14" s="33">
        <f>'P&amp;L Statement'!AJ30+CFS!AJ24+'Balance Sheet'!AI14</f>
        <v>0</v>
      </c>
      <c r="AK14" s="33">
        <f>'P&amp;L Statement'!AK30+CFS!AK24+'Balance Sheet'!AJ14</f>
        <v>0</v>
      </c>
      <c r="AL14" s="33">
        <f>'P&amp;L Statement'!AL30+CFS!AL24+'Balance Sheet'!AK14</f>
        <v>390.25583591317991</v>
      </c>
      <c r="AM14" s="33">
        <f>'P&amp;L Statement'!AM30+CFS!AM24+'Balance Sheet'!AL14</f>
        <v>1766.6794866310665</v>
      </c>
      <c r="AN14" s="33">
        <f>'P&amp;L Statement'!AN30+CFS!AN24+'Balance Sheet'!AM14</f>
        <v>3634.5261115898902</v>
      </c>
      <c r="AO14" s="33">
        <f>'P&amp;L Statement'!AO30+CFS!AO24+'Balance Sheet'!AN14</f>
        <v>6597.1434743482969</v>
      </c>
      <c r="AP14" s="33">
        <f>'P&amp;L Statement'!AP30+CFS!AP24+'Balance Sheet'!AO14</f>
        <v>10167.769049182622</v>
      </c>
      <c r="AQ14" s="33">
        <f>'P&amp;L Statement'!AQ30+CFS!AQ24+'Balance Sheet'!AP14</f>
        <v>14958.319614632346</v>
      </c>
      <c r="AR14" s="33">
        <f>'P&amp;L Statement'!AR30+CFS!AR24+'Balance Sheet'!AQ14</f>
        <v>20491.231482555799</v>
      </c>
      <c r="AS14" s="33">
        <f>'P&amp;L Statement'!AS30+CFS!AS24+'Balance Sheet'!AR14</f>
        <v>27388.296383636713</v>
      </c>
    </row>
    <row r="15" spans="2:46" x14ac:dyDescent="0.45">
      <c r="B15" t="s">
        <v>65</v>
      </c>
      <c r="C15" t="s">
        <v>90</v>
      </c>
      <c r="F15" s="33">
        <f>Debt!E10</f>
        <v>0</v>
      </c>
      <c r="G15" s="33">
        <f>Debt!F10</f>
        <v>46482.849566458375</v>
      </c>
      <c r="H15" s="33">
        <f>Debt!G10</f>
        <v>128340.27027566955</v>
      </c>
      <c r="I15" s="33">
        <f>Debt!H10</f>
        <v>214538.17969123376</v>
      </c>
      <c r="J15" s="33">
        <f>Debt!I10</f>
        <v>213207.40224860003</v>
      </c>
      <c r="K15" s="33">
        <f>Debt!J10</f>
        <v>211778.81266393271</v>
      </c>
      <c r="L15" s="33">
        <f>Debt!K10</f>
        <v>210245.22174479233</v>
      </c>
      <c r="M15" s="33">
        <f>Debt!L10</f>
        <v>208598.91189309515</v>
      </c>
      <c r="N15" s="33">
        <f>Debt!M10</f>
        <v>206831.59826729822</v>
      </c>
      <c r="O15" s="33">
        <f>Debt!N10</f>
        <v>204934.38709000521</v>
      </c>
      <c r="P15" s="33">
        <f>Debt!O10</f>
        <v>202897.73089118119</v>
      </c>
      <c r="Q15" s="33">
        <f>Debt!P10</f>
        <v>200711.38046174357</v>
      </c>
      <c r="R15" s="33">
        <f>Debt!Q10</f>
        <v>198364.3332757423</v>
      </c>
      <c r="S15" s="33">
        <f>Debt!R10</f>
        <v>195844.77812156995</v>
      </c>
      <c r="T15" s="33">
        <f>Debt!S10</f>
        <v>193140.03566356591</v>
      </c>
      <c r="U15" s="33">
        <f>Debt!T10</f>
        <v>190236.49463489858</v>
      </c>
      <c r="V15" s="33">
        <f>Debt!U10</f>
        <v>187119.54334062419</v>
      </c>
      <c r="W15" s="33">
        <f>Debt!V10</f>
        <v>183773.49612622065</v>
      </c>
      <c r="X15" s="33">
        <f>Debt!W10</f>
        <v>180181.51444155845</v>
      </c>
      <c r="Y15" s="33">
        <f>Debt!X10</f>
        <v>176325.52210307357</v>
      </c>
      <c r="Z15" s="33">
        <f>Debt!Y10</f>
        <v>172186.11432771006</v>
      </c>
      <c r="AA15" s="33">
        <f>Debt!Z10</f>
        <v>167742.46008085733</v>
      </c>
      <c r="AB15" s="33">
        <f>Debt!AA10</f>
        <v>162972.19724686092</v>
      </c>
      <c r="AC15" s="33">
        <f>Debt!AB10</f>
        <v>157851.32009456577</v>
      </c>
      <c r="AD15" s="33">
        <f>Debt!AC10</f>
        <v>152354.05847157692</v>
      </c>
      <c r="AE15" s="33">
        <f>Debt!AD10</f>
        <v>146452.7481192984</v>
      </c>
      <c r="AF15" s="33">
        <f>Debt!AE10</f>
        <v>140117.69145612742</v>
      </c>
      <c r="AG15" s="33">
        <f>Debt!AF10</f>
        <v>133317.00812821335</v>
      </c>
      <c r="AH15" s="33">
        <f>Debt!AG10</f>
        <v>126016.4745756976</v>
      </c>
      <c r="AI15" s="33">
        <f>Debt!AH10</f>
        <v>118179.35180707196</v>
      </c>
      <c r="AJ15" s="33">
        <f>Debt!AI10</f>
        <v>109766.20051495233</v>
      </c>
      <c r="AK15" s="33">
        <f>Debt!AJ10</f>
        <v>100734.68260286191</v>
      </c>
      <c r="AL15" s="33">
        <f>Debt!AK10</f>
        <v>91039.348124232842</v>
      </c>
      <c r="AM15" s="33">
        <f>Debt!AL10</f>
        <v>80631.406561424534</v>
      </c>
      <c r="AN15" s="33">
        <f>Debt!AM10</f>
        <v>69458.481293749821</v>
      </c>
      <c r="AO15" s="33">
        <f>Debt!AN10</f>
        <v>57464.346018901007</v>
      </c>
      <c r="AP15" s="33">
        <f>Debt!AO10</f>
        <v>44588.641801350808</v>
      </c>
      <c r="AQ15" s="33">
        <f>Debt!AP10</f>
        <v>30766.57332381067</v>
      </c>
      <c r="AR15" s="33">
        <f>Debt!AQ10</f>
        <v>15928.582813171332</v>
      </c>
      <c r="AS15" s="33">
        <f>Debt!AR10</f>
        <v>0</v>
      </c>
    </row>
    <row r="16" spans="2:46" x14ac:dyDescent="0.45">
      <c r="B16" s="27" t="s">
        <v>79</v>
      </c>
      <c r="C16" s="21"/>
      <c r="D16" s="21"/>
      <c r="E16" s="21"/>
      <c r="F16" s="53">
        <f>SUM(F13:F15)</f>
        <v>82610.739837268236</v>
      </c>
      <c r="G16" s="53">
        <f t="shared" ref="G16:AS16" si="1">SUM(G13:G15)</f>
        <v>162003.40786173806</v>
      </c>
      <c r="H16" s="53">
        <f t="shared" si="1"/>
        <v>243860.82857094923</v>
      </c>
      <c r="I16" s="53">
        <f t="shared" si="1"/>
        <v>330058.73798651341</v>
      </c>
      <c r="J16" s="53">
        <f t="shared" si="1"/>
        <v>328727.96054387972</v>
      </c>
      <c r="K16" s="53">
        <f t="shared" si="1"/>
        <v>327299.37095921242</v>
      </c>
      <c r="L16" s="53">
        <f t="shared" si="1"/>
        <v>325765.78004007204</v>
      </c>
      <c r="M16" s="53">
        <f t="shared" si="1"/>
        <v>324119.47018837486</v>
      </c>
      <c r="N16" s="53">
        <f t="shared" si="1"/>
        <v>322352.15656257793</v>
      </c>
      <c r="O16" s="53">
        <f t="shared" si="1"/>
        <v>320454.9453852849</v>
      </c>
      <c r="P16" s="53">
        <f t="shared" si="1"/>
        <v>318418.2891864609</v>
      </c>
      <c r="Q16" s="53">
        <f t="shared" si="1"/>
        <v>316231.93875702325</v>
      </c>
      <c r="R16" s="53">
        <f t="shared" si="1"/>
        <v>313884.89157102199</v>
      </c>
      <c r="S16" s="53">
        <f t="shared" si="1"/>
        <v>311365.33641684963</v>
      </c>
      <c r="T16" s="53">
        <f t="shared" si="1"/>
        <v>308660.59395884559</v>
      </c>
      <c r="U16" s="53">
        <f t="shared" si="1"/>
        <v>305757.05293017824</v>
      </c>
      <c r="V16" s="53">
        <f t="shared" si="1"/>
        <v>302640.10163590388</v>
      </c>
      <c r="W16" s="53">
        <f t="shared" si="1"/>
        <v>299294.0544215003</v>
      </c>
      <c r="X16" s="53">
        <f t="shared" si="1"/>
        <v>295702.07273683813</v>
      </c>
      <c r="Y16" s="53">
        <f t="shared" si="1"/>
        <v>291846.08039835328</v>
      </c>
      <c r="Z16" s="53">
        <f t="shared" si="1"/>
        <v>287706.67262298975</v>
      </c>
      <c r="AA16" s="53">
        <f t="shared" si="1"/>
        <v>283263.01837613701</v>
      </c>
      <c r="AB16" s="53">
        <f t="shared" si="1"/>
        <v>278492.75554214057</v>
      </c>
      <c r="AC16" s="53">
        <f t="shared" si="1"/>
        <v>273371.87838984549</v>
      </c>
      <c r="AD16" s="53">
        <f t="shared" si="1"/>
        <v>267874.61676685663</v>
      </c>
      <c r="AE16" s="53">
        <f t="shared" si="1"/>
        <v>261973.30641457808</v>
      </c>
      <c r="AF16" s="53">
        <f t="shared" si="1"/>
        <v>255638.2497514071</v>
      </c>
      <c r="AG16" s="53">
        <f t="shared" si="1"/>
        <v>248837.56642349303</v>
      </c>
      <c r="AH16" s="53">
        <f t="shared" si="1"/>
        <v>241537.0328709773</v>
      </c>
      <c r="AI16" s="53">
        <f t="shared" si="1"/>
        <v>233699.91010235163</v>
      </c>
      <c r="AJ16" s="53">
        <f t="shared" si="1"/>
        <v>225286.75881023202</v>
      </c>
      <c r="AK16" s="53">
        <f t="shared" si="1"/>
        <v>216255.24089814158</v>
      </c>
      <c r="AL16" s="53">
        <f t="shared" si="1"/>
        <v>206950.1622554257</v>
      </c>
      <c r="AM16" s="53">
        <f t="shared" si="1"/>
        <v>197918.6443433353</v>
      </c>
      <c r="AN16" s="53">
        <f t="shared" si="1"/>
        <v>188613.56570061939</v>
      </c>
      <c r="AO16" s="53">
        <f t="shared" si="1"/>
        <v>179582.04778852899</v>
      </c>
      <c r="AP16" s="53">
        <f t="shared" si="1"/>
        <v>170276.96914581311</v>
      </c>
      <c r="AQ16" s="53">
        <f t="shared" si="1"/>
        <v>161245.45123372271</v>
      </c>
      <c r="AR16" s="53">
        <f t="shared" si="1"/>
        <v>151940.3725910068</v>
      </c>
      <c r="AS16" s="53">
        <f t="shared" si="1"/>
        <v>142908.8546789164</v>
      </c>
      <c r="AT16" s="22"/>
    </row>
    <row r="19" spans="4:45" x14ac:dyDescent="0.45">
      <c r="D19" t="s">
        <v>78</v>
      </c>
      <c r="F19" t="b">
        <f>IFF9-F16&lt;0.01</f>
        <v>1</v>
      </c>
      <c r="G19" t="b">
        <f t="shared" ref="G19:AS19" si="2">IFG9-G16&lt;0.01</f>
        <v>1</v>
      </c>
      <c r="H19" t="b">
        <f t="shared" si="2"/>
        <v>1</v>
      </c>
      <c r="I19" t="b">
        <f t="shared" si="2"/>
        <v>1</v>
      </c>
      <c r="J19" t="b">
        <f t="shared" si="2"/>
        <v>1</v>
      </c>
      <c r="K19" t="b">
        <f t="shared" si="2"/>
        <v>1</v>
      </c>
      <c r="L19" t="b">
        <f t="shared" si="2"/>
        <v>1</v>
      </c>
      <c r="M19" t="b">
        <f t="shared" si="2"/>
        <v>1</v>
      </c>
      <c r="N19" t="b">
        <f t="shared" si="2"/>
        <v>1</v>
      </c>
      <c r="O19" t="b">
        <f t="shared" si="2"/>
        <v>1</v>
      </c>
      <c r="P19" t="b">
        <f t="shared" si="2"/>
        <v>1</v>
      </c>
      <c r="Q19" t="b">
        <f t="shared" si="2"/>
        <v>1</v>
      </c>
      <c r="R19" t="b">
        <f t="shared" si="2"/>
        <v>1</v>
      </c>
      <c r="S19" t="b">
        <f t="shared" si="2"/>
        <v>1</v>
      </c>
      <c r="T19" t="b">
        <f t="shared" si="2"/>
        <v>1</v>
      </c>
      <c r="U19" t="b">
        <f t="shared" si="2"/>
        <v>1</v>
      </c>
      <c r="V19" t="b">
        <f t="shared" si="2"/>
        <v>1</v>
      </c>
      <c r="W19" t="b">
        <f t="shared" si="2"/>
        <v>1</v>
      </c>
      <c r="X19" t="b">
        <f t="shared" si="2"/>
        <v>1</v>
      </c>
      <c r="Y19" t="b">
        <f t="shared" si="2"/>
        <v>1</v>
      </c>
      <c r="Z19" t="b">
        <f t="shared" si="2"/>
        <v>1</v>
      </c>
      <c r="AA19" t="b">
        <f t="shared" si="2"/>
        <v>1</v>
      </c>
      <c r="AB19" t="b">
        <f t="shared" si="2"/>
        <v>1</v>
      </c>
      <c r="AC19" t="b">
        <f t="shared" si="2"/>
        <v>1</v>
      </c>
      <c r="AD19" t="b">
        <f t="shared" si="2"/>
        <v>1</v>
      </c>
      <c r="AE19" t="b">
        <f t="shared" si="2"/>
        <v>1</v>
      </c>
      <c r="AF19" t="b">
        <f t="shared" si="2"/>
        <v>1</v>
      </c>
      <c r="AG19" t="b">
        <f t="shared" si="2"/>
        <v>1</v>
      </c>
      <c r="AH19" t="b">
        <f t="shared" si="2"/>
        <v>1</v>
      </c>
      <c r="AI19" t="b">
        <f t="shared" si="2"/>
        <v>1</v>
      </c>
      <c r="AJ19" t="b">
        <f t="shared" si="2"/>
        <v>1</v>
      </c>
      <c r="AK19" t="b">
        <f t="shared" si="2"/>
        <v>1</v>
      </c>
      <c r="AL19" t="b">
        <f t="shared" si="2"/>
        <v>1</v>
      </c>
      <c r="AM19" t="b">
        <f t="shared" si="2"/>
        <v>1</v>
      </c>
      <c r="AN19" t="b">
        <f t="shared" si="2"/>
        <v>1</v>
      </c>
      <c r="AO19" t="b">
        <f t="shared" si="2"/>
        <v>1</v>
      </c>
      <c r="AP19" t="b">
        <f t="shared" si="2"/>
        <v>1</v>
      </c>
      <c r="AQ19" t="b">
        <f t="shared" si="2"/>
        <v>1</v>
      </c>
      <c r="AR19" t="b">
        <f t="shared" si="2"/>
        <v>1</v>
      </c>
      <c r="AS19" t="b">
        <f t="shared" si="2"/>
        <v>1</v>
      </c>
    </row>
  </sheetData>
  <conditionalFormatting sqref="F19:AS19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147D-A3B2-430E-BD8B-9C5787FB961C}">
  <sheetPr codeName="Sheet11"/>
  <dimension ref="A2:AT28"/>
  <sheetViews>
    <sheetView showGridLines="0" topLeftCell="A6" workbookViewId="0">
      <pane xSplit="4" topLeftCell="E1" activePane="topRight" state="frozen"/>
      <selection pane="topRight" activeCell="F30" sqref="F30"/>
    </sheetView>
  </sheetViews>
  <sheetFormatPr defaultColWidth="0" defaultRowHeight="14.25" x14ac:dyDescent="0.45"/>
  <cols>
    <col min="1" max="1" width="8.86328125" customWidth="1"/>
    <col min="2" max="2" width="23.86328125" customWidth="1"/>
    <col min="3" max="46" width="8.86328125" customWidth="1"/>
    <col min="47" max="16384" width="8.86328125" hidden="1"/>
  </cols>
  <sheetData>
    <row r="2" spans="2:46" x14ac:dyDescent="0.45">
      <c r="B2" s="18" t="s">
        <v>43</v>
      </c>
      <c r="C2" s="29"/>
      <c r="D2" s="29"/>
      <c r="E2" s="15"/>
      <c r="F2" s="29">
        <v>1</v>
      </c>
      <c r="G2" s="29">
        <v>2</v>
      </c>
      <c r="H2" s="29">
        <v>3</v>
      </c>
      <c r="I2" s="29">
        <v>4</v>
      </c>
      <c r="J2" s="29">
        <v>5</v>
      </c>
      <c r="K2" s="29">
        <v>6</v>
      </c>
      <c r="L2" s="29">
        <v>7</v>
      </c>
      <c r="M2" s="29">
        <v>8</v>
      </c>
      <c r="N2" s="29">
        <v>9</v>
      </c>
      <c r="O2" s="29">
        <v>10</v>
      </c>
      <c r="P2" s="29">
        <v>11</v>
      </c>
      <c r="Q2" s="29">
        <v>12</v>
      </c>
      <c r="R2" s="29">
        <v>13</v>
      </c>
      <c r="S2" s="29">
        <v>14</v>
      </c>
      <c r="T2" s="29">
        <v>15</v>
      </c>
      <c r="U2" s="29">
        <v>16</v>
      </c>
      <c r="V2" s="29">
        <v>17</v>
      </c>
      <c r="W2" s="29">
        <v>18</v>
      </c>
      <c r="X2" s="29">
        <v>19</v>
      </c>
      <c r="Y2" s="29">
        <v>20</v>
      </c>
      <c r="Z2" s="29">
        <v>21</v>
      </c>
      <c r="AA2" s="29">
        <v>22</v>
      </c>
      <c r="AB2" s="29">
        <v>23</v>
      </c>
      <c r="AC2" s="29">
        <v>24</v>
      </c>
      <c r="AD2" s="29">
        <v>25</v>
      </c>
      <c r="AE2" s="29">
        <v>26</v>
      </c>
      <c r="AF2" s="29">
        <v>27</v>
      </c>
      <c r="AG2" s="29">
        <v>28</v>
      </c>
      <c r="AH2" s="29">
        <v>29</v>
      </c>
      <c r="AI2" s="29">
        <v>30</v>
      </c>
      <c r="AJ2" s="29">
        <v>31</v>
      </c>
      <c r="AK2" s="29">
        <v>32</v>
      </c>
      <c r="AL2" s="29">
        <v>33</v>
      </c>
      <c r="AM2" s="29">
        <v>34</v>
      </c>
      <c r="AN2" s="29">
        <v>35</v>
      </c>
      <c r="AO2" s="29">
        <v>36</v>
      </c>
      <c r="AP2" s="29">
        <v>37</v>
      </c>
      <c r="AQ2" s="29">
        <v>38</v>
      </c>
      <c r="AR2" s="29">
        <v>39</v>
      </c>
      <c r="AS2" s="30">
        <v>40</v>
      </c>
    </row>
    <row r="5" spans="2:46" x14ac:dyDescent="0.45">
      <c r="B5" s="18" t="s">
        <v>125</v>
      </c>
      <c r="C5" s="29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/>
    </row>
    <row r="7" spans="2:46" x14ac:dyDescent="0.45">
      <c r="B7" t="s">
        <v>126</v>
      </c>
      <c r="C7" t="s">
        <v>90</v>
      </c>
      <c r="F7" s="32">
        <f>-Construction!E12</f>
        <v>-75000</v>
      </c>
      <c r="G7" s="32">
        <f>-Construction!F12</f>
        <v>-75000</v>
      </c>
      <c r="H7" s="32">
        <f>-Construction!G12</f>
        <v>-75000</v>
      </c>
      <c r="I7" s="32">
        <f>-Construction!H12</f>
        <v>-75000</v>
      </c>
      <c r="J7" s="32">
        <f>-Construction!I12</f>
        <v>0</v>
      </c>
      <c r="K7" s="32">
        <f>-Construction!J12</f>
        <v>0</v>
      </c>
      <c r="L7" s="32">
        <f>-Construction!K12</f>
        <v>0</v>
      </c>
      <c r="M7" s="32">
        <f>-Construction!L12</f>
        <v>0</v>
      </c>
      <c r="N7" s="32">
        <f>-Construction!M12</f>
        <v>0</v>
      </c>
      <c r="O7" s="32">
        <f>-Construction!N12</f>
        <v>0</v>
      </c>
      <c r="P7" s="32">
        <f>-Construction!O12</f>
        <v>0</v>
      </c>
      <c r="Q7" s="32">
        <f>-Construction!P12</f>
        <v>0</v>
      </c>
      <c r="R7" s="32">
        <f>-Construction!Q12</f>
        <v>0</v>
      </c>
      <c r="S7" s="32">
        <f>-Construction!R12</f>
        <v>0</v>
      </c>
      <c r="T7" s="32">
        <f>-Construction!S12</f>
        <v>0</v>
      </c>
      <c r="U7" s="32">
        <f>-Construction!T12</f>
        <v>0</v>
      </c>
      <c r="V7" s="32">
        <f>-Construction!U12</f>
        <v>0</v>
      </c>
      <c r="W7" s="32">
        <f>-Construction!V12</f>
        <v>0</v>
      </c>
      <c r="X7" s="32">
        <f>-Construction!W12</f>
        <v>0</v>
      </c>
      <c r="Y7" s="32">
        <f>-Construction!X12</f>
        <v>0</v>
      </c>
      <c r="Z7" s="32">
        <f>-Construction!Y12</f>
        <v>0</v>
      </c>
      <c r="AA7" s="32">
        <f>-Construction!Z12</f>
        <v>0</v>
      </c>
      <c r="AB7" s="32">
        <f>-Construction!AA12</f>
        <v>0</v>
      </c>
      <c r="AC7" s="32">
        <f>-Construction!AB12</f>
        <v>0</v>
      </c>
      <c r="AD7" s="32">
        <f>-Construction!AC12</f>
        <v>0</v>
      </c>
      <c r="AE7" s="32">
        <f>-Construction!AD12</f>
        <v>0</v>
      </c>
      <c r="AF7" s="32">
        <f>-Construction!AE12</f>
        <v>0</v>
      </c>
      <c r="AG7" s="32">
        <f>-Construction!AF12</f>
        <v>0</v>
      </c>
      <c r="AH7" s="32">
        <f>-Construction!AG12</f>
        <v>0</v>
      </c>
      <c r="AI7" s="32">
        <f>-Construction!AH12</f>
        <v>0</v>
      </c>
      <c r="AJ7" s="32">
        <f>-Construction!AI12</f>
        <v>0</v>
      </c>
      <c r="AK7" s="32">
        <f>-Construction!AJ12</f>
        <v>0</v>
      </c>
      <c r="AL7" s="32">
        <f>-Construction!AK12</f>
        <v>0</v>
      </c>
      <c r="AM7" s="32">
        <f>-Construction!AL12</f>
        <v>0</v>
      </c>
      <c r="AN7" s="32">
        <f>-Construction!AM12</f>
        <v>0</v>
      </c>
      <c r="AO7" s="32">
        <f>-Construction!AN12</f>
        <v>0</v>
      </c>
      <c r="AP7" s="32">
        <f>-Construction!AO12</f>
        <v>0</v>
      </c>
      <c r="AQ7" s="32">
        <f>-Construction!AP12</f>
        <v>0</v>
      </c>
      <c r="AR7" s="32">
        <f>-Construction!AQ12</f>
        <v>0</v>
      </c>
      <c r="AS7" s="32">
        <f>-Construction!AR12</f>
        <v>0</v>
      </c>
    </row>
    <row r="8" spans="2:46" x14ac:dyDescent="0.45">
      <c r="B8" t="s">
        <v>16</v>
      </c>
      <c r="C8" t="s">
        <v>90</v>
      </c>
      <c r="F8" s="32">
        <f>-Construction!E13</f>
        <v>-3218.0726953685062</v>
      </c>
      <c r="G8" s="32">
        <f>-Construction!F13</f>
        <v>0</v>
      </c>
      <c r="H8" s="32">
        <f>-Construction!G13</f>
        <v>0</v>
      </c>
      <c r="I8" s="32">
        <f>-Construction!H13</f>
        <v>0</v>
      </c>
      <c r="J8" s="32">
        <f>-Construction!I13</f>
        <v>0</v>
      </c>
      <c r="K8" s="32">
        <f>-Construction!J13</f>
        <v>0</v>
      </c>
      <c r="L8" s="32">
        <f>-Construction!K13</f>
        <v>0</v>
      </c>
      <c r="M8" s="32">
        <f>-Construction!L13</f>
        <v>0</v>
      </c>
      <c r="N8" s="32">
        <f>-Construction!M13</f>
        <v>0</v>
      </c>
      <c r="O8" s="32">
        <f>-Construction!N13</f>
        <v>0</v>
      </c>
      <c r="P8" s="32">
        <f>-Construction!O13</f>
        <v>0</v>
      </c>
      <c r="Q8" s="32">
        <f>-Construction!P13</f>
        <v>0</v>
      </c>
      <c r="R8" s="32">
        <f>-Construction!Q13</f>
        <v>0</v>
      </c>
      <c r="S8" s="32">
        <f>-Construction!R13</f>
        <v>0</v>
      </c>
      <c r="T8" s="32">
        <f>-Construction!S13</f>
        <v>0</v>
      </c>
      <c r="U8" s="32">
        <f>-Construction!T13</f>
        <v>0</v>
      </c>
      <c r="V8" s="32">
        <f>-Construction!U13</f>
        <v>0</v>
      </c>
      <c r="W8" s="32">
        <f>-Construction!V13</f>
        <v>0</v>
      </c>
      <c r="X8" s="32">
        <f>-Construction!W13</f>
        <v>0</v>
      </c>
      <c r="Y8" s="32">
        <f>-Construction!X13</f>
        <v>0</v>
      </c>
      <c r="Z8" s="32">
        <f>-Construction!Y13</f>
        <v>0</v>
      </c>
      <c r="AA8" s="32">
        <f>-Construction!Z13</f>
        <v>0</v>
      </c>
      <c r="AB8" s="32">
        <f>-Construction!AA13</f>
        <v>0</v>
      </c>
      <c r="AC8" s="32">
        <f>-Construction!AB13</f>
        <v>0</v>
      </c>
      <c r="AD8" s="32">
        <f>-Construction!AC13</f>
        <v>0</v>
      </c>
      <c r="AE8" s="32">
        <f>-Construction!AD13</f>
        <v>0</v>
      </c>
      <c r="AF8" s="32">
        <f>-Construction!AE13</f>
        <v>0</v>
      </c>
      <c r="AG8" s="32">
        <f>-Construction!AF13</f>
        <v>0</v>
      </c>
      <c r="AH8" s="32">
        <f>-Construction!AG13</f>
        <v>0</v>
      </c>
      <c r="AI8" s="32">
        <f>-Construction!AH13</f>
        <v>0</v>
      </c>
      <c r="AJ8" s="32">
        <f>-Construction!AI13</f>
        <v>0</v>
      </c>
      <c r="AK8" s="32">
        <f>-Construction!AJ13</f>
        <v>0</v>
      </c>
      <c r="AL8" s="32">
        <f>-Construction!AK13</f>
        <v>0</v>
      </c>
      <c r="AM8" s="32">
        <f>-Construction!AL13</f>
        <v>0</v>
      </c>
      <c r="AN8" s="32">
        <f>-Construction!AM13</f>
        <v>0</v>
      </c>
      <c r="AO8" s="32">
        <f>-Construction!AN13</f>
        <v>0</v>
      </c>
      <c r="AP8" s="32">
        <f>-Construction!AO13</f>
        <v>0</v>
      </c>
      <c r="AQ8" s="32">
        <f>-Construction!AP13</f>
        <v>0</v>
      </c>
      <c r="AR8" s="32">
        <f>-Construction!AQ13</f>
        <v>0</v>
      </c>
      <c r="AS8" s="32">
        <f>-Construction!AR13</f>
        <v>0</v>
      </c>
    </row>
    <row r="9" spans="2:46" x14ac:dyDescent="0.45">
      <c r="B9" t="s">
        <v>18</v>
      </c>
      <c r="C9" t="s">
        <v>90</v>
      </c>
      <c r="F9" s="32">
        <f>-Construction!E14</f>
        <v>-4392.6692291780118</v>
      </c>
      <c r="G9" s="32">
        <f>-Construction!F14</f>
        <v>-4392.6692291780118</v>
      </c>
      <c r="H9" s="32">
        <f>-Construction!G14</f>
        <v>-3440.9328843047761</v>
      </c>
      <c r="I9" s="32">
        <f>-Construction!H14</f>
        <v>-1764.9021952836774</v>
      </c>
      <c r="J9" s="32">
        <f>-Construction!I14</f>
        <v>0</v>
      </c>
      <c r="K9" s="32">
        <f>-Construction!J14</f>
        <v>0</v>
      </c>
      <c r="L9" s="32">
        <f>-Construction!K14</f>
        <v>0</v>
      </c>
      <c r="M9" s="32">
        <f>-Construction!L14</f>
        <v>0</v>
      </c>
      <c r="N9" s="32">
        <f>-Construction!M14</f>
        <v>0</v>
      </c>
      <c r="O9" s="32">
        <f>-Construction!N14</f>
        <v>0</v>
      </c>
      <c r="P9" s="32">
        <f>-Construction!O14</f>
        <v>0</v>
      </c>
      <c r="Q9" s="32">
        <f>-Construction!P14</f>
        <v>0</v>
      </c>
      <c r="R9" s="32">
        <f>-Construction!Q14</f>
        <v>0</v>
      </c>
      <c r="S9" s="32">
        <f>-Construction!R14</f>
        <v>0</v>
      </c>
      <c r="T9" s="32">
        <f>-Construction!S14</f>
        <v>0</v>
      </c>
      <c r="U9" s="32">
        <f>-Construction!T14</f>
        <v>0</v>
      </c>
      <c r="V9" s="32">
        <f>-Construction!U14</f>
        <v>0</v>
      </c>
      <c r="W9" s="32">
        <f>-Construction!V14</f>
        <v>0</v>
      </c>
      <c r="X9" s="32">
        <f>-Construction!W14</f>
        <v>0</v>
      </c>
      <c r="Y9" s="32">
        <f>-Construction!X14</f>
        <v>0</v>
      </c>
      <c r="Z9" s="32">
        <f>-Construction!Y14</f>
        <v>0</v>
      </c>
      <c r="AA9" s="32">
        <f>-Construction!Z14</f>
        <v>0</v>
      </c>
      <c r="AB9" s="32">
        <f>-Construction!AA14</f>
        <v>0</v>
      </c>
      <c r="AC9" s="32">
        <f>-Construction!AB14</f>
        <v>0</v>
      </c>
      <c r="AD9" s="32">
        <f>-Construction!AC14</f>
        <v>0</v>
      </c>
      <c r="AE9" s="32">
        <f>-Construction!AD14</f>
        <v>0</v>
      </c>
      <c r="AF9" s="32">
        <f>-Construction!AE14</f>
        <v>0</v>
      </c>
      <c r="AG9" s="32">
        <f>-Construction!AF14</f>
        <v>0</v>
      </c>
      <c r="AH9" s="32">
        <f>-Construction!AG14</f>
        <v>0</v>
      </c>
      <c r="AI9" s="32">
        <f>-Construction!AH14</f>
        <v>0</v>
      </c>
      <c r="AJ9" s="32">
        <f>-Construction!AI14</f>
        <v>0</v>
      </c>
      <c r="AK9" s="32">
        <f>-Construction!AJ14</f>
        <v>0</v>
      </c>
      <c r="AL9" s="32">
        <f>-Construction!AK14</f>
        <v>0</v>
      </c>
      <c r="AM9" s="32">
        <f>-Construction!AL14</f>
        <v>0</v>
      </c>
      <c r="AN9" s="32">
        <f>-Construction!AM14</f>
        <v>0</v>
      </c>
      <c r="AO9" s="32">
        <f>-Construction!AN14</f>
        <v>0</v>
      </c>
      <c r="AP9" s="32">
        <f>-Construction!AO14</f>
        <v>0</v>
      </c>
      <c r="AQ9" s="32">
        <f>-Construction!AP14</f>
        <v>0</v>
      </c>
      <c r="AR9" s="32">
        <f>-Construction!AQ14</f>
        <v>0</v>
      </c>
      <c r="AS9" s="32">
        <f>-Construction!AR14</f>
        <v>0</v>
      </c>
    </row>
    <row r="10" spans="2:46" x14ac:dyDescent="0.45">
      <c r="B10" t="s">
        <v>73</v>
      </c>
      <c r="C10" t="s">
        <v>90</v>
      </c>
      <c r="F10" s="32">
        <f>-Construction!E15</f>
        <v>0</v>
      </c>
      <c r="G10" s="32">
        <f>-Construction!F15</f>
        <v>0</v>
      </c>
      <c r="H10" s="32">
        <f>-Construction!G15</f>
        <v>-3416.4894431346911</v>
      </c>
      <c r="I10" s="32">
        <f>-Construction!H15</f>
        <v>-9433.0098652617125</v>
      </c>
      <c r="J10" s="32">
        <f>-Construction!I15</f>
        <v>0</v>
      </c>
      <c r="K10" s="32">
        <f>-Construction!J15</f>
        <v>0</v>
      </c>
      <c r="L10" s="32">
        <f>-Construction!K15</f>
        <v>0</v>
      </c>
      <c r="M10" s="32">
        <f>-Construction!L15</f>
        <v>0</v>
      </c>
      <c r="N10" s="32">
        <f>-Construction!M15</f>
        <v>0</v>
      </c>
      <c r="O10" s="32">
        <f>-Construction!N15</f>
        <v>0</v>
      </c>
      <c r="P10" s="32">
        <f>-Construction!O15</f>
        <v>0</v>
      </c>
      <c r="Q10" s="32">
        <f>-Construction!P15</f>
        <v>0</v>
      </c>
      <c r="R10" s="32">
        <f>-Construction!Q15</f>
        <v>0</v>
      </c>
      <c r="S10" s="32">
        <f>-Construction!R15</f>
        <v>0</v>
      </c>
      <c r="T10" s="32">
        <f>-Construction!S15</f>
        <v>0</v>
      </c>
      <c r="U10" s="32">
        <f>-Construction!T15</f>
        <v>0</v>
      </c>
      <c r="V10" s="32">
        <f>-Construction!U15</f>
        <v>0</v>
      </c>
      <c r="W10" s="32">
        <f>-Construction!V15</f>
        <v>0</v>
      </c>
      <c r="X10" s="32">
        <f>-Construction!W15</f>
        <v>0</v>
      </c>
      <c r="Y10" s="32">
        <f>-Construction!X15</f>
        <v>0</v>
      </c>
      <c r="Z10" s="32">
        <f>-Construction!Y15</f>
        <v>0</v>
      </c>
      <c r="AA10" s="32">
        <f>-Construction!Z15</f>
        <v>0</v>
      </c>
      <c r="AB10" s="32">
        <f>-Construction!AA15</f>
        <v>0</v>
      </c>
      <c r="AC10" s="32">
        <f>-Construction!AB15</f>
        <v>0</v>
      </c>
      <c r="AD10" s="32">
        <f>-Construction!AC15</f>
        <v>0</v>
      </c>
      <c r="AE10" s="32">
        <f>-Construction!AD15</f>
        <v>0</v>
      </c>
      <c r="AF10" s="32">
        <f>-Construction!AE15</f>
        <v>0</v>
      </c>
      <c r="AG10" s="32">
        <f>-Construction!AF15</f>
        <v>0</v>
      </c>
      <c r="AH10" s="32">
        <f>-Construction!AG15</f>
        <v>0</v>
      </c>
      <c r="AI10" s="32">
        <f>-Construction!AH15</f>
        <v>0</v>
      </c>
      <c r="AJ10" s="32">
        <f>-Construction!AI15</f>
        <v>0</v>
      </c>
      <c r="AK10" s="32">
        <f>-Construction!AJ15</f>
        <v>0</v>
      </c>
      <c r="AL10" s="32">
        <f>-Construction!AK15</f>
        <v>0</v>
      </c>
      <c r="AM10" s="32">
        <f>-Construction!AL15</f>
        <v>0</v>
      </c>
      <c r="AN10" s="32">
        <f>-Construction!AM15</f>
        <v>0</v>
      </c>
      <c r="AO10" s="32">
        <f>-Construction!AN15</f>
        <v>0</v>
      </c>
      <c r="AP10" s="32">
        <f>-Construction!AO15</f>
        <v>0</v>
      </c>
      <c r="AQ10" s="32">
        <f>-Construction!AP15</f>
        <v>0</v>
      </c>
      <c r="AR10" s="32">
        <f>-Construction!AQ15</f>
        <v>0</v>
      </c>
      <c r="AS10" s="32">
        <f>-Construction!AR15</f>
        <v>0</v>
      </c>
    </row>
    <row r="11" spans="2:46" x14ac:dyDescent="0.45">
      <c r="B11" s="62" t="s">
        <v>127</v>
      </c>
      <c r="C11" s="63"/>
      <c r="D11" s="64">
        <f>SUM(F11:I11)</f>
        <v>-330058.74554170942</v>
      </c>
      <c r="E11" s="63"/>
      <c r="F11" s="64">
        <f>SUM(F7:F10)</f>
        <v>-82610.741924546513</v>
      </c>
      <c r="G11" s="64">
        <f t="shared" ref="G11:AS11" si="0">SUM(G7:G10)</f>
        <v>-79392.669229178005</v>
      </c>
      <c r="H11" s="64">
        <f t="shared" si="0"/>
        <v>-81857.422327439461</v>
      </c>
      <c r="I11" s="64">
        <f t="shared" si="0"/>
        <v>-86197.912060545394</v>
      </c>
      <c r="J11" s="64">
        <f t="shared" si="0"/>
        <v>0</v>
      </c>
      <c r="K11" s="64">
        <f t="shared" si="0"/>
        <v>0</v>
      </c>
      <c r="L11" s="64">
        <f t="shared" si="0"/>
        <v>0</v>
      </c>
      <c r="M11" s="64">
        <f t="shared" si="0"/>
        <v>0</v>
      </c>
      <c r="N11" s="64">
        <f t="shared" si="0"/>
        <v>0</v>
      </c>
      <c r="O11" s="64">
        <f t="shared" si="0"/>
        <v>0</v>
      </c>
      <c r="P11" s="64">
        <f t="shared" si="0"/>
        <v>0</v>
      </c>
      <c r="Q11" s="64">
        <f t="shared" si="0"/>
        <v>0</v>
      </c>
      <c r="R11" s="64">
        <f t="shared" si="0"/>
        <v>0</v>
      </c>
      <c r="S11" s="64">
        <f t="shared" si="0"/>
        <v>0</v>
      </c>
      <c r="T11" s="64">
        <f t="shared" si="0"/>
        <v>0</v>
      </c>
      <c r="U11" s="64">
        <f t="shared" si="0"/>
        <v>0</v>
      </c>
      <c r="V11" s="64">
        <f t="shared" si="0"/>
        <v>0</v>
      </c>
      <c r="W11" s="64">
        <f t="shared" si="0"/>
        <v>0</v>
      </c>
      <c r="X11" s="64">
        <f t="shared" si="0"/>
        <v>0</v>
      </c>
      <c r="Y11" s="64">
        <f t="shared" si="0"/>
        <v>0</v>
      </c>
      <c r="Z11" s="64">
        <f t="shared" si="0"/>
        <v>0</v>
      </c>
      <c r="AA11" s="64">
        <f t="shared" si="0"/>
        <v>0</v>
      </c>
      <c r="AB11" s="64">
        <f t="shared" si="0"/>
        <v>0</v>
      </c>
      <c r="AC11" s="64">
        <f t="shared" si="0"/>
        <v>0</v>
      </c>
      <c r="AD11" s="64">
        <f t="shared" si="0"/>
        <v>0</v>
      </c>
      <c r="AE11" s="64">
        <f t="shared" si="0"/>
        <v>0</v>
      </c>
      <c r="AF11" s="64">
        <f t="shared" si="0"/>
        <v>0</v>
      </c>
      <c r="AG11" s="64">
        <f t="shared" si="0"/>
        <v>0</v>
      </c>
      <c r="AH11" s="64">
        <f t="shared" si="0"/>
        <v>0</v>
      </c>
      <c r="AI11" s="64">
        <f t="shared" si="0"/>
        <v>0</v>
      </c>
      <c r="AJ11" s="64">
        <f t="shared" si="0"/>
        <v>0</v>
      </c>
      <c r="AK11" s="64">
        <f t="shared" si="0"/>
        <v>0</v>
      </c>
      <c r="AL11" s="64">
        <f t="shared" si="0"/>
        <v>0</v>
      </c>
      <c r="AM11" s="64">
        <f t="shared" si="0"/>
        <v>0</v>
      </c>
      <c r="AN11" s="64">
        <f t="shared" si="0"/>
        <v>0</v>
      </c>
      <c r="AO11" s="64">
        <f t="shared" si="0"/>
        <v>0</v>
      </c>
      <c r="AP11" s="64">
        <f t="shared" si="0"/>
        <v>0</v>
      </c>
      <c r="AQ11" s="64">
        <f t="shared" si="0"/>
        <v>0</v>
      </c>
      <c r="AR11" s="64">
        <f t="shared" si="0"/>
        <v>0</v>
      </c>
      <c r="AS11" s="64">
        <f t="shared" si="0"/>
        <v>0</v>
      </c>
      <c r="AT11" s="63"/>
    </row>
    <row r="13" spans="2:46" x14ac:dyDescent="0.45">
      <c r="B13" t="s">
        <v>128</v>
      </c>
      <c r="C13" t="s">
        <v>90</v>
      </c>
      <c r="F13" s="32">
        <f>Operations!E15</f>
        <v>0</v>
      </c>
      <c r="G13" s="32">
        <f>Operations!F15</f>
        <v>0</v>
      </c>
      <c r="H13" s="32">
        <f>Operations!G15</f>
        <v>0</v>
      </c>
      <c r="I13" s="32">
        <f>Operations!H15</f>
        <v>0</v>
      </c>
      <c r="J13" s="32">
        <f>Operations!I15</f>
        <v>95160.175507865482</v>
      </c>
      <c r="K13" s="32">
        <f>Operations!J15</f>
        <v>97063.379018022795</v>
      </c>
      <c r="L13" s="32">
        <f>Operations!K15</f>
        <v>99004.646598383246</v>
      </c>
      <c r="M13" s="32">
        <f>Operations!L15</f>
        <v>100984.73953035091</v>
      </c>
      <c r="N13" s="32">
        <f>Operations!M15</f>
        <v>103004.43432095792</v>
      </c>
      <c r="O13" s="32">
        <f>Operations!N15</f>
        <v>105064.52300737708</v>
      </c>
      <c r="P13" s="32">
        <f>Operations!O15</f>
        <v>107165.81346752465</v>
      </c>
      <c r="Q13" s="32">
        <f>Operations!P15</f>
        <v>109309.12973687511</v>
      </c>
      <c r="R13" s="32">
        <f>Operations!Q15</f>
        <v>111495.31233161264</v>
      </c>
      <c r="S13" s="32">
        <f>Operations!R15</f>
        <v>113725.21857824488</v>
      </c>
      <c r="T13" s="32">
        <f>Operations!S15</f>
        <v>115999.72294980977</v>
      </c>
      <c r="U13" s="32">
        <f>Operations!T15</f>
        <v>118319.71740880595</v>
      </c>
      <c r="V13" s="32">
        <f>Operations!U15</f>
        <v>120686.11175698209</v>
      </c>
      <c r="W13" s="32">
        <f>Operations!V15</f>
        <v>123099.83399212174</v>
      </c>
      <c r="X13" s="32">
        <f>Operations!W15</f>
        <v>125561.83067196417</v>
      </c>
      <c r="Y13" s="32">
        <f>Operations!X15</f>
        <v>128073.06728540342</v>
      </c>
      <c r="Z13" s="32">
        <f>Operations!Y15</f>
        <v>130634.52863111149</v>
      </c>
      <c r="AA13" s="32">
        <f>Operations!Z15</f>
        <v>133247.21920373375</v>
      </c>
      <c r="AB13" s="32">
        <f>Operations!AA15</f>
        <v>135912.16358780841</v>
      </c>
      <c r="AC13" s="32">
        <f>Operations!AB15</f>
        <v>138630.40685956459</v>
      </c>
      <c r="AD13" s="32">
        <f>Operations!AC15</f>
        <v>141403.01499675587</v>
      </c>
      <c r="AE13" s="32">
        <f>Operations!AD15</f>
        <v>144231.07529669101</v>
      </c>
      <c r="AF13" s="32">
        <f>Operations!AE15</f>
        <v>147115.69680262482</v>
      </c>
      <c r="AG13" s="32">
        <f>Operations!AF15</f>
        <v>150058.01073867726</v>
      </c>
      <c r="AH13" s="32">
        <f>Operations!AG15</f>
        <v>153059.17095345081</v>
      </c>
      <c r="AI13" s="32">
        <f>Operations!AH15</f>
        <v>156120.35437251983</v>
      </c>
      <c r="AJ13" s="32">
        <f>Operations!AI15</f>
        <v>159242.76145997026</v>
      </c>
      <c r="AK13" s="32">
        <f>Operations!AJ15</f>
        <v>162427.61668916966</v>
      </c>
      <c r="AL13" s="32">
        <f>Operations!AK15</f>
        <v>165676.16902295308</v>
      </c>
      <c r="AM13" s="32">
        <f>Operations!AL15</f>
        <v>168989.69240341213</v>
      </c>
      <c r="AN13" s="32">
        <f>Operations!AM15</f>
        <v>172369.48625148035</v>
      </c>
      <c r="AO13" s="32">
        <f>Operations!AN15</f>
        <v>175816.87597650997</v>
      </c>
      <c r="AP13" s="32">
        <f>Operations!AO15</f>
        <v>179333.21349604015</v>
      </c>
      <c r="AQ13" s="32">
        <f>Operations!AP15</f>
        <v>182919.87776596096</v>
      </c>
      <c r="AR13" s="32">
        <f>Operations!AQ15</f>
        <v>186578.27532128018</v>
      </c>
      <c r="AS13" s="32">
        <f>Operations!AR15</f>
        <v>190309.84082770578</v>
      </c>
    </row>
    <row r="14" spans="2:46" x14ac:dyDescent="0.45">
      <c r="B14" t="s">
        <v>129</v>
      </c>
      <c r="C14" t="s">
        <v>90</v>
      </c>
      <c r="F14" s="32">
        <f>-Operations!E20</f>
        <v>0</v>
      </c>
      <c r="G14" s="32">
        <f>-Operations!F20</f>
        <v>0</v>
      </c>
      <c r="H14" s="32">
        <f>-Operations!G20</f>
        <v>0</v>
      </c>
      <c r="I14" s="32">
        <f>-Operations!H20</f>
        <v>0</v>
      </c>
      <c r="J14" s="32">
        <f>-Operations!I20</f>
        <v>-10411.741184000002</v>
      </c>
      <c r="K14" s="32">
        <f>-Operations!J20</f>
        <v>-10828.210831360004</v>
      </c>
      <c r="L14" s="32">
        <f>-Operations!K20</f>
        <v>-11261.339264614404</v>
      </c>
      <c r="M14" s="32">
        <f>-Operations!L20</f>
        <v>-11711.792835198978</v>
      </c>
      <c r="N14" s="32">
        <f>-Operations!M20</f>
        <v>-12180.26454860694</v>
      </c>
      <c r="O14" s="32">
        <f>-Operations!N20</f>
        <v>-12667.475130551218</v>
      </c>
      <c r="P14" s="32">
        <f>-Operations!O20</f>
        <v>-13174.174135773268</v>
      </c>
      <c r="Q14" s="32">
        <f>-Operations!P20</f>
        <v>-13701.141101204195</v>
      </c>
      <c r="R14" s="32">
        <f>-Operations!Q20</f>
        <v>-14249.186745252367</v>
      </c>
      <c r="S14" s="32">
        <f>-Operations!R20</f>
        <v>-14819.154215062461</v>
      </c>
      <c r="T14" s="32">
        <f>-Operations!S20</f>
        <v>-15411.920383664959</v>
      </c>
      <c r="U14" s="32">
        <f>-Operations!T20</f>
        <v>-16028.397199011559</v>
      </c>
      <c r="V14" s="32">
        <f>-Operations!U20</f>
        <v>-16669.533086972024</v>
      </c>
      <c r="W14" s="32">
        <f>-Operations!V20</f>
        <v>-17336.314410450905</v>
      </c>
      <c r="X14" s="32">
        <f>-Operations!W20</f>
        <v>-18029.766986868945</v>
      </c>
      <c r="Y14" s="32">
        <f>-Operations!X20</f>
        <v>-18750.9576663437</v>
      </c>
      <c r="Z14" s="32">
        <f>-Operations!Y20</f>
        <v>-19500.995972997451</v>
      </c>
      <c r="AA14" s="32">
        <f>-Operations!Z20</f>
        <v>-20281.035811917354</v>
      </c>
      <c r="AB14" s="32">
        <f>-Operations!AA20</f>
        <v>-21092.277244394045</v>
      </c>
      <c r="AC14" s="32">
        <f>-Operations!AB20</f>
        <v>-21935.968334169804</v>
      </c>
      <c r="AD14" s="32">
        <f>-Operations!AC20</f>
        <v>-22813.407067536598</v>
      </c>
      <c r="AE14" s="32">
        <f>-Operations!AD20</f>
        <v>-23725.943350238071</v>
      </c>
      <c r="AF14" s="32">
        <f>-Operations!AE20</f>
        <v>-24674.981084247589</v>
      </c>
      <c r="AG14" s="32">
        <f>-Operations!AF20</f>
        <v>-25661.980327617493</v>
      </c>
      <c r="AH14" s="32">
        <f>-Operations!AG20</f>
        <v>-26688.4595407222</v>
      </c>
      <c r="AI14" s="32">
        <f>-Operations!AH20</f>
        <v>-27755.997922351089</v>
      </c>
      <c r="AJ14" s="32">
        <f>-Operations!AI20</f>
        <v>-28866.237839245125</v>
      </c>
      <c r="AK14" s="32">
        <f>-Operations!AJ20</f>
        <v>-30020.887352814931</v>
      </c>
      <c r="AL14" s="32">
        <f>-Operations!AK20</f>
        <v>-31221.722846927536</v>
      </c>
      <c r="AM14" s="32">
        <f>-Operations!AL20</f>
        <v>-32470.591760804633</v>
      </c>
      <c r="AN14" s="32">
        <f>-Operations!AM20</f>
        <v>-33769.415431236826</v>
      </c>
      <c r="AO14" s="32">
        <f>-Operations!AN20</f>
        <v>-35120.1920484863</v>
      </c>
      <c r="AP14" s="32">
        <f>-Operations!AO20</f>
        <v>-36524.999730425749</v>
      </c>
      <c r="AQ14" s="32">
        <f>-Operations!AP20</f>
        <v>-37985.999719642787</v>
      </c>
      <c r="AR14" s="32">
        <f>-Operations!AQ20</f>
        <v>-39505.439708428494</v>
      </c>
      <c r="AS14" s="32">
        <f>-Operations!AR20</f>
        <v>-41085.657296765632</v>
      </c>
    </row>
    <row r="15" spans="2:46" x14ac:dyDescent="0.45">
      <c r="B15" t="s">
        <v>130</v>
      </c>
      <c r="C15" t="s">
        <v>90</v>
      </c>
      <c r="F15" s="32">
        <f>'P&amp;L Statement'!F27</f>
        <v>0</v>
      </c>
      <c r="G15" s="32">
        <f>'P&amp;L Statement'!G27</f>
        <v>0</v>
      </c>
      <c r="H15" s="32">
        <f>'P&amp;L Statement'!H27</f>
        <v>0</v>
      </c>
      <c r="I15" s="32">
        <f>'P&amp;L Statement'!I27</f>
        <v>0</v>
      </c>
      <c r="J15" s="32">
        <f>'P&amp;L Statement'!J27</f>
        <v>-17943.473951746993</v>
      </c>
      <c r="K15" s="32">
        <f>'P&amp;L Statement'!K27</f>
        <v>-18418.837753196258</v>
      </c>
      <c r="L15" s="32">
        <f>'P&amp;L Statement'!L27</f>
        <v>-18902.779897669989</v>
      </c>
      <c r="M15" s="32">
        <f>'P&amp;L Statement'!M27</f>
        <v>-19395.48738585196</v>
      </c>
      <c r="N15" s="32">
        <f>'P&amp;L Statement'!N27</f>
        <v>-19897.155441241601</v>
      </c>
      <c r="O15" s="32">
        <f>'P&amp;L Statement'!O27</f>
        <v>-20407.988138032888</v>
      </c>
      <c r="P15" s="32">
        <f>'P&amp;L Statement'!P27</f>
        <v>-20928.199080969855</v>
      </c>
      <c r="Q15" s="32">
        <f>'P&amp;L Statement'!Q27</f>
        <v>-21458.012141329782</v>
      </c>
      <c r="R15" s="32">
        <f>'P&amp;L Statement'!R27</f>
        <v>-21997.662253505685</v>
      </c>
      <c r="S15" s="32">
        <f>'P&amp;L Statement'!S27</f>
        <v>-22547.39627700366</v>
      </c>
      <c r="T15" s="32">
        <f>'P&amp;L Statement'!T27</f>
        <v>-23107.47392904188</v>
      </c>
      <c r="U15" s="32">
        <f>'P&amp;L Statement'!U27</f>
        <v>-23678.168793335746</v>
      </c>
      <c r="V15" s="32">
        <f>'P&amp;L Statement'!V27</f>
        <v>-24259.769411082561</v>
      </c>
      <c r="W15" s="32">
        <f>'P&amp;L Statement'!W27</f>
        <v>-24852.580460619542</v>
      </c>
      <c r="X15" s="32">
        <f>'P&amp;L Statement'!X27</f>
        <v>-25456.924032724455</v>
      </c>
      <c r="Y15" s="32">
        <f>'P&amp;L Statement'!Y27</f>
        <v>-26073.1410090606</v>
      </c>
      <c r="Z15" s="32">
        <f>'P&amp;L Statement'!Z27</f>
        <v>-26701.592551840491</v>
      </c>
      <c r="AA15" s="32">
        <f>'P&amp;L Statement'!AA27</f>
        <v>-27342.661713397963</v>
      </c>
      <c r="AB15" s="32">
        <f>'P&amp;L Statement'!AB27</f>
        <v>-27996.755175020455</v>
      </c>
      <c r="AC15" s="32">
        <f>'P&amp;L Statement'!AC27</f>
        <v>-28664.305125104209</v>
      </c>
      <c r="AD15" s="32">
        <f>'P&amp;L Statement'!AD27</f>
        <v>-29345.771287459658</v>
      </c>
      <c r="AE15" s="32">
        <f>'P&amp;L Statement'!AE27</f>
        <v>-30041.643111416659</v>
      </c>
      <c r="AF15" s="32">
        <f>'P&amp;L Statement'!AF27</f>
        <v>-30752.442136261696</v>
      </c>
      <c r="AG15" s="32">
        <f>'P&amp;L Statement'!AG27</f>
        <v>-31478.72454348937</v>
      </c>
      <c r="AH15" s="32">
        <f>'P&amp;L Statement'!AH27</f>
        <v>-32221.083911370533</v>
      </c>
      <c r="AI15" s="32">
        <f>'P&amp;L Statement'!AI27</f>
        <v>-32980.154187435539</v>
      </c>
      <c r="AJ15" s="32">
        <f>'P&amp;L Statement'!AJ27</f>
        <v>-33756.612895650658</v>
      </c>
      <c r="AK15" s="32">
        <f>'P&amp;L Statement'!AK27</f>
        <v>-34551.184596330771</v>
      </c>
      <c r="AL15" s="32">
        <f>'P&amp;L Statement'!AL27</f>
        <v>-35364.644618193612</v>
      </c>
      <c r="AM15" s="32">
        <f>'P&amp;L Statement'!AM27</f>
        <v>-36197.823083421965</v>
      </c>
      <c r="AN15" s="32">
        <f>'P&amp;L Statement'!AN27</f>
        <v>-37051.609248172703</v>
      </c>
      <c r="AO15" s="32">
        <f>'P&amp;L Statement'!AO27</f>
        <v>-37926.956182658978</v>
      </c>
      <c r="AP15" s="32">
        <f>'P&amp;L Statement'!AP27</f>
        <v>-38824.88581674661</v>
      </c>
      <c r="AQ15" s="32">
        <f>'P&amp;L Statement'!AQ27</f>
        <v>-39746.494378954725</v>
      </c>
      <c r="AR15" s="32">
        <f>'P&amp;L Statement'!AR27</f>
        <v>-40692.958258844534</v>
      </c>
      <c r="AS15" s="32">
        <f>'P&amp;L Statement'!AS27</f>
        <v>-41665.54032503067</v>
      </c>
    </row>
    <row r="16" spans="2:46" x14ac:dyDescent="0.45">
      <c r="B16" s="62" t="s">
        <v>131</v>
      </c>
      <c r="C16" s="63" t="s">
        <v>90</v>
      </c>
      <c r="D16" s="63"/>
      <c r="E16" s="63"/>
      <c r="F16" s="64">
        <f>SUM(F11:F15)</f>
        <v>-82610.741924546513</v>
      </c>
      <c r="G16" s="64">
        <f t="shared" ref="G16:I16" si="1">SUM(G11:G15)</f>
        <v>-79392.669229178005</v>
      </c>
      <c r="H16" s="64">
        <f t="shared" si="1"/>
        <v>-81857.422327439461</v>
      </c>
      <c r="I16" s="64">
        <f t="shared" si="1"/>
        <v>-86197.912060545394</v>
      </c>
      <c r="J16" s="64">
        <f t="shared" ref="J16:AS16" si="2">SUM(J13:J15)</f>
        <v>66804.960372118483</v>
      </c>
      <c r="K16" s="64">
        <f t="shared" si="2"/>
        <v>67816.33043346653</v>
      </c>
      <c r="L16" s="64">
        <f t="shared" si="2"/>
        <v>68840.527436098855</v>
      </c>
      <c r="M16" s="64">
        <f t="shared" si="2"/>
        <v>69877.459309299971</v>
      </c>
      <c r="N16" s="64">
        <f t="shared" si="2"/>
        <v>70927.014331109385</v>
      </c>
      <c r="O16" s="64">
        <f t="shared" si="2"/>
        <v>71989.059738792974</v>
      </c>
      <c r="P16" s="64">
        <f t="shared" si="2"/>
        <v>73063.440250781539</v>
      </c>
      <c r="Q16" s="64">
        <f t="shared" si="2"/>
        <v>74149.976494341128</v>
      </c>
      <c r="R16" s="64">
        <f t="shared" si="2"/>
        <v>75248.46333285459</v>
      </c>
      <c r="S16" s="64">
        <f t="shared" si="2"/>
        <v>76358.668086178761</v>
      </c>
      <c r="T16" s="64">
        <f t="shared" si="2"/>
        <v>77480.328637102939</v>
      </c>
      <c r="U16" s="64">
        <f t="shared" si="2"/>
        <v>78613.151416458655</v>
      </c>
      <c r="V16" s="64">
        <f t="shared" si="2"/>
        <v>79756.809258927504</v>
      </c>
      <c r="W16" s="64">
        <f t="shared" si="2"/>
        <v>80910.939121051299</v>
      </c>
      <c r="X16" s="64">
        <f t="shared" si="2"/>
        <v>82075.139652370766</v>
      </c>
      <c r="Y16" s="64">
        <f t="shared" si="2"/>
        <v>83248.968609999109</v>
      </c>
      <c r="Z16" s="64">
        <f t="shared" si="2"/>
        <v>84431.940106273541</v>
      </c>
      <c r="AA16" s="64">
        <f t="shared" si="2"/>
        <v>85623.52167841843</v>
      </c>
      <c r="AB16" s="64">
        <f t="shared" si="2"/>
        <v>86823.131168393898</v>
      </c>
      <c r="AC16" s="64">
        <f t="shared" si="2"/>
        <v>88030.133400290593</v>
      </c>
      <c r="AD16" s="64">
        <f t="shared" si="2"/>
        <v>89243.836641759612</v>
      </c>
      <c r="AE16" s="64">
        <f t="shared" si="2"/>
        <v>90463.488835036274</v>
      </c>
      <c r="AF16" s="64">
        <f t="shared" si="2"/>
        <v>91688.273582115537</v>
      </c>
      <c r="AG16" s="64">
        <f t="shared" si="2"/>
        <v>92917.305867570394</v>
      </c>
      <c r="AH16" s="64">
        <f t="shared" si="2"/>
        <v>94149.627501358089</v>
      </c>
      <c r="AI16" s="64">
        <f t="shared" si="2"/>
        <v>95384.20226273319</v>
      </c>
      <c r="AJ16" s="64">
        <f t="shared" si="2"/>
        <v>96619.910725074486</v>
      </c>
      <c r="AK16" s="64">
        <f t="shared" si="2"/>
        <v>97855.544740023965</v>
      </c>
      <c r="AL16" s="64">
        <f t="shared" si="2"/>
        <v>99089.801557831932</v>
      </c>
      <c r="AM16" s="64">
        <f t="shared" si="2"/>
        <v>100321.27755918552</v>
      </c>
      <c r="AN16" s="64">
        <f t="shared" si="2"/>
        <v>101548.46157207084</v>
      </c>
      <c r="AO16" s="64">
        <f t="shared" si="2"/>
        <v>102769.7277453647</v>
      </c>
      <c r="AP16" s="64">
        <f t="shared" si="2"/>
        <v>103983.32794886779</v>
      </c>
      <c r="AQ16" s="64">
        <f t="shared" si="2"/>
        <v>105187.38366736347</v>
      </c>
      <c r="AR16" s="64">
        <f t="shared" si="2"/>
        <v>106379.87735400716</v>
      </c>
      <c r="AS16" s="64">
        <f t="shared" si="2"/>
        <v>107558.64320590948</v>
      </c>
      <c r="AT16" s="63"/>
    </row>
    <row r="18" spans="2:46" x14ac:dyDescent="0.45">
      <c r="B18" s="24" t="s">
        <v>125</v>
      </c>
      <c r="C18" t="s">
        <v>23</v>
      </c>
      <c r="D18" s="66">
        <f>IRR(F16:AS16)</f>
        <v>0.17151234232080736</v>
      </c>
      <c r="AD18" s="65"/>
    </row>
    <row r="21" spans="2:46" x14ac:dyDescent="0.45">
      <c r="B21" s="18" t="s">
        <v>132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2"/>
    </row>
    <row r="23" spans="2:46" x14ac:dyDescent="0.45">
      <c r="B23" t="s">
        <v>133</v>
      </c>
      <c r="C23" t="s">
        <v>90</v>
      </c>
      <c r="D23" s="32">
        <f>SUM(F23:AS23)</f>
        <v>-115520.55829527968</v>
      </c>
      <c r="F23" s="32">
        <f>-Construction!E26</f>
        <v>-82610.739837268236</v>
      </c>
      <c r="G23" s="32">
        <f>-Construction!F26</f>
        <v>-32909.818458011447</v>
      </c>
      <c r="H23" s="32">
        <f>-Construction!G26</f>
        <v>0</v>
      </c>
      <c r="I23" s="32">
        <f>-Construction!H26</f>
        <v>0</v>
      </c>
      <c r="J23" s="32">
        <f>-Construction!I26</f>
        <v>0</v>
      </c>
      <c r="K23" s="32">
        <f>-Construction!J26</f>
        <v>0</v>
      </c>
      <c r="L23" s="32">
        <f>-Construction!K26</f>
        <v>0</v>
      </c>
      <c r="M23" s="32">
        <f>-Construction!L26</f>
        <v>0</v>
      </c>
      <c r="N23" s="32">
        <f>-Construction!M26</f>
        <v>0</v>
      </c>
      <c r="O23" s="32">
        <f>-Construction!N26</f>
        <v>0</v>
      </c>
      <c r="P23" s="32">
        <f>-Construction!O26</f>
        <v>0</v>
      </c>
      <c r="Q23" s="32">
        <f>-Construction!P26</f>
        <v>0</v>
      </c>
      <c r="R23" s="32">
        <f>-Construction!Q26</f>
        <v>0</v>
      </c>
      <c r="S23" s="32">
        <f>-Construction!R26</f>
        <v>0</v>
      </c>
      <c r="T23" s="32">
        <f>-Construction!S26</f>
        <v>0</v>
      </c>
      <c r="U23" s="32">
        <f>-Construction!T26</f>
        <v>0</v>
      </c>
      <c r="V23" s="32">
        <f>-Construction!U26</f>
        <v>0</v>
      </c>
      <c r="W23" s="32">
        <f>-Construction!V26</f>
        <v>0</v>
      </c>
      <c r="X23" s="32">
        <f>-Construction!W26</f>
        <v>0</v>
      </c>
      <c r="Y23" s="32">
        <f>-Construction!X26</f>
        <v>0</v>
      </c>
      <c r="Z23" s="32">
        <f>-Construction!Y26</f>
        <v>0</v>
      </c>
      <c r="AA23" s="32">
        <f>-Construction!Z26</f>
        <v>0</v>
      </c>
      <c r="AB23" s="32">
        <f>-Construction!AA26</f>
        <v>0</v>
      </c>
      <c r="AC23" s="32">
        <f>-Construction!AB26</f>
        <v>0</v>
      </c>
      <c r="AD23" s="32">
        <f>-Construction!AC26</f>
        <v>0</v>
      </c>
      <c r="AE23" s="32">
        <f>-Construction!AD26</f>
        <v>0</v>
      </c>
      <c r="AF23" s="32">
        <f>-Construction!AE26</f>
        <v>0</v>
      </c>
      <c r="AG23" s="32">
        <f>-Construction!AF26</f>
        <v>0</v>
      </c>
      <c r="AH23" s="32">
        <f>-Construction!AG26</f>
        <v>0</v>
      </c>
      <c r="AI23" s="32">
        <f>-Construction!AH26</f>
        <v>0</v>
      </c>
      <c r="AJ23" s="32">
        <f>-Construction!AI26</f>
        <v>0</v>
      </c>
      <c r="AK23" s="32">
        <f>-Construction!AJ26</f>
        <v>0</v>
      </c>
      <c r="AL23" s="32">
        <f>-Construction!AK26</f>
        <v>0</v>
      </c>
      <c r="AM23" s="32">
        <f>-Construction!AL26</f>
        <v>0</v>
      </c>
      <c r="AN23" s="32">
        <f>-Construction!AM26</f>
        <v>0</v>
      </c>
      <c r="AO23" s="32">
        <f>-Construction!AN26</f>
        <v>0</v>
      </c>
      <c r="AP23" s="32">
        <f>-Construction!AO26</f>
        <v>0</v>
      </c>
      <c r="AQ23" s="32">
        <f>-Construction!AP26</f>
        <v>0</v>
      </c>
      <c r="AR23" s="32">
        <f>-Construction!AQ26</f>
        <v>0</v>
      </c>
      <c r="AS23" s="32">
        <f>-Construction!AR26</f>
        <v>0</v>
      </c>
    </row>
    <row r="24" spans="2:46" x14ac:dyDescent="0.45">
      <c r="B24" t="s">
        <v>135</v>
      </c>
      <c r="C24" t="s">
        <v>90</v>
      </c>
      <c r="F24" s="32">
        <f>-CFS!F24</f>
        <v>0</v>
      </c>
      <c r="G24" s="32">
        <f>-CFS!G24</f>
        <v>0</v>
      </c>
      <c r="H24" s="32">
        <f>-CFS!H24</f>
        <v>0</v>
      </c>
      <c r="I24" s="32">
        <f>-CFS!I24</f>
        <v>0</v>
      </c>
      <c r="J24" s="32">
        <f>-CFS!J24</f>
        <v>41868.105887409656</v>
      </c>
      <c r="K24" s="32">
        <f>-CFS!K24</f>
        <v>42977.288090791277</v>
      </c>
      <c r="L24" s="32">
        <f>-CFS!L24</f>
        <v>44106.486427896642</v>
      </c>
      <c r="M24" s="32">
        <f>-CFS!M24</f>
        <v>45256.137233654576</v>
      </c>
      <c r="N24" s="32">
        <f>-CFS!N24</f>
        <v>46426.69602956374</v>
      </c>
      <c r="O24" s="32">
        <f>-CFS!O24</f>
        <v>47618.638988743405</v>
      </c>
      <c r="P24" s="32">
        <f>-CFS!P24</f>
        <v>48832.464522262999</v>
      </c>
      <c r="Q24" s="32">
        <f>-CFS!Q24</f>
        <v>50068.694996436163</v>
      </c>
      <c r="R24" s="32">
        <f>-CFS!R24</f>
        <v>51327.878591513276</v>
      </c>
      <c r="S24" s="32">
        <f>-CFS!S24</f>
        <v>52610.591313008539</v>
      </c>
      <c r="T24" s="32">
        <f>-CFS!T24</f>
        <v>53917.439167764387</v>
      </c>
      <c r="U24" s="32">
        <f>-CFS!U24</f>
        <v>55249.060517783408</v>
      </c>
      <c r="V24" s="32">
        <f>-CFS!V24</f>
        <v>56606.12862585931</v>
      </c>
      <c r="W24" s="32">
        <f>-CFS!W24</f>
        <v>57989.354408112267</v>
      </c>
      <c r="X24" s="32">
        <f>-CFS!X24</f>
        <v>59399.489409690395</v>
      </c>
      <c r="Y24" s="32">
        <f>-CFS!Y24</f>
        <v>60837.329021141406</v>
      </c>
      <c r="Z24" s="32">
        <f>-CFS!Z24</f>
        <v>62303.715954294479</v>
      </c>
      <c r="AA24" s="32">
        <f>-CFS!AA24</f>
        <v>63799.543997928587</v>
      </c>
      <c r="AB24" s="32">
        <f>-CFS!AB24</f>
        <v>65325.762075047722</v>
      </c>
      <c r="AC24" s="32">
        <f>-CFS!AC24</f>
        <v>66883.37862524316</v>
      </c>
      <c r="AD24" s="32">
        <f>-CFS!AD24</f>
        <v>68473.466337405873</v>
      </c>
      <c r="AE24" s="32">
        <f>-CFS!AE24</f>
        <v>70097.167259972208</v>
      </c>
      <c r="AF24" s="32">
        <f>-CFS!AF24</f>
        <v>71755.698317943956</v>
      </c>
      <c r="AG24" s="32">
        <f>-CFS!AG24</f>
        <v>73450.357268141874</v>
      </c>
      <c r="AH24" s="32">
        <f>-CFS!AH24</f>
        <v>75182.529126531255</v>
      </c>
      <c r="AI24" s="32">
        <f>-CFS!AI24</f>
        <v>76953.693104016274</v>
      </c>
      <c r="AJ24" s="32">
        <f>-CFS!AJ24</f>
        <v>78765.430089851536</v>
      </c>
      <c r="AK24" s="32">
        <f>-CFS!AK24</f>
        <v>80619.43072477181</v>
      </c>
      <c r="AL24" s="32">
        <f>-CFS!AL24</f>
        <v>82127.248273205245</v>
      </c>
      <c r="AM24" s="32">
        <f>-CFS!AM24</f>
        <v>83085.163543933362</v>
      </c>
      <c r="AN24" s="32">
        <f>-CFS!AN24</f>
        <v>84585.908287444152</v>
      </c>
      <c r="AO24" s="32">
        <f>-CFS!AO24</f>
        <v>85533.613730112542</v>
      </c>
      <c r="AP24" s="32">
        <f>-CFS!AP24</f>
        <v>87020.774664241108</v>
      </c>
      <c r="AQ24" s="32">
        <f>-CFS!AQ24</f>
        <v>87951.26965211131</v>
      </c>
      <c r="AR24" s="32">
        <f>-CFS!AR24</f>
        <v>89417.324069380469</v>
      </c>
      <c r="AS24" s="32">
        <f>-CFS!AS24</f>
        <v>90322.529190657326</v>
      </c>
    </row>
    <row r="25" spans="2:46" x14ac:dyDescent="0.45">
      <c r="B25" t="s">
        <v>136</v>
      </c>
      <c r="C25" t="s">
        <v>90</v>
      </c>
      <c r="F25" s="1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32">
        <f>CFS!AS28</f>
        <v>142908.85467891642</v>
      </c>
    </row>
    <row r="26" spans="2:46" x14ac:dyDescent="0.45">
      <c r="B26" t="s">
        <v>134</v>
      </c>
      <c r="C26" t="s">
        <v>90</v>
      </c>
      <c r="F26" s="32">
        <f>SUM(F23:F25)</f>
        <v>-82610.739837268236</v>
      </c>
      <c r="G26" s="32">
        <f t="shared" ref="G26:AS26" si="3">SUM(G23:G25)</f>
        <v>-32909.818458011447</v>
      </c>
      <c r="H26" s="32">
        <f>SUM(H23:H25)</f>
        <v>0</v>
      </c>
      <c r="I26" s="32">
        <f t="shared" si="3"/>
        <v>0</v>
      </c>
      <c r="J26" s="32">
        <f t="shared" si="3"/>
        <v>41868.105887409656</v>
      </c>
      <c r="K26" s="32">
        <f t="shared" si="3"/>
        <v>42977.288090791277</v>
      </c>
      <c r="L26" s="32">
        <f t="shared" si="3"/>
        <v>44106.486427896642</v>
      </c>
      <c r="M26" s="32">
        <f t="shared" si="3"/>
        <v>45256.137233654576</v>
      </c>
      <c r="N26" s="32">
        <f t="shared" si="3"/>
        <v>46426.69602956374</v>
      </c>
      <c r="O26" s="32">
        <f t="shared" si="3"/>
        <v>47618.638988743405</v>
      </c>
      <c r="P26" s="32">
        <f t="shared" si="3"/>
        <v>48832.464522262999</v>
      </c>
      <c r="Q26" s="32">
        <f t="shared" si="3"/>
        <v>50068.694996436163</v>
      </c>
      <c r="R26" s="32">
        <f t="shared" si="3"/>
        <v>51327.878591513276</v>
      </c>
      <c r="S26" s="32">
        <f t="shared" si="3"/>
        <v>52610.591313008539</v>
      </c>
      <c r="T26" s="32">
        <f t="shared" si="3"/>
        <v>53917.439167764387</v>
      </c>
      <c r="U26" s="32">
        <f t="shared" si="3"/>
        <v>55249.060517783408</v>
      </c>
      <c r="V26" s="32">
        <f t="shared" si="3"/>
        <v>56606.12862585931</v>
      </c>
      <c r="W26" s="32">
        <f t="shared" si="3"/>
        <v>57989.354408112267</v>
      </c>
      <c r="X26" s="32">
        <f t="shared" si="3"/>
        <v>59399.489409690395</v>
      </c>
      <c r="Y26" s="32">
        <f t="shared" si="3"/>
        <v>60837.329021141406</v>
      </c>
      <c r="Z26" s="32">
        <f t="shared" si="3"/>
        <v>62303.715954294479</v>
      </c>
      <c r="AA26" s="32">
        <f t="shared" si="3"/>
        <v>63799.543997928587</v>
      </c>
      <c r="AB26" s="32">
        <f t="shared" si="3"/>
        <v>65325.762075047722</v>
      </c>
      <c r="AC26" s="32">
        <f t="shared" si="3"/>
        <v>66883.37862524316</v>
      </c>
      <c r="AD26" s="32">
        <f t="shared" si="3"/>
        <v>68473.466337405873</v>
      </c>
      <c r="AE26" s="32">
        <f t="shared" si="3"/>
        <v>70097.167259972208</v>
      </c>
      <c r="AF26" s="32">
        <f t="shared" si="3"/>
        <v>71755.698317943956</v>
      </c>
      <c r="AG26" s="32">
        <f t="shared" si="3"/>
        <v>73450.357268141874</v>
      </c>
      <c r="AH26" s="32">
        <f t="shared" si="3"/>
        <v>75182.529126531255</v>
      </c>
      <c r="AI26" s="32">
        <f t="shared" si="3"/>
        <v>76953.693104016274</v>
      </c>
      <c r="AJ26" s="32">
        <f t="shared" si="3"/>
        <v>78765.430089851536</v>
      </c>
      <c r="AK26" s="32">
        <f t="shared" si="3"/>
        <v>80619.43072477181</v>
      </c>
      <c r="AL26" s="32">
        <f t="shared" si="3"/>
        <v>82127.248273205245</v>
      </c>
      <c r="AM26" s="32">
        <f t="shared" si="3"/>
        <v>83085.163543933362</v>
      </c>
      <c r="AN26" s="32">
        <f t="shared" si="3"/>
        <v>84585.908287444152</v>
      </c>
      <c r="AO26" s="32">
        <f t="shared" si="3"/>
        <v>85533.613730112542</v>
      </c>
      <c r="AP26" s="32">
        <f t="shared" si="3"/>
        <v>87020.774664241108</v>
      </c>
      <c r="AQ26" s="32">
        <f t="shared" si="3"/>
        <v>87951.26965211131</v>
      </c>
      <c r="AR26" s="32">
        <f t="shared" si="3"/>
        <v>89417.324069380469</v>
      </c>
      <c r="AS26" s="32">
        <f t="shared" si="3"/>
        <v>233231.38386957376</v>
      </c>
    </row>
    <row r="28" spans="2:46" x14ac:dyDescent="0.45">
      <c r="B28" s="67" t="s">
        <v>132</v>
      </c>
      <c r="C28" s="68" t="s">
        <v>23</v>
      </c>
      <c r="D28" s="69">
        <f>IRR(F26:AS26)</f>
        <v>0.23076629090494816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D1029CB39344AB26135B4856BE9CD" ma:contentTypeVersion="6" ma:contentTypeDescription="Create a new document." ma:contentTypeScope="" ma:versionID="a886ba05619b36271eb6bbae920be0a2">
  <xsd:schema xmlns:xsd="http://www.w3.org/2001/XMLSchema" xmlns:xs="http://www.w3.org/2001/XMLSchema" xmlns:p="http://schemas.microsoft.com/office/2006/metadata/properties" xmlns:ns3="74d6bd87-cc14-42d5-98fd-d6e0bec92e54" targetNamespace="http://schemas.microsoft.com/office/2006/metadata/properties" ma:root="true" ma:fieldsID="fea4b81953224eafe38e4bcf505af36a" ns3:_="">
    <xsd:import namespace="74d6bd87-cc14-42d5-98fd-d6e0bec92e5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6bd87-cc14-42d5-98fd-d6e0bec92e5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d6bd87-cc14-42d5-98fd-d6e0bec92e54" xsi:nil="true"/>
  </documentManagement>
</p:properties>
</file>

<file path=customXml/itemProps1.xml><?xml version="1.0" encoding="utf-8"?>
<ds:datastoreItem xmlns:ds="http://schemas.openxmlformats.org/officeDocument/2006/customXml" ds:itemID="{7E5E7979-6D21-4F7B-AB73-F5F2C02188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C9DAC4-49B5-4236-BBB4-7210F8DFE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6bd87-cc14-42d5-98fd-d6e0bec92e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E9D25A-B70C-4FCA-961D-6AD61CC0C43D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74d6bd87-cc14-42d5-98fd-d6e0bec92e54"/>
    <ds:schemaRef ds:uri="http://purl.org/dc/dcmitype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 (2)</vt:lpstr>
      <vt:lpstr>Inputs</vt:lpstr>
      <vt:lpstr>TBA</vt:lpstr>
      <vt:lpstr>Construction</vt:lpstr>
      <vt:lpstr>Operations</vt:lpstr>
      <vt:lpstr>P&amp;L Statement</vt:lpstr>
      <vt:lpstr>Debt</vt:lpstr>
      <vt:lpstr>A&amp;D </vt:lpstr>
      <vt:lpstr>CFS</vt:lpstr>
      <vt:lpstr>Balance Sheet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Mohamed Mehdi Mahjoub</cp:lastModifiedBy>
  <dcterms:created xsi:type="dcterms:W3CDTF">2015-06-05T18:17:20Z</dcterms:created>
  <dcterms:modified xsi:type="dcterms:W3CDTF">2025-10-28T12:19:26Z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0x01010010FD1029CB39344AB26135B4856BE9CD</vt:lpwstr>
  </property>
</Properties>
</file>