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 activeTab="2"/>
  </bookViews>
  <sheets>
    <sheet name="پرتفوی" sheetId="3" r:id="rId1"/>
    <sheet name="سرمایه" sheetId="7" r:id="rId2"/>
    <sheet name="بازدهی ماهانه" sheetId="10" r:id="rId3"/>
    <sheet name="سود روزانه" sheetId="12" r:id="rId4"/>
    <sheet name="واریز و برداشت" sheetId="9" r:id="rId5"/>
    <sheet name="مدیریت سرمایه" sheetId="8" r:id="rId6"/>
    <sheet name="واچ لیست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62913"/>
</workbook>
</file>

<file path=xl/calcChain.xml><?xml version="1.0" encoding="utf-8"?>
<calcChain xmlns="http://schemas.openxmlformats.org/spreadsheetml/2006/main"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C36" i="9"/>
  <c r="Q9" i="3" l="1"/>
  <c r="N9" i="3"/>
  <c r="K9" i="3"/>
  <c r="K3" i="10"/>
  <c r="C4" i="8" l="1"/>
  <c r="F7" i="10" l="1"/>
  <c r="G7" i="10" s="1"/>
  <c r="H7" i="10" s="1"/>
  <c r="F6" i="10"/>
  <c r="G6" i="10" s="1"/>
  <c r="H6" i="10" s="1"/>
  <c r="G5" i="10"/>
  <c r="H5" i="10" s="1"/>
  <c r="F5" i="10"/>
  <c r="G19" i="10" l="1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H11" i="3" l="1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K33" i="3"/>
  <c r="Q22" i="3"/>
  <c r="M33" i="3"/>
  <c r="M19" i="3"/>
  <c r="M17" i="3"/>
  <c r="M23" i="3"/>
  <c r="M11" i="3"/>
  <c r="M31" i="3"/>
  <c r="M15" i="3"/>
  <c r="N29" i="3" l="1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G4" i="7" l="1"/>
  <c r="K28" i="3"/>
  <c r="K6" i="3"/>
  <c r="K17" i="3"/>
  <c r="K7" i="3"/>
  <c r="K25" i="3"/>
  <c r="K5" i="3"/>
  <c r="K12" i="3"/>
  <c r="K13" i="3"/>
  <c r="K10" i="3"/>
  <c r="K24" i="3"/>
  <c r="K8" i="3"/>
  <c r="I4" i="7" l="1"/>
  <c r="H4" i="7"/>
  <c r="J4" i="7" l="1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</calcChain>
</file>

<file path=xl/sharedStrings.xml><?xml version="1.0" encoding="utf-8"?>
<sst xmlns="http://schemas.openxmlformats.org/spreadsheetml/2006/main" count="279" uniqueCount="170">
  <si>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</si>
  <si>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</si>
  <si>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</si>
  <si>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</si>
  <si>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</si>
  <si>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</si>
  <si>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</si>
  <si>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</si>
  <si>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</si>
  <si>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</si>
  <si>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</si>
  <si>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</si>
  <si>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</si>
  <si>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</si>
  <si>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</si>
  <si>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</si>
  <si>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</si>
  <si>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</si>
  <si>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</si>
  <si>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</si>
  <si>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</si>
  <si>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</si>
  <si>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</si>
  <si>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</si>
  <si>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</si>
  <si>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</si>
  <si>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</si>
  <si>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</si>
  <si>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</si>
  <si>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</si>
  <si>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</si>
  <si>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</si>
  <si>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</si>
  <si>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</si>
  <si>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</si>
  <si>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</si>
  <si>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</si>
  <si>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</si>
  <si>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</si>
  <si>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</si>
  <si>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</si>
  <si>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</si>
  <si>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</si>
  <si>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</si>
  <si>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</si>
  <si>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</si>
  <si>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</si>
  <si>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</si>
  <si>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</si>
  <si>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</si>
  <si>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</si>
  <si>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</si>
  <si>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</si>
  <si>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</si>
  <si>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</si>
  <si>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</si>
  <si>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</si>
  <si>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</si>
  <si>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</si>
  <si>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</si>
  <si>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</si>
  <si>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</si>
  <si>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</si>
  <si>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</si>
  <si>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</si>
  <si>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</si>
  <si>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</si>
  <si>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</si>
  <si>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</si>
  <si>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</si>
  <si>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</si>
  <si>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</si>
  <si>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</si>
  <si>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</si>
  <si>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</si>
  <si>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</si>
  <si>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</si>
  <si>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</si>
  <si>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</si>
  <si>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</si>
  <si>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</si>
  <si>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</si>
  <si>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</si>
  <si>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</si>
  <si>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</si>
  <si>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</si>
  <si>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</si>
  <si>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</si>
  <si>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</si>
  <si>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</si>
  <si>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</si>
  <si>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</si>
  <si>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</si>
  <si>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</si>
  <si>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</si>
  <si>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</si>
  <si>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</si>
  <si>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</si>
  <si>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</si>
  <si>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</si>
  <si>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</si>
  <si>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</si>
  <si>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</si>
  <si>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</si>
  <si>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</si>
  <si>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</si>
  <si>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</si>
  <si>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</si>
  <si>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</si>
  <si>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</si>
  <si>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</si>
  <si>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</si>
  <si>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</si>
  <si>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</si>
  <si>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</si>
  <si>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</si>
  <si>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</si>
  <si>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</si>
  <si>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</si>
  <si>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</si>
  <si>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</si>
  <si>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</si>
  <si>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</si>
  <si>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</si>
  <si>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</si>
  <si>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</si>
  <si>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</si>
  <si>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</si>
  <si>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</si>
  <si>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</si>
  <si>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</si>
  <si>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</si>
  <si>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</si>
  <si>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</si>
  <si>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</si>
  <si>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</si>
  <si>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</si>
  <si>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</si>
  <si>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</si>
  <si>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</si>
  <si>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</si>
  <si>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</si>
  <si>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</si>
  <si>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</si>
  <si>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</si>
  <si>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</si>
  <si>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</si>
  <si>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</si>
  <si>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</si>
  <si>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</si>
  <si>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</si>
  <si>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</si>
  <si>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</si>
  <si>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</si>
  <si>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</si>
  <si>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</si>
  <si>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میزان سود (ریال)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</si>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</sst>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D6F6F"/>
      <color rgb="FFFD3D3D"/>
      <color rgb="FFFED2D2"/>
      <color rgb="FFFDB5B5"/>
      <color rgb="FFFDA1A1"/>
      <color rgb="FFFD8D8D"/>
      <color rgb="FFFD5959"/>
      <color rgb="FFFD1313"/>
      <color rgb="FFF00202"/>
      <color rgb="FFDC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116833000</c:v>
                </c:pt>
                <c:pt idx="1">
                  <c:v>287929151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688208"/>
        <c:axId val="899684400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0.20678407079646019</c:v>
                </c:pt>
                <c:pt idx="1">
                  <c:v>0.19449627959295576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684944"/>
        <c:axId val="899693648"/>
      </c:lineChart>
      <c:catAx>
        <c:axId val="8996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4400"/>
        <c:crosses val="autoZero"/>
        <c:auto val="1"/>
        <c:lblAlgn val="ctr"/>
        <c:lblOffset val="100"/>
        <c:noMultiLvlLbl val="0"/>
      </c:catAx>
      <c:valAx>
        <c:axId val="8996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8208"/>
        <c:crosses val="autoZero"/>
        <c:crossBetween val="between"/>
      </c:valAx>
      <c:valAx>
        <c:axId val="8996936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4944"/>
        <c:crosses val="max"/>
        <c:crossBetween val="between"/>
      </c:valAx>
      <c:catAx>
        <c:axId val="899684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89969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اردیبهشت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'سود روزانه'!$B$3</c:f>
              <c:strCache>
                <c:ptCount val="1"/>
                <c:pt idx="0">
                  <c:v>میزان سود (ریال)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'سود روزانه'!$C$2:$Y$2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'سود روزانه'!$C$3:$Y$3</c:f>
              <c:numCache>
                <c:formatCode>#,##0</c:formatCode>
                <c:ptCount val="23"/>
                <c:pt idx="0">
                  <c:v>49441151</c:v>
                </c:pt>
                <c:pt idx="1">
                  <c:v>5380834</c:v>
                </c:pt>
                <c:pt idx="2">
                  <c:v>41106166</c:v>
                </c:pt>
                <c:pt idx="3">
                  <c:v>59583000</c:v>
                </c:pt>
                <c:pt idx="4">
                  <c:v>10634000</c:v>
                </c:pt>
                <c:pt idx="5">
                  <c:v>37337000</c:v>
                </c:pt>
                <c:pt idx="6">
                  <c:v>12057000</c:v>
                </c:pt>
                <c:pt idx="7">
                  <c:v>69190000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B-4B8D-84DA-BD56160D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9686032"/>
        <c:axId val="899688752"/>
      </c:barChart>
      <c:catAx>
        <c:axId val="899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8752"/>
        <c:crosses val="autoZero"/>
        <c:auto val="1"/>
        <c:lblAlgn val="ctr"/>
        <c:lblOffset val="100"/>
        <c:noMultiLvlLbl val="0"/>
      </c:catAx>
      <c:valAx>
        <c:axId val="8996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600634</xdr:colOff>
      <xdr:row>3</xdr:row>
      <xdr:rowOff>174813</xdr:rowOff>
    </xdr:from>
    <xdr:to>
      <xdr:col>8</xdr:col>
      <xdr:colOff>654422</xdr:colOff>
      <xdr:row>27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587;&#1582;&#1608;&#1586;/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587;&#1601;&#1575;&#1585;&#1587;/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588;&#1711;&#1608;&#1740;&#1575;/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586;&#1705;&#1608;&#1579;&#1585;/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608;&#1587;&#1575;&#1582;&#1578;/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/>
          <cell r="G4"/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 x14ac:dyDescent="0.2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 x14ac:dyDescent="0.3"/>
    <row r="2" spans="2:20" ht="20.25" thickBot="1" x14ac:dyDescent="0.3">
      <c r="B2" s="120" t="s">
        <v>0</v>
      </c>
      <c r="C2" s="127" t="s">
        <v>13</v>
      </c>
      <c r="D2" s="120" t="s">
        <v>16</v>
      </c>
      <c r="E2" s="129" t="s">
        <v>4</v>
      </c>
      <c r="F2" s="131" t="s">
        <v>12</v>
      </c>
      <c r="G2" s="118" t="s">
        <v>18</v>
      </c>
      <c r="H2" s="120" t="s">
        <v>3</v>
      </c>
      <c r="I2" s="122" t="s">
        <v>2</v>
      </c>
      <c r="J2" s="122"/>
      <c r="K2" s="123"/>
      <c r="L2" s="124" t="s">
        <v>1</v>
      </c>
      <c r="M2" s="125"/>
      <c r="N2" s="125"/>
      <c r="O2" s="125"/>
      <c r="P2" s="125"/>
      <c r="Q2" s="125"/>
      <c r="R2" s="125"/>
      <c r="S2" s="125"/>
      <c r="T2" s="126"/>
    </row>
    <row r="3" spans="2:20" ht="20.25" thickBot="1" x14ac:dyDescent="0.3">
      <c r="B3" s="121"/>
      <c r="C3" s="128"/>
      <c r="D3" s="121"/>
      <c r="E3" s="130"/>
      <c r="F3" s="132"/>
      <c r="G3" s="119"/>
      <c r="H3" s="121"/>
      <c r="I3" s="72" t="s">
        <v>10</v>
      </c>
      <c r="J3" s="2" t="s">
        <v>11</v>
      </c>
      <c r="K3" s="56" t="s">
        <v>15</v>
      </c>
      <c r="L3" s="57" t="s">
        <v>5</v>
      </c>
      <c r="M3" s="58" t="s">
        <v>6</v>
      </c>
      <c r="N3" s="57" t="s">
        <v>7</v>
      </c>
      <c r="O3" s="63" t="s">
        <v>8</v>
      </c>
      <c r="P3" s="64" t="s">
        <v>6</v>
      </c>
      <c r="Q3" s="65" t="s">
        <v>7</v>
      </c>
      <c r="R3" s="66" t="s">
        <v>9</v>
      </c>
      <c r="S3" s="67" t="s">
        <v>6</v>
      </c>
      <c r="T3" s="68" t="s">
        <v>7</v>
      </c>
    </row>
    <row r="4" spans="2:20" ht="20.25" thickBot="1" x14ac:dyDescent="0.3">
      <c r="B4" s="54" t="s">
        <v>72</v>
      </c>
      <c r="C4" s="55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9" t="s">
        <v>78</v>
      </c>
      <c r="I4" s="35" t="s">
        <v>79</v>
      </c>
      <c r="J4" s="34" t="s">
        <v>80</v>
      </c>
      <c r="K4" s="36" t="s">
        <v>81</v>
      </c>
      <c r="L4" s="59" t="s">
        <v>82</v>
      </c>
      <c r="M4" s="33" t="s">
        <v>83</v>
      </c>
      <c r="N4" s="60" t="s">
        <v>84</v>
      </c>
      <c r="O4" s="59" t="s">
        <v>85</v>
      </c>
      <c r="P4" s="33" t="s">
        <v>86</v>
      </c>
      <c r="Q4" s="60" t="s">
        <v>87</v>
      </c>
      <c r="R4" s="59" t="s">
        <v>88</v>
      </c>
      <c r="S4" s="33" t="s">
        <v>89</v>
      </c>
      <c r="T4" s="69" t="s">
        <v>99</v>
      </c>
    </row>
    <row r="5" spans="2:20" ht="20.25" thickBot="1" x14ac:dyDescent="0.3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3.6039576003406605E-2</v>
      </c>
      <c r="H5" s="61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61">
        <f>'[1]دارایی فعلی'!$J$4</f>
        <v>85410</v>
      </c>
      <c r="M5" s="4">
        <f t="shared" ref="M5:M33" si="3">(L5/F5)-1</f>
        <v>0.2670999192616117</v>
      </c>
      <c r="N5" s="62">
        <f t="shared" ref="N5:N33" si="4">IF(J5&gt;0, M5/J5,"RF")</f>
        <v>0.93300560910926733</v>
      </c>
      <c r="O5" s="61">
        <f>'[1]دارایی فعلی'!$G$4</f>
        <v>0</v>
      </c>
      <c r="P5" s="4">
        <f t="shared" ref="P5:P33" si="5">(O5/F5)-1</f>
        <v>-1</v>
      </c>
      <c r="Q5" s="62">
        <f t="shared" ref="Q5:Q33" si="6">IF(J5&gt;0, P5/J5,"RF")</f>
        <v>-3.4930958110677399</v>
      </c>
      <c r="R5" s="61">
        <f>'[1]دارایی فعلی'!$D$4</f>
        <v>0</v>
      </c>
      <c r="S5" s="71">
        <f t="shared" ref="S5:S33" si="7">(R5/F5)-1</f>
        <v>-1</v>
      </c>
      <c r="T5" s="70" t="str">
        <f>IF(AA4&gt;0,#REF!/ AA4,"RF")</f>
        <v>RF</v>
      </c>
    </row>
    <row r="6" spans="2:20" ht="20.25" thickBot="1" x14ac:dyDescent="0.3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1.2629466982219789E-2</v>
      </c>
      <c r="H6" s="61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61">
        <f>'[2]دارایی فعلی'!$J$4</f>
        <v>56000</v>
      </c>
      <c r="M6" s="4">
        <f t="shared" si="3"/>
        <v>1.0457502960348122</v>
      </c>
      <c r="N6" s="62">
        <f t="shared" si="4"/>
        <v>9.3646933308184046</v>
      </c>
      <c r="O6" s="61">
        <f>'[2]دارایی فعلی'!$G$4</f>
        <v>28706</v>
      </c>
      <c r="P6" s="4">
        <f t="shared" si="5"/>
        <v>4.8666214249559303E-2</v>
      </c>
      <c r="Q6" s="62">
        <f t="shared" si="6"/>
        <v>0.4358059220705745</v>
      </c>
      <c r="R6" s="61">
        <f>'[2]دارایی فعلی'!$D$4</f>
        <v>0</v>
      </c>
      <c r="S6" s="71">
        <f t="shared" si="7"/>
        <v>-1</v>
      </c>
      <c r="T6" s="70" t="str">
        <f>IF(AA5&gt;0,#REF!/ AA5,"RF")</f>
        <v>RF</v>
      </c>
    </row>
    <row r="7" spans="2:20" ht="20.25" thickBot="1" x14ac:dyDescent="0.3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2.1206777656165056E-2</v>
      </c>
      <c r="H7" s="61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61">
        <f>'[3]دارایی فعلی'!$J$4</f>
        <v>45250</v>
      </c>
      <c r="M7" s="4">
        <f t="shared" si="3"/>
        <v>0.61922774894004728</v>
      </c>
      <c r="N7" s="62">
        <f t="shared" si="4"/>
        <v>2.5703356209420032</v>
      </c>
      <c r="O7" s="61">
        <f>'[3]دارایی فعلی'!$G$4</f>
        <v>51666</v>
      </c>
      <c r="P7" s="4">
        <f t="shared" si="5"/>
        <v>0.84881814092235319</v>
      </c>
      <c r="Q7" s="62">
        <f t="shared" si="6"/>
        <v>3.5233361344821246</v>
      </c>
      <c r="R7" s="61">
        <f>'[3]دارایی فعلی'!$D$4</f>
        <v>67750</v>
      </c>
      <c r="S7" s="71">
        <f t="shared" si="7"/>
        <v>1.4243686185787445</v>
      </c>
      <c r="T7" s="70" t="str">
        <f>IF(AA6&gt;0,#REF!/ AA6,"RF")</f>
        <v>RF</v>
      </c>
    </row>
    <row r="8" spans="2:20" ht="20.25" thickBot="1" x14ac:dyDescent="0.3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1.3818276254536849E-2</v>
      </c>
      <c r="H8" s="61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61">
        <f>'[4]دارایی فعلی'!$J$4</f>
        <v>51000</v>
      </c>
      <c r="M8" s="4">
        <f t="shared" si="3"/>
        <v>3.3019052081834159</v>
      </c>
      <c r="N8" s="62">
        <f t="shared" si="4"/>
        <v>18.162844393449689</v>
      </c>
      <c r="O8" s="61">
        <f>'[4]دارایی فعلی'!$G$4</f>
        <v>205000</v>
      </c>
      <c r="P8" s="4">
        <f t="shared" si="5"/>
        <v>16.291971915247064</v>
      </c>
      <c r="Q8" s="62">
        <f t="shared" si="6"/>
        <v>89.61751840292311</v>
      </c>
      <c r="R8" s="61">
        <f>'[4]دارایی فعلی'!$D$4</f>
        <v>0</v>
      </c>
      <c r="S8" s="71">
        <f t="shared" si="7"/>
        <v>-1</v>
      </c>
      <c r="T8" s="70" t="str">
        <f>IF(AA7&gt;0,#REF!/ AA7,"RF")</f>
        <v>RF</v>
      </c>
    </row>
    <row r="9" spans="2:20" ht="20.25" thickBot="1" x14ac:dyDescent="0.3">
      <c r="B9" s="32" t="s">
        <v>158</v>
      </c>
      <c r="C9" s="40" t="s">
        <v>167</v>
      </c>
      <c r="D9" s="31" t="s">
        <v>164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3.357547983932456E-2</v>
      </c>
      <c r="H9" s="61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61">
        <f>'[6]دارایی فعلی'!$J$4</f>
        <v>45000</v>
      </c>
      <c r="M9" s="4">
        <f t="shared" si="3"/>
        <v>0.3483145353653585</v>
      </c>
      <c r="N9" s="62">
        <f t="shared" si="4"/>
        <v>1.14419254051909</v>
      </c>
      <c r="O9" s="61">
        <f>'[6]دارایی فعلی'!$G$4</f>
        <v>65000</v>
      </c>
      <c r="P9" s="4">
        <f t="shared" si="5"/>
        <v>0.94756543997218468</v>
      </c>
      <c r="Q9" s="62">
        <f t="shared" si="6"/>
        <v>3.1126961352118521</v>
      </c>
      <c r="R9" s="61">
        <f>'[6]دارایی فعلی'!$D$4</f>
        <v>0</v>
      </c>
      <c r="S9" s="71">
        <f t="shared" si="7"/>
        <v>-1</v>
      </c>
      <c r="T9" s="70" t="str">
        <f>IF(AA7&gt;0,#REF!/ AA7,"RF")</f>
        <v>RF</v>
      </c>
    </row>
    <row r="10" spans="2:20" ht="20.25" thickBot="1" x14ac:dyDescent="0.3">
      <c r="B10" s="32" t="s">
        <v>14</v>
      </c>
      <c r="C10" s="40" t="s">
        <v>141</v>
      </c>
      <c r="D10" s="82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1.787143607978952E-2</v>
      </c>
      <c r="H10" s="61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61">
        <f>'[7]دارایی فعلی'!$J$4</f>
        <v>14670</v>
      </c>
      <c r="M10" s="4">
        <f t="shared" si="3"/>
        <v>0.25750042859591971</v>
      </c>
      <c r="N10" s="62">
        <f t="shared" si="4"/>
        <v>1.0481507327285411</v>
      </c>
      <c r="O10" s="61">
        <f>'[7]دارایی فعلی'!$G$4</f>
        <v>30340</v>
      </c>
      <c r="P10" s="4">
        <f t="shared" si="5"/>
        <v>1.6007200411452085</v>
      </c>
      <c r="Q10" s="62">
        <f t="shared" si="6"/>
        <v>6.5157013258897418</v>
      </c>
      <c r="R10" s="61">
        <f>'[7]دارایی فعلی'!$D$4</f>
        <v>0</v>
      </c>
      <c r="S10" s="71">
        <f t="shared" si="7"/>
        <v>-1</v>
      </c>
      <c r="T10" s="70" t="str">
        <f>IF(AA9&gt;0,#REF!/ AA9,"RF")</f>
        <v>RF</v>
      </c>
    </row>
    <row r="11" spans="2:20" ht="20.25" hidden="1" thickBot="1" x14ac:dyDescent="0.3">
      <c r="B11" s="54" t="s">
        <v>14</v>
      </c>
      <c r="C11" s="55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9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9">
        <f>'[8]دارایی فعلی'!$J$4</f>
        <v>0</v>
      </c>
      <c r="M11" s="33">
        <f t="shared" si="3"/>
        <v>-1</v>
      </c>
      <c r="N11" s="60" t="str">
        <f t="shared" si="4"/>
        <v>RF</v>
      </c>
      <c r="O11" s="59">
        <f>'[8]دارایی فعلی'!$G$4</f>
        <v>0</v>
      </c>
      <c r="P11" s="33">
        <f t="shared" si="5"/>
        <v>-1</v>
      </c>
      <c r="Q11" s="60" t="str">
        <f t="shared" si="6"/>
        <v>RF</v>
      </c>
      <c r="R11" s="59">
        <f>'[8]دارایی فعلی'!$D$4</f>
        <v>0</v>
      </c>
      <c r="S11" s="81">
        <f t="shared" si="7"/>
        <v>-1</v>
      </c>
      <c r="T11" s="69" t="str">
        <f>IF(AA10&gt;0,#REF!/ AA10,"RF")</f>
        <v>RF</v>
      </c>
    </row>
    <row r="12" spans="2:20" ht="20.25" thickBot="1" x14ac:dyDescent="0.3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4.2255027363342643E-3</v>
      </c>
      <c r="H12" s="61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61">
        <f>'[9]دارایی فعلی'!$J$4</f>
        <v>96800</v>
      </c>
      <c r="M12" s="4">
        <f t="shared" si="3"/>
        <v>0.31623675944685425</v>
      </c>
      <c r="N12" s="62">
        <f t="shared" si="4"/>
        <v>5.4389616463985018</v>
      </c>
      <c r="O12" s="61">
        <f>'[9]دارایی فعلی'!$G$4</f>
        <v>0</v>
      </c>
      <c r="P12" s="4">
        <f t="shared" si="5"/>
        <v>-1</v>
      </c>
      <c r="Q12" s="62">
        <f t="shared" si="6"/>
        <v>-17.199017773620199</v>
      </c>
      <c r="R12" s="61">
        <f>'[9]دارایی فعلی'!$D$4</f>
        <v>0</v>
      </c>
      <c r="S12" s="71">
        <f t="shared" si="7"/>
        <v>-1</v>
      </c>
      <c r="T12" s="70" t="str">
        <f>IF(AA11&gt;0,#REF!/ AA11,"RF")</f>
        <v>RF</v>
      </c>
    </row>
    <row r="13" spans="2:20" ht="20.25" thickBot="1" x14ac:dyDescent="0.3">
      <c r="B13" s="32" t="s">
        <v>14</v>
      </c>
      <c r="C13" s="40" t="s">
        <v>108</v>
      </c>
      <c r="D13" s="82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1.2320647221770948E-2</v>
      </c>
      <c r="H13" s="61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61">
        <f>'[10]دارایی فعلی'!$J$4</f>
        <v>9730</v>
      </c>
      <c r="M13" s="4">
        <f t="shared" si="3"/>
        <v>0.268099131740972</v>
      </c>
      <c r="N13" s="62">
        <f t="shared" si="4"/>
        <v>1.3588057069275394</v>
      </c>
      <c r="O13" s="61">
        <f>'[10]دارایی فعلی'!$G$4</f>
        <v>11971</v>
      </c>
      <c r="P13" s="4">
        <f t="shared" si="5"/>
        <v>0.56016595129200164</v>
      </c>
      <c r="Q13" s="62">
        <f t="shared" si="6"/>
        <v>2.8390867456350768</v>
      </c>
      <c r="R13" s="61">
        <f>'[10]دارایی فعلی'!$D$4</f>
        <v>0</v>
      </c>
      <c r="S13" s="71">
        <f t="shared" si="7"/>
        <v>-1</v>
      </c>
      <c r="T13" s="70" t="str">
        <f>IF(AA12&gt;0,#REF!/ AA12,"RF")</f>
        <v>RF</v>
      </c>
    </row>
    <row r="14" spans="2:20" ht="20.25" hidden="1" thickBot="1" x14ac:dyDescent="0.3">
      <c r="B14" s="54" t="s">
        <v>14</v>
      </c>
      <c r="C14" s="55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9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9">
        <f>'[11]دارایی فعلی'!$J$4</f>
        <v>8381</v>
      </c>
      <c r="M14" s="33">
        <f t="shared" si="3"/>
        <v>8380</v>
      </c>
      <c r="N14" s="60" t="str">
        <f t="shared" si="4"/>
        <v>RF</v>
      </c>
      <c r="O14" s="59">
        <f>'[11]دارایی فعلی'!$G$4</f>
        <v>0</v>
      </c>
      <c r="P14" s="33">
        <f t="shared" si="5"/>
        <v>-1</v>
      </c>
      <c r="Q14" s="60" t="str">
        <f t="shared" si="6"/>
        <v>RF</v>
      </c>
      <c r="R14" s="59">
        <f>'[11]دارایی فعلی'!$D$4</f>
        <v>0</v>
      </c>
      <c r="S14" s="81">
        <f t="shared" si="7"/>
        <v>-1</v>
      </c>
      <c r="T14" s="69" t="str">
        <f>IF(AA13&gt;0,#REF!/ AA13,"RF")</f>
        <v>RF</v>
      </c>
    </row>
    <row r="15" spans="2:20" ht="20.25" hidden="1" thickBot="1" x14ac:dyDescent="0.3">
      <c r="B15" s="53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61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61">
        <f>'[12]دارایی فعلی'!$J$4</f>
        <v>0</v>
      </c>
      <c r="M15" s="4">
        <f t="shared" si="3"/>
        <v>-1</v>
      </c>
      <c r="N15" s="62" t="str">
        <f t="shared" si="4"/>
        <v>RF</v>
      </c>
      <c r="O15" s="61">
        <f>'[12]دارایی فعلی'!$G$4</f>
        <v>0</v>
      </c>
      <c r="P15" s="4">
        <f t="shared" si="5"/>
        <v>-1</v>
      </c>
      <c r="Q15" s="62" t="str">
        <f t="shared" si="6"/>
        <v>RF</v>
      </c>
      <c r="R15" s="61">
        <f>'[12]دارایی فعلی'!$D$4</f>
        <v>0</v>
      </c>
      <c r="S15" s="71">
        <f t="shared" si="7"/>
        <v>-1</v>
      </c>
      <c r="T15" s="70" t="str">
        <f>IF(AA14&gt;0,#REF!/ AA14,"RF")</f>
        <v>RF</v>
      </c>
    </row>
    <row r="16" spans="2:20" ht="20.25" hidden="1" thickBot="1" x14ac:dyDescent="0.3">
      <c r="B16" s="53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61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61">
        <f>'[13]دارایی فعلی'!$J$4</f>
        <v>0</v>
      </c>
      <c r="M16" s="4">
        <f t="shared" si="3"/>
        <v>-1</v>
      </c>
      <c r="N16" s="62" t="str">
        <f t="shared" si="4"/>
        <v>RF</v>
      </c>
      <c r="O16" s="61">
        <f>'[13]دارایی فعلی'!$G$4</f>
        <v>0</v>
      </c>
      <c r="P16" s="4">
        <f t="shared" si="5"/>
        <v>-1</v>
      </c>
      <c r="Q16" s="62" t="str">
        <f t="shared" si="6"/>
        <v>RF</v>
      </c>
      <c r="R16" s="61">
        <f>'[13]دارایی فعلی'!$D$4</f>
        <v>0</v>
      </c>
      <c r="S16" s="71">
        <f t="shared" si="7"/>
        <v>-1</v>
      </c>
      <c r="T16" s="70" t="str">
        <f>IF(AA15&gt;0,#REF!/ AA15,"RF")</f>
        <v>RF</v>
      </c>
    </row>
    <row r="17" spans="2:20" ht="20.25" thickBot="1" x14ac:dyDescent="0.3">
      <c r="B17" s="32" t="s">
        <v>14</v>
      </c>
      <c r="C17" s="40" t="s">
        <v>113</v>
      </c>
      <c r="D17" s="82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5.2576757803964548E-3</v>
      </c>
      <c r="H17" s="61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61">
        <f>'[14]دارایی فعلی'!$J$4</f>
        <v>15866</v>
      </c>
      <c r="M17" s="4">
        <f t="shared" si="3"/>
        <v>0.18376482876967848</v>
      </c>
      <c r="N17" s="62">
        <f t="shared" si="4"/>
        <v>1.6732336956521745</v>
      </c>
      <c r="O17" s="61">
        <f>'[14]دارایی فعلی'!$G$4</f>
        <v>18136</v>
      </c>
      <c r="P17" s="4">
        <f t="shared" si="5"/>
        <v>0.35312989629187497</v>
      </c>
      <c r="Q17" s="62">
        <f t="shared" si="6"/>
        <v>3.2153532608695659</v>
      </c>
      <c r="R17" s="61">
        <f>'[14]دارایی فعلی'!$D$4</f>
        <v>0</v>
      </c>
      <c r="S17" s="71">
        <f t="shared" si="7"/>
        <v>-1</v>
      </c>
      <c r="T17" s="70" t="str">
        <f>IF(AA16&gt;0,#REF!/ AA16,"RF")</f>
        <v>RF</v>
      </c>
    </row>
    <row r="18" spans="2:20" ht="20.25" hidden="1" thickBot="1" x14ac:dyDescent="0.3">
      <c r="B18" s="54" t="s">
        <v>14</v>
      </c>
      <c r="C18" s="55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9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9">
        <f>'[15]دارایی فعلی'!$J$4</f>
        <v>0</v>
      </c>
      <c r="M18" s="33">
        <f t="shared" si="3"/>
        <v>-1</v>
      </c>
      <c r="N18" s="60" t="str">
        <f t="shared" si="4"/>
        <v>RF</v>
      </c>
      <c r="O18" s="59">
        <f>'[15]دارایی فعلی'!$G$4</f>
        <v>0</v>
      </c>
      <c r="P18" s="33">
        <f t="shared" si="5"/>
        <v>-1</v>
      </c>
      <c r="Q18" s="60" t="str">
        <f t="shared" si="6"/>
        <v>RF</v>
      </c>
      <c r="R18" s="59">
        <f>'[15]دارایی فعلی'!$D$4</f>
        <v>0</v>
      </c>
      <c r="S18" s="81">
        <f t="shared" si="7"/>
        <v>-1</v>
      </c>
      <c r="T18" s="69" t="str">
        <f>IF(AA17&gt;0,#REF!/ AA17,"RF")</f>
        <v>RF</v>
      </c>
    </row>
    <row r="19" spans="2:20" ht="20.25" hidden="1" thickBot="1" x14ac:dyDescent="0.3">
      <c r="B19" s="53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61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61">
        <f>'[16]دارایی فعلی'!$J$4</f>
        <v>0</v>
      </c>
      <c r="M19" s="4">
        <f t="shared" si="3"/>
        <v>-1</v>
      </c>
      <c r="N19" s="62" t="str">
        <f t="shared" si="4"/>
        <v>RF</v>
      </c>
      <c r="O19" s="61">
        <f>'[16]دارایی فعلی'!$G$4</f>
        <v>0</v>
      </c>
      <c r="P19" s="4">
        <f t="shared" si="5"/>
        <v>-1</v>
      </c>
      <c r="Q19" s="62" t="str">
        <f t="shared" si="6"/>
        <v>RF</v>
      </c>
      <c r="R19" s="61">
        <f>'[16]دارایی فعلی'!$D$4</f>
        <v>0</v>
      </c>
      <c r="S19" s="71">
        <f t="shared" si="7"/>
        <v>-1</v>
      </c>
      <c r="T19" s="70" t="str">
        <f>IF(AA18&gt;0,#REF!/ AA18,"RF")</f>
        <v>RF</v>
      </c>
    </row>
    <row r="20" spans="2:20" ht="20.25" hidden="1" thickBot="1" x14ac:dyDescent="0.3">
      <c r="B20" s="53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61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61">
        <f>'[17]دارایی فعلی'!$J$4</f>
        <v>0</v>
      </c>
      <c r="M20" s="4">
        <f t="shared" si="3"/>
        <v>-1</v>
      </c>
      <c r="N20" s="62" t="str">
        <f t="shared" si="4"/>
        <v>RF</v>
      </c>
      <c r="O20" s="61">
        <f>'[17]دارایی فعلی'!$G$4</f>
        <v>0</v>
      </c>
      <c r="P20" s="4">
        <f t="shared" si="5"/>
        <v>-1</v>
      </c>
      <c r="Q20" s="62" t="str">
        <f t="shared" si="6"/>
        <v>RF</v>
      </c>
      <c r="R20" s="61">
        <f>'[17]دارایی فعلی'!$D$4</f>
        <v>0</v>
      </c>
      <c r="S20" s="71">
        <f t="shared" si="7"/>
        <v>-1</v>
      </c>
      <c r="T20" s="70" t="str">
        <f>IF(AA19&gt;0,#REF!/ AA19,"RF")</f>
        <v>RF</v>
      </c>
    </row>
    <row r="21" spans="2:20" ht="20.25" hidden="1" thickBot="1" x14ac:dyDescent="0.3">
      <c r="B21" s="53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61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61">
        <f>'[18]دارایی فعلی'!$J$4</f>
        <v>0</v>
      </c>
      <c r="M21" s="4">
        <f t="shared" si="3"/>
        <v>-1</v>
      </c>
      <c r="N21" s="62" t="str">
        <f t="shared" si="4"/>
        <v>RF</v>
      </c>
      <c r="O21" s="61">
        <f>'[18]دارایی فعلی'!$G$4</f>
        <v>0</v>
      </c>
      <c r="P21" s="4">
        <f t="shared" si="5"/>
        <v>-1</v>
      </c>
      <c r="Q21" s="62" t="str">
        <f t="shared" si="6"/>
        <v>RF</v>
      </c>
      <c r="R21" s="61">
        <f>'[18]دارایی فعلی'!$D$4</f>
        <v>0</v>
      </c>
      <c r="S21" s="71">
        <f t="shared" si="7"/>
        <v>-1</v>
      </c>
      <c r="T21" s="70" t="str">
        <f>IF(AA20&gt;0,#REF!/ AA20,"RF")</f>
        <v>RF</v>
      </c>
    </row>
    <row r="22" spans="2:20" ht="20.25" hidden="1" thickBot="1" x14ac:dyDescent="0.3">
      <c r="B22" s="53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61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61">
        <f>'[19]دارایی فعلی'!$J$4</f>
        <v>0</v>
      </c>
      <c r="M22" s="4">
        <f t="shared" si="3"/>
        <v>-1</v>
      </c>
      <c r="N22" s="62" t="str">
        <f t="shared" si="4"/>
        <v>RF</v>
      </c>
      <c r="O22" s="61">
        <f>'[19]دارایی فعلی'!$G$4</f>
        <v>0</v>
      </c>
      <c r="P22" s="4">
        <f t="shared" si="5"/>
        <v>-1</v>
      </c>
      <c r="Q22" s="62" t="str">
        <f t="shared" si="6"/>
        <v>RF</v>
      </c>
      <c r="R22" s="61">
        <f>'[19]دارایی فعلی'!$D$4</f>
        <v>0</v>
      </c>
      <c r="S22" s="71">
        <f t="shared" si="7"/>
        <v>-1</v>
      </c>
      <c r="T22" s="70" t="str">
        <f>IF(AA21&gt;0,#REF!/ AA21,"RF")</f>
        <v>RF</v>
      </c>
    </row>
    <row r="23" spans="2:20" ht="20.25" hidden="1" thickBot="1" x14ac:dyDescent="0.3">
      <c r="B23" s="53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61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61">
        <f>'[20]دارایی فعلی'!$J$4</f>
        <v>0</v>
      </c>
      <c r="M23" s="4">
        <f t="shared" si="3"/>
        <v>-1</v>
      </c>
      <c r="N23" s="62" t="str">
        <f t="shared" si="4"/>
        <v>RF</v>
      </c>
      <c r="O23" s="61">
        <f>'[20]دارایی فعلی'!$G$4</f>
        <v>0</v>
      </c>
      <c r="P23" s="4">
        <f t="shared" si="5"/>
        <v>-1</v>
      </c>
      <c r="Q23" s="62" t="str">
        <f t="shared" si="6"/>
        <v>RF</v>
      </c>
      <c r="R23" s="61">
        <f>'[20]دارایی فعلی'!$D$4</f>
        <v>0</v>
      </c>
      <c r="S23" s="71">
        <f t="shared" si="7"/>
        <v>-1</v>
      </c>
      <c r="T23" s="70" t="str">
        <f>IF(AA22&gt;0,#REF!/ AA22,"RF")</f>
        <v>RF</v>
      </c>
    </row>
    <row r="24" spans="2:20" ht="20.25" thickBot="1" x14ac:dyDescent="0.3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1.3704268697683243E-2</v>
      </c>
      <c r="H24" s="61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61">
        <f>'[21]دارایی فعلی'!$J$4</f>
        <v>4584</v>
      </c>
      <c r="M24" s="4">
        <f t="shared" si="3"/>
        <v>0.32831063459866705</v>
      </c>
      <c r="N24" s="62">
        <f t="shared" si="4"/>
        <v>1.1444444444444446</v>
      </c>
      <c r="O24" s="61">
        <f>'[21]دارایی فعلی'!$G$4</f>
        <v>0</v>
      </c>
      <c r="P24" s="4">
        <f t="shared" si="5"/>
        <v>-1</v>
      </c>
      <c r="Q24" s="62">
        <f t="shared" si="6"/>
        <v>-3.485858585858586</v>
      </c>
      <c r="R24" s="61">
        <f>'[21]دارایی فعلی'!$D$4</f>
        <v>0</v>
      </c>
      <c r="S24" s="71">
        <f t="shared" si="7"/>
        <v>-1</v>
      </c>
      <c r="T24" s="70" t="str">
        <f>IF(AA23&gt;0,#REF!/ AA23,"RF")</f>
        <v>RF</v>
      </c>
    </row>
    <row r="25" spans="2:20" ht="20.25" thickBot="1" x14ac:dyDescent="0.3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1.1014859252514447E-2</v>
      </c>
      <c r="H25" s="61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61">
        <f>'[22]دارایی فعلی'!$J$4</f>
        <v>45154</v>
      </c>
      <c r="M25" s="4">
        <f t="shared" si="3"/>
        <v>0.18191812375667471</v>
      </c>
      <c r="N25" s="62">
        <f t="shared" si="4"/>
        <v>0.72942905121746449</v>
      </c>
      <c r="O25" s="61">
        <f>'[22]دارایی فعلی'!$G$4</f>
        <v>0</v>
      </c>
      <c r="P25" s="4">
        <f t="shared" si="5"/>
        <v>-1</v>
      </c>
      <c r="Q25" s="62">
        <f t="shared" si="6"/>
        <v>-4.0096557514693538</v>
      </c>
      <c r="R25" s="61">
        <f>'[22]دارایی فعلی'!$D$4</f>
        <v>0</v>
      </c>
      <c r="S25" s="71">
        <f t="shared" si="7"/>
        <v>-1</v>
      </c>
      <c r="T25" s="70" t="str">
        <f>IF(AA24&gt;0,#REF!/ AA24,"RF")</f>
        <v>RF</v>
      </c>
    </row>
    <row r="26" spans="2:20" ht="20.25" hidden="1" thickBot="1" x14ac:dyDescent="0.3">
      <c r="B26" s="32" t="s">
        <v>158</v>
      </c>
      <c r="C26" s="40" t="s">
        <v>169</v>
      </c>
      <c r="D26" s="31" t="s">
        <v>168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61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61">
        <f>'[24]دارایی فعلی'!$J$4</f>
        <v>20000</v>
      </c>
      <c r="M26" s="4">
        <f t="shared" si="3"/>
        <v>0.32758048456687683</v>
      </c>
      <c r="N26" s="62">
        <f t="shared" si="4"/>
        <v>1.0283392373411127</v>
      </c>
      <c r="O26" s="61">
        <f>'[24]دارایی فعلی'!$G$4</f>
        <v>22500</v>
      </c>
      <c r="P26" s="4">
        <f t="shared" si="5"/>
        <v>0.4935280451377364</v>
      </c>
      <c r="Q26" s="62">
        <f t="shared" si="6"/>
        <v>1.5492811002292142</v>
      </c>
      <c r="R26" s="61">
        <f>'[24]دارایی فعلی'!$D$4</f>
        <v>0</v>
      </c>
      <c r="S26" s="71">
        <f t="shared" si="7"/>
        <v>-1</v>
      </c>
      <c r="T26" s="70" t="str">
        <f>IF(AA24&gt;0,#REF!/ AA24,"RF")</f>
        <v>RF</v>
      </c>
    </row>
    <row r="27" spans="2:20" ht="20.25" thickBot="1" x14ac:dyDescent="0.3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61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61">
        <f>'[25]دارایی فعلی'!$J$4</f>
        <v>0</v>
      </c>
      <c r="M27" s="4">
        <f t="shared" si="3"/>
        <v>-1</v>
      </c>
      <c r="N27" s="62" t="str">
        <f t="shared" si="4"/>
        <v>RF</v>
      </c>
      <c r="O27" s="61">
        <f>'[25]دارایی فعلی'!$G$4</f>
        <v>0</v>
      </c>
      <c r="P27" s="4">
        <f t="shared" si="5"/>
        <v>-1</v>
      </c>
      <c r="Q27" s="62" t="str">
        <f t="shared" si="6"/>
        <v>RF</v>
      </c>
      <c r="R27" s="61">
        <f>'[25]دارایی فعلی'!$D$4</f>
        <v>0</v>
      </c>
      <c r="S27" s="71">
        <f t="shared" si="7"/>
        <v>-1</v>
      </c>
      <c r="T27" s="70" t="str">
        <f>IF(AA26&gt;0,#REF!/ AA26,"RF")</f>
        <v>RF</v>
      </c>
    </row>
    <row r="28" spans="2:20" ht="20.25" thickBot="1" x14ac:dyDescent="0.3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4.9922721784902624E-3</v>
      </c>
      <c r="H28" s="61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61">
        <f>'[27]دارایی فعلی'!$J$4</f>
        <v>11642</v>
      </c>
      <c r="M28" s="4">
        <f t="shared" si="3"/>
        <v>0.21094237570210117</v>
      </c>
      <c r="N28" s="62">
        <f t="shared" si="4"/>
        <v>1.705634987384357</v>
      </c>
      <c r="O28" s="61">
        <f>'[27]دارایی فعلی'!$G$4</f>
        <v>0</v>
      </c>
      <c r="P28" s="4">
        <f t="shared" si="5"/>
        <v>-1</v>
      </c>
      <c r="Q28" s="62">
        <f t="shared" si="6"/>
        <v>-8.0857863751051298</v>
      </c>
      <c r="R28" s="61">
        <f>'[27]دارایی فعلی'!$D$4</f>
        <v>0</v>
      </c>
      <c r="S28" s="71">
        <f t="shared" si="7"/>
        <v>-1</v>
      </c>
      <c r="T28" s="70" t="str">
        <f>IF(AA27&gt;0,#REF!/ AA27,"RF")</f>
        <v>RF</v>
      </c>
    </row>
    <row r="29" spans="2:20" ht="20.25" hidden="1" thickBot="1" x14ac:dyDescent="0.3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61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61">
        <f>'[29]دارایی فعلی'!$J$4</f>
        <v>0</v>
      </c>
      <c r="M29" s="4">
        <f t="shared" si="3"/>
        <v>-1</v>
      </c>
      <c r="N29" s="62" t="str">
        <f t="shared" si="4"/>
        <v>RF</v>
      </c>
      <c r="O29" s="61">
        <f>'[29]دارایی فعلی'!$G$4</f>
        <v>0</v>
      </c>
      <c r="P29" s="4">
        <f t="shared" si="5"/>
        <v>-1</v>
      </c>
      <c r="Q29" s="62" t="str">
        <f t="shared" si="6"/>
        <v>RF</v>
      </c>
      <c r="R29" s="61">
        <f>'[29]دارایی فعلی'!$D$4</f>
        <v>0</v>
      </c>
      <c r="S29" s="71">
        <f t="shared" si="7"/>
        <v>-1</v>
      </c>
      <c r="T29" s="70" t="str">
        <f>IF(AA28&gt;0,#REF!/ AA28,"RF")</f>
        <v>RF</v>
      </c>
    </row>
    <row r="30" spans="2:20" ht="20.25" hidden="1" thickBot="1" x14ac:dyDescent="0.3">
      <c r="B30" s="53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61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61">
        <f>'[31]دارایی فعلی'!$J$4</f>
        <v>0</v>
      </c>
      <c r="M30" s="4">
        <f t="shared" si="3"/>
        <v>-1</v>
      </c>
      <c r="N30" s="62" t="str">
        <f t="shared" si="4"/>
        <v>RF</v>
      </c>
      <c r="O30" s="61">
        <f>'[31]دارایی فعلی'!$G$4</f>
        <v>0</v>
      </c>
      <c r="P30" s="4">
        <f t="shared" si="5"/>
        <v>-1</v>
      </c>
      <c r="Q30" s="62" t="str">
        <f t="shared" si="6"/>
        <v>RF</v>
      </c>
      <c r="R30" s="61">
        <f>'[31]دارایی فعلی'!$D$4</f>
        <v>0</v>
      </c>
      <c r="S30" s="71">
        <f t="shared" si="7"/>
        <v>-1</v>
      </c>
      <c r="T30" s="70" t="str">
        <f>IF(AA29&gt;0,#REF!/ AA29,"RF")</f>
        <v>RF</v>
      </c>
    </row>
    <row r="31" spans="2:20" ht="20.25" thickBot="1" x14ac:dyDescent="0.3">
      <c r="B31" s="53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61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61">
        <f>'[32]دارایی فعلی'!$J$4</f>
        <v>0</v>
      </c>
      <c r="M31" s="4">
        <f t="shared" si="3"/>
        <v>-1</v>
      </c>
      <c r="N31" s="62" t="str">
        <f t="shared" si="4"/>
        <v>RF</v>
      </c>
      <c r="O31" s="61">
        <f>'[32]دارایی فعلی'!$G$4</f>
        <v>0</v>
      </c>
      <c r="P31" s="4">
        <f t="shared" si="5"/>
        <v>-1</v>
      </c>
      <c r="Q31" s="62" t="str">
        <f t="shared" si="6"/>
        <v>RF</v>
      </c>
      <c r="R31" s="61">
        <f>'[32]دارایی فعلی'!$D$4</f>
        <v>0</v>
      </c>
      <c r="S31" s="71">
        <f t="shared" si="7"/>
        <v>-1</v>
      </c>
      <c r="T31" s="70" t="str">
        <f>IF(AA30&gt;0,#REF!/ AA30,"RF")</f>
        <v>RF</v>
      </c>
    </row>
    <row r="32" spans="2:20" ht="20.25" thickBot="1" x14ac:dyDescent="0.3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61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61">
        <f>'[33]دارایی فعلی'!$J$4</f>
        <v>0</v>
      </c>
      <c r="M32" s="4">
        <f t="shared" si="3"/>
        <v>-1</v>
      </c>
      <c r="N32" s="62" t="str">
        <f t="shared" si="4"/>
        <v>RF</v>
      </c>
      <c r="O32" s="61">
        <f>'[33]دارایی فعلی'!$G$4</f>
        <v>0</v>
      </c>
      <c r="P32" s="4">
        <f t="shared" si="5"/>
        <v>-1</v>
      </c>
      <c r="Q32" s="62" t="str">
        <f t="shared" si="6"/>
        <v>RF</v>
      </c>
      <c r="R32" s="61">
        <f>'[33]دارایی فعلی'!$D$4</f>
        <v>0</v>
      </c>
      <c r="S32" s="71">
        <f t="shared" si="7"/>
        <v>-1</v>
      </c>
      <c r="T32" s="70" t="str">
        <f>IF(AA29&gt;0,#REF!/ AA29,"RF")</f>
        <v>RF</v>
      </c>
    </row>
    <row r="33" spans="2:20" ht="20.25" thickBot="1" x14ac:dyDescent="0.3">
      <c r="B33" s="32" t="s">
        <v>14</v>
      </c>
      <c r="C33" s="40" t="s">
        <v>111</v>
      </c>
      <c r="D33" s="82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61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61">
        <f>'[34]دارایی فعلی'!$J$4</f>
        <v>0</v>
      </c>
      <c r="M33" s="4">
        <f t="shared" si="3"/>
        <v>-1</v>
      </c>
      <c r="N33" s="62" t="str">
        <f t="shared" si="4"/>
        <v>RF</v>
      </c>
      <c r="O33" s="61">
        <f>'[34]دارایی فعلی'!$G$4</f>
        <v>0</v>
      </c>
      <c r="P33" s="4">
        <f t="shared" si="5"/>
        <v>-1</v>
      </c>
      <c r="Q33" s="62" t="str">
        <f t="shared" si="6"/>
        <v>RF</v>
      </c>
      <c r="R33" s="61">
        <f>'[34]دارایی فعلی'!$D$4</f>
        <v>0</v>
      </c>
      <c r="S33" s="71">
        <f t="shared" si="7"/>
        <v>-1</v>
      </c>
      <c r="T33" s="70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rightToLeft="1" zoomScale="115" zoomScaleNormal="115" workbookViewId="0"/>
  </sheetViews>
  <sheetFormatPr defaultColWidth="8.85546875" defaultRowHeight="15.75" x14ac:dyDescent="0.25"/>
  <cols>
    <col min="1" max="1" width="4.140625" style="73" customWidth="1"/>
    <col min="2" max="2" width="11.28515625" style="73" customWidth="1"/>
    <col min="3" max="3" width="14.140625" style="73" customWidth="1"/>
    <col min="4" max="4" width="14.7109375" style="73" bestFit="1" customWidth="1"/>
    <col min="5" max="5" width="13.42578125" style="73" customWidth="1"/>
    <col min="6" max="6" width="14.5703125" style="73" customWidth="1"/>
    <col min="7" max="7" width="10.7109375" style="73" bestFit="1" customWidth="1"/>
    <col min="8" max="8" width="18.5703125" style="73" bestFit="1" customWidth="1"/>
    <col min="9" max="9" width="11.7109375" style="73" customWidth="1"/>
    <col min="10" max="10" width="7" style="73" customWidth="1"/>
    <col min="11" max="11" width="25.7109375" style="73" bestFit="1" customWidth="1"/>
    <col min="12" max="12" width="11.7109375" style="73" customWidth="1"/>
    <col min="13" max="13" width="8.140625" style="73" customWidth="1"/>
    <col min="14" max="14" width="11.5703125" style="73" customWidth="1"/>
    <col min="15" max="15" width="7.140625" style="73" customWidth="1"/>
    <col min="16" max="16384" width="8.85546875" style="73"/>
  </cols>
  <sheetData>
    <row r="1" spans="2:15" ht="16.5" thickBot="1" x14ac:dyDescent="0.3"/>
    <row r="2" spans="2:15" x14ac:dyDescent="0.25">
      <c r="B2" s="161" t="s">
        <v>19</v>
      </c>
      <c r="C2" s="159" t="s">
        <v>68</v>
      </c>
      <c r="D2" s="167" t="s">
        <v>92</v>
      </c>
      <c r="E2" s="168"/>
      <c r="F2" s="168"/>
      <c r="G2" s="169"/>
      <c r="H2" s="149" t="s">
        <v>20</v>
      </c>
      <c r="I2" s="153" t="s">
        <v>71</v>
      </c>
      <c r="J2" s="154"/>
      <c r="K2" s="139" t="s">
        <v>96</v>
      </c>
      <c r="L2" s="143" t="s">
        <v>67</v>
      </c>
      <c r="M2" s="144"/>
      <c r="N2" s="133" t="s">
        <v>97</v>
      </c>
      <c r="O2" s="134"/>
    </row>
    <row r="3" spans="2:15" x14ac:dyDescent="0.25">
      <c r="B3" s="162"/>
      <c r="C3" s="160"/>
      <c r="D3" s="80" t="s">
        <v>93</v>
      </c>
      <c r="E3" s="74" t="s">
        <v>91</v>
      </c>
      <c r="F3" s="74" t="s">
        <v>94</v>
      </c>
      <c r="G3" s="80" t="s">
        <v>95</v>
      </c>
      <c r="H3" s="150"/>
      <c r="I3" s="75" t="s">
        <v>70</v>
      </c>
      <c r="J3" s="76" t="s">
        <v>69</v>
      </c>
      <c r="K3" s="140"/>
      <c r="L3" s="79" t="s">
        <v>70</v>
      </c>
      <c r="M3" s="79" t="s">
        <v>69</v>
      </c>
      <c r="N3" s="78" t="s">
        <v>70</v>
      </c>
      <c r="O3" s="77" t="s">
        <v>69</v>
      </c>
    </row>
    <row r="4" spans="2:15" ht="16.899999999999999" customHeight="1" x14ac:dyDescent="0.25">
      <c r="B4" s="165">
        <v>100678828</v>
      </c>
      <c r="C4" s="163">
        <v>1768313000</v>
      </c>
      <c r="D4" s="170">
        <f>SUMPRODUCT(پرتفوی!E5:E33*پرتفوی!F5:F33)</f>
        <v>1269502275</v>
      </c>
      <c r="E4" s="172">
        <f>C4-B4</f>
        <v>1667634172</v>
      </c>
      <c r="F4" s="172">
        <f>E4-D4</f>
        <v>398131897</v>
      </c>
      <c r="G4" s="174">
        <f>F4/D4</f>
        <v>0.31361259041461742</v>
      </c>
      <c r="H4" s="151">
        <f>B4+D4-SUM(پرتفوی!K5:K39)</f>
        <v>1114428252</v>
      </c>
      <c r="I4" s="155">
        <f>SUM(پرتفوی!K5:K33)</f>
        <v>255752851</v>
      </c>
      <c r="J4" s="157">
        <f>(K4-H4)/K4*100</f>
        <v>18.6656238682632</v>
      </c>
      <c r="K4" s="141">
        <f>D4+B4</f>
        <v>1370181103</v>
      </c>
      <c r="L4" s="145">
        <f>K4-'واریز و برداشت'!C36</f>
        <v>14206494</v>
      </c>
      <c r="M4" s="147">
        <f>L4/'واریز و برداشت'!C36</f>
        <v>1.0476961667060242E-2</v>
      </c>
      <c r="N4" s="135">
        <f>C4-'واریز و برداشت'!C36</f>
        <v>412338391</v>
      </c>
      <c r="O4" s="137">
        <f>N4/'واریز و برداشت'!C36</f>
        <v>0.30409005320836358</v>
      </c>
    </row>
    <row r="5" spans="2:15" ht="17.45" customHeight="1" thickBot="1" x14ac:dyDescent="0.3">
      <c r="B5" s="166"/>
      <c r="C5" s="164"/>
      <c r="D5" s="171"/>
      <c r="E5" s="173"/>
      <c r="F5" s="173"/>
      <c r="G5" s="175"/>
      <c r="H5" s="152"/>
      <c r="I5" s="156"/>
      <c r="J5" s="158"/>
      <c r="K5" s="142"/>
      <c r="L5" s="146"/>
      <c r="M5" s="148"/>
      <c r="N5" s="136"/>
      <c r="O5" s="138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rightToLeft="1" tabSelected="1" zoomScaleNormal="100" workbookViewId="0"/>
  </sheetViews>
  <sheetFormatPr defaultColWidth="8.85546875" defaultRowHeight="18" x14ac:dyDescent="0.25"/>
  <cols>
    <col min="1" max="1" width="8.85546875" style="3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2.4257812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1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 x14ac:dyDescent="0.3"/>
    <row r="2" spans="2:11" ht="19.5" x14ac:dyDescent="0.25">
      <c r="B2" s="177" t="s">
        <v>0</v>
      </c>
      <c r="C2" s="127" t="s">
        <v>124</v>
      </c>
      <c r="D2" s="180" t="s">
        <v>125</v>
      </c>
      <c r="E2" s="180"/>
      <c r="F2" s="180"/>
      <c r="G2" s="181" t="s">
        <v>56</v>
      </c>
      <c r="H2" s="182"/>
      <c r="J2" s="47" t="s">
        <v>144</v>
      </c>
      <c r="K2" s="46" t="s">
        <v>145</v>
      </c>
    </row>
    <row r="3" spans="2:11" ht="20.25" thickBot="1" x14ac:dyDescent="0.3">
      <c r="B3" s="178"/>
      <c r="C3" s="179"/>
      <c r="D3" s="104" t="s">
        <v>48</v>
      </c>
      <c r="E3" s="44" t="s">
        <v>50</v>
      </c>
      <c r="F3" s="43" t="s">
        <v>66</v>
      </c>
      <c r="G3" s="88" t="s">
        <v>70</v>
      </c>
      <c r="H3" s="88" t="s">
        <v>69</v>
      </c>
      <c r="J3" s="87">
        <v>1699123000</v>
      </c>
      <c r="K3" s="87">
        <f>C7-J3</f>
        <v>69190000</v>
      </c>
    </row>
    <row r="4" spans="2:11" ht="19.5" hidden="1" x14ac:dyDescent="0.25">
      <c r="B4" s="111" t="s">
        <v>122</v>
      </c>
      <c r="C4" s="101" t="s">
        <v>72</v>
      </c>
      <c r="D4" s="105" t="s">
        <v>73</v>
      </c>
      <c r="E4" s="83" t="s">
        <v>74</v>
      </c>
      <c r="F4" s="84" t="s">
        <v>75</v>
      </c>
      <c r="G4" s="101" t="s">
        <v>76</v>
      </c>
      <c r="H4" s="89" t="s">
        <v>77</v>
      </c>
    </row>
    <row r="5" spans="2:11" ht="19.5" x14ac:dyDescent="0.25">
      <c r="B5" s="51" t="s">
        <v>122</v>
      </c>
      <c r="C5" s="102">
        <v>630000000</v>
      </c>
      <c r="D5" s="106">
        <v>624453760</v>
      </c>
      <c r="E5" s="28">
        <v>2030000</v>
      </c>
      <c r="F5" s="45">
        <f>Table6910[[#This Row],[Column2]]-Table6910[[#This Row],[Column3]]</f>
        <v>622423760</v>
      </c>
      <c r="G5" s="102">
        <f>Table6910[[#This Row],[Column1]]-(Table6910[[#This Row],[Column2]]-Table6910[[#This Row],[Column3]])</f>
        <v>7576240</v>
      </c>
      <c r="H5" s="90">
        <f>Table6910[[#This Row],[Column5]]/(Table6910[[#This Row],[Column2]]-Table6910[[#This Row],[Column3]])</f>
        <v>1.2172157438205764E-2</v>
      </c>
    </row>
    <row r="6" spans="2:11" ht="19.5" x14ac:dyDescent="0.25">
      <c r="B6" s="51" t="s">
        <v>123</v>
      </c>
      <c r="C6" s="102">
        <v>681833000</v>
      </c>
      <c r="D6" s="106">
        <v>104500000</v>
      </c>
      <c r="E6" s="41">
        <v>169500000</v>
      </c>
      <c r="F6" s="45">
        <f>Table6910[[#This Row],[Column2]]-Table6910[[#This Row],[Column3]]</f>
        <v>-65000000</v>
      </c>
      <c r="G6" s="102">
        <f>Table6910[[#This Row],[Column1]]-(C5+Table6910[[#This Row],[Column4]])</f>
        <v>116833000</v>
      </c>
      <c r="H6" s="90">
        <f>Table6910[[#This Row],[Column5]]/(C5+Table6910[[#This Row],[Column4]])</f>
        <v>0.20678407079646019</v>
      </c>
    </row>
    <row r="7" spans="2:11" ht="19.5" x14ac:dyDescent="0.25">
      <c r="B7" s="51" t="s">
        <v>136</v>
      </c>
      <c r="C7" s="102">
        <v>1768313000</v>
      </c>
      <c r="D7" s="106">
        <v>801750849</v>
      </c>
      <c r="E7" s="41">
        <v>3200000</v>
      </c>
      <c r="F7" s="45">
        <f>Table6910[[#This Row],[Column2]]-Table6910[[#This Row],[Column3]]</f>
        <v>798550849</v>
      </c>
      <c r="G7" s="102">
        <f>Table6910[[#This Row],[Column1]]-(C6+Table6910[[#This Row],[Column4]])</f>
        <v>287929151</v>
      </c>
      <c r="H7" s="90">
        <f>Table6910[[#This Row],[Column5]]/(C6+Table6910[[#This Row],[Column4]])</f>
        <v>0.19449627959295576</v>
      </c>
    </row>
    <row r="8" spans="2:11" ht="19.5" x14ac:dyDescent="0.25">
      <c r="B8" s="51" t="s">
        <v>146</v>
      </c>
      <c r="C8" s="102"/>
      <c r="D8" s="106"/>
      <c r="E8" s="41"/>
      <c r="F8" s="45"/>
      <c r="G8" s="102"/>
      <c r="H8" s="90"/>
    </row>
    <row r="9" spans="2:11" ht="19.5" x14ac:dyDescent="0.25">
      <c r="B9" s="51" t="s">
        <v>147</v>
      </c>
      <c r="C9" s="102"/>
      <c r="D9" s="106"/>
      <c r="E9" s="41"/>
      <c r="F9" s="45"/>
      <c r="G9" s="102"/>
      <c r="H9" s="90"/>
    </row>
    <row r="10" spans="2:11" ht="19.5" x14ac:dyDescent="0.25">
      <c r="B10" s="51" t="s">
        <v>148</v>
      </c>
      <c r="C10" s="102"/>
      <c r="D10" s="106"/>
      <c r="E10" s="41"/>
      <c r="F10" s="45"/>
      <c r="G10" s="102"/>
      <c r="H10" s="90"/>
    </row>
    <row r="11" spans="2:11" ht="19.5" x14ac:dyDescent="0.25">
      <c r="B11" s="51" t="s">
        <v>149</v>
      </c>
      <c r="C11" s="102"/>
      <c r="D11" s="106"/>
      <c r="E11" s="41"/>
      <c r="F11" s="45"/>
      <c r="G11" s="102"/>
      <c r="H11" s="90"/>
    </row>
    <row r="12" spans="2:11" ht="19.5" x14ac:dyDescent="0.25">
      <c r="B12" s="51" t="s">
        <v>150</v>
      </c>
      <c r="C12" s="102"/>
      <c r="D12" s="106"/>
      <c r="E12" s="41"/>
      <c r="F12" s="45"/>
      <c r="G12" s="102"/>
      <c r="H12" s="90"/>
    </row>
    <row r="13" spans="2:11" ht="19.5" x14ac:dyDescent="0.25">
      <c r="B13" s="51" t="s">
        <v>151</v>
      </c>
      <c r="C13" s="102"/>
      <c r="D13" s="106"/>
      <c r="E13" s="41"/>
      <c r="F13" s="45"/>
      <c r="G13" s="102"/>
      <c r="H13" s="90"/>
    </row>
    <row r="14" spans="2:11" ht="19.5" x14ac:dyDescent="0.25">
      <c r="B14" s="51" t="s">
        <v>152</v>
      </c>
      <c r="C14" s="102"/>
      <c r="D14" s="106"/>
      <c r="E14" s="41"/>
      <c r="F14" s="45"/>
      <c r="G14" s="102"/>
      <c r="H14" s="90"/>
    </row>
    <row r="15" spans="2:11" ht="19.5" x14ac:dyDescent="0.25">
      <c r="B15" s="51" t="s">
        <v>153</v>
      </c>
      <c r="C15" s="102"/>
      <c r="D15" s="106"/>
      <c r="E15" s="41"/>
      <c r="F15" s="45"/>
      <c r="G15" s="102"/>
      <c r="H15" s="90"/>
    </row>
    <row r="16" spans="2:11" ht="19.5" x14ac:dyDescent="0.25">
      <c r="B16" s="92" t="s">
        <v>154</v>
      </c>
      <c r="C16" s="108"/>
      <c r="D16" s="93"/>
      <c r="E16" s="94"/>
      <c r="F16" s="99"/>
      <c r="G16" s="103"/>
      <c r="H16" s="98"/>
    </row>
    <row r="17" spans="2:13" ht="20.25" thickBot="1" x14ac:dyDescent="0.3">
      <c r="B17" s="52" t="s">
        <v>155</v>
      </c>
      <c r="C17" s="87"/>
      <c r="D17" s="107"/>
      <c r="E17" s="42"/>
      <c r="F17" s="100"/>
      <c r="G17" s="87"/>
      <c r="H17" s="91"/>
    </row>
    <row r="18" spans="2:13" ht="20.25" thickBot="1" x14ac:dyDescent="0.3">
      <c r="B18" s="95"/>
      <c r="C18" s="85"/>
      <c r="D18" s="85"/>
      <c r="E18" s="85"/>
      <c r="F18" s="96"/>
      <c r="G18" s="97"/>
      <c r="H18" s="86"/>
    </row>
    <row r="19" spans="2:13" ht="20.25" thickBot="1" x14ac:dyDescent="0.3">
      <c r="F19" s="110" t="s">
        <v>126</v>
      </c>
      <c r="G19" s="109">
        <f>SUM(Table6910[Column5])</f>
        <v>412338391</v>
      </c>
      <c r="J19" s="176" t="s">
        <v>157</v>
      </c>
      <c r="K19" s="176"/>
      <c r="L19" s="176"/>
      <c r="M19" s="176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"/>
  <sheetViews>
    <sheetView rightToLeft="1" zoomScale="85" zoomScaleNormal="85" workbookViewId="0">
      <selection activeCell="J3" sqref="F3:J3"/>
    </sheetView>
  </sheetViews>
  <sheetFormatPr defaultRowHeight="15" x14ac:dyDescent="0.25"/>
  <cols>
    <col min="2" max="2" width="13.85546875" bestFit="1" customWidth="1"/>
    <col min="3" max="3" width="10" bestFit="1" customWidth="1"/>
    <col min="4" max="4" width="9" bestFit="1" customWidth="1"/>
    <col min="5" max="5" width="10" bestFit="1" customWidth="1"/>
    <col min="6" max="6" width="9.7109375" bestFit="1" customWidth="1"/>
    <col min="7" max="7" width="10.7109375" bestFit="1" customWidth="1"/>
    <col min="8" max="8" width="10" bestFit="1" customWidth="1"/>
    <col min="9" max="9" width="9.7109375" bestFit="1" customWidth="1"/>
    <col min="10" max="10" width="10" bestFit="1" customWidth="1"/>
    <col min="11" max="11" width="9.85546875" bestFit="1" customWidth="1"/>
  </cols>
  <sheetData>
    <row r="2" spans="2:25" ht="16.899999999999999" customHeight="1" x14ac:dyDescent="0.25">
      <c r="B2" s="50" t="s">
        <v>142</v>
      </c>
      <c r="C2" s="49">
        <v>1</v>
      </c>
      <c r="D2" s="49">
        <v>2</v>
      </c>
      <c r="E2" s="49">
        <v>3</v>
      </c>
      <c r="F2" s="49">
        <v>6</v>
      </c>
      <c r="G2" s="49">
        <v>7</v>
      </c>
      <c r="H2" s="49">
        <v>8</v>
      </c>
      <c r="I2" s="49">
        <v>9</v>
      </c>
      <c r="J2" s="49">
        <v>10</v>
      </c>
      <c r="K2" s="49">
        <v>13</v>
      </c>
      <c r="L2" s="49">
        <v>14</v>
      </c>
      <c r="M2" s="49">
        <v>15</v>
      </c>
      <c r="N2" s="49">
        <v>16</v>
      </c>
      <c r="O2" s="49">
        <v>17</v>
      </c>
      <c r="P2" s="49">
        <v>20</v>
      </c>
      <c r="Q2" s="49">
        <v>21</v>
      </c>
      <c r="R2" s="49">
        <v>22</v>
      </c>
      <c r="S2" s="49">
        <v>23</v>
      </c>
      <c r="T2" s="49">
        <v>24</v>
      </c>
      <c r="U2" s="49">
        <v>27</v>
      </c>
      <c r="V2" s="49">
        <v>28</v>
      </c>
      <c r="W2" s="49">
        <v>29</v>
      </c>
      <c r="X2" s="49">
        <v>30</v>
      </c>
      <c r="Y2" s="49">
        <v>31</v>
      </c>
    </row>
    <row r="3" spans="2:25" ht="16.899999999999999" customHeight="1" x14ac:dyDescent="0.25">
      <c r="B3" s="50" t="s">
        <v>156</v>
      </c>
      <c r="C3" s="28">
        <v>49441151</v>
      </c>
      <c r="D3" s="28">
        <v>5380834</v>
      </c>
      <c r="E3" s="28">
        <v>41106166</v>
      </c>
      <c r="F3" s="28">
        <v>59583000</v>
      </c>
      <c r="G3" s="28">
        <v>10634000</v>
      </c>
      <c r="H3" s="28">
        <v>37337000</v>
      </c>
      <c r="I3" s="28">
        <v>12057000</v>
      </c>
      <c r="J3" s="28">
        <v>69190000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</sheetData>
  <pageMargins left="0.7" right="0.7" top="0.75" bottom="0.75" header="0.3" footer="0.3"/>
  <pageSetup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rightToLeft="1" workbookViewId="0">
      <selection activeCell="B32" sqref="B32"/>
    </sheetView>
  </sheetViews>
  <sheetFormatPr defaultColWidth="8.85546875" defaultRowHeight="15" x14ac:dyDescent="0.25"/>
  <cols>
    <col min="1" max="2" width="8.85546875" style="1"/>
    <col min="3" max="3" width="11" style="1" bestFit="1" customWidth="1"/>
    <col min="4" max="4" width="10" style="1" bestFit="1" customWidth="1"/>
    <col min="5" max="16384" width="8.85546875" style="1"/>
  </cols>
  <sheetData>
    <row r="2" spans="2:4" ht="15" customHeight="1" x14ac:dyDescent="0.25">
      <c r="B2" s="183" t="s">
        <v>0</v>
      </c>
      <c r="C2" s="183" t="s">
        <v>47</v>
      </c>
      <c r="D2" s="183" t="s">
        <v>46</v>
      </c>
    </row>
    <row r="3" spans="2:4" ht="15" customHeight="1" x14ac:dyDescent="0.25">
      <c r="B3" s="183"/>
      <c r="C3" s="183"/>
      <c r="D3" s="183"/>
    </row>
    <row r="4" spans="2:4" ht="15" customHeight="1" x14ac:dyDescent="0.25">
      <c r="B4" s="28" t="s">
        <v>49</v>
      </c>
      <c r="C4" s="29">
        <v>2400000</v>
      </c>
      <c r="D4" s="28" t="s">
        <v>48</v>
      </c>
    </row>
    <row r="5" spans="2:4" ht="15" customHeight="1" x14ac:dyDescent="0.25">
      <c r="B5" s="28" t="s">
        <v>51</v>
      </c>
      <c r="C5" s="29">
        <v>-1270000</v>
      </c>
      <c r="D5" s="28" t="s">
        <v>50</v>
      </c>
    </row>
    <row r="6" spans="2:4" ht="15" customHeight="1" x14ac:dyDescent="0.25">
      <c r="B6" s="28" t="s">
        <v>52</v>
      </c>
      <c r="C6" s="29">
        <v>2820000</v>
      </c>
      <c r="D6" s="28" t="s">
        <v>48</v>
      </c>
    </row>
    <row r="7" spans="2:4" ht="15" customHeight="1" x14ac:dyDescent="0.25">
      <c r="B7" s="28" t="s">
        <v>52</v>
      </c>
      <c r="C7" s="29">
        <v>27000</v>
      </c>
      <c r="D7" s="28" t="s">
        <v>48</v>
      </c>
    </row>
    <row r="8" spans="2:4" ht="15" customHeight="1" x14ac:dyDescent="0.25">
      <c r="B8" s="28" t="s">
        <v>53</v>
      </c>
      <c r="C8" s="29">
        <v>-760000</v>
      </c>
      <c r="D8" s="28" t="s">
        <v>50</v>
      </c>
    </row>
    <row r="9" spans="2:4" ht="15" customHeight="1" x14ac:dyDescent="0.25">
      <c r="B9" s="28" t="s">
        <v>54</v>
      </c>
      <c r="C9" s="29">
        <v>30000000</v>
      </c>
      <c r="D9" s="28" t="s">
        <v>48</v>
      </c>
    </row>
    <row r="10" spans="2:4" ht="15" customHeight="1" x14ac:dyDescent="0.25">
      <c r="B10" s="28" t="s">
        <v>55</v>
      </c>
      <c r="C10" s="29">
        <v>3000000</v>
      </c>
      <c r="D10" s="28" t="s">
        <v>48</v>
      </c>
    </row>
    <row r="11" spans="2:4" ht="15" customHeight="1" x14ac:dyDescent="0.25">
      <c r="B11" s="28" t="s">
        <v>57</v>
      </c>
      <c r="C11" s="29">
        <v>2465204</v>
      </c>
      <c r="D11" s="28" t="s">
        <v>56</v>
      </c>
    </row>
    <row r="12" spans="2:4" ht="15" customHeight="1" x14ac:dyDescent="0.25">
      <c r="B12" s="28" t="s">
        <v>58</v>
      </c>
      <c r="C12" s="29">
        <v>20000000</v>
      </c>
      <c r="D12" s="28" t="s">
        <v>48</v>
      </c>
    </row>
    <row r="13" spans="2:4" ht="15" customHeight="1" x14ac:dyDescent="0.25">
      <c r="B13" s="28" t="s">
        <v>59</v>
      </c>
      <c r="C13" s="29">
        <v>4000000</v>
      </c>
      <c r="D13" s="28" t="s">
        <v>48</v>
      </c>
    </row>
    <row r="14" spans="2:4" ht="15" customHeight="1" x14ac:dyDescent="0.25">
      <c r="B14" s="28" t="s">
        <v>60</v>
      </c>
      <c r="C14" s="29">
        <v>18700000</v>
      </c>
      <c r="D14" s="28" t="s">
        <v>48</v>
      </c>
    </row>
    <row r="15" spans="2:4" ht="15" customHeight="1" x14ac:dyDescent="0.25">
      <c r="B15" s="28" t="s">
        <v>61</v>
      </c>
      <c r="C15" s="29">
        <v>323000000</v>
      </c>
      <c r="D15" s="28" t="s">
        <v>48</v>
      </c>
    </row>
    <row r="16" spans="2:4" ht="15" customHeight="1" x14ac:dyDescent="0.25">
      <c r="B16" s="28" t="s">
        <v>61</v>
      </c>
      <c r="C16" s="29">
        <v>2000000</v>
      </c>
      <c r="D16" s="28" t="s">
        <v>48</v>
      </c>
    </row>
    <row r="17" spans="2:4" ht="15" customHeight="1" x14ac:dyDescent="0.25">
      <c r="B17" s="28" t="s">
        <v>62</v>
      </c>
      <c r="C17" s="29">
        <v>33966647</v>
      </c>
      <c r="D17" s="28" t="s">
        <v>48</v>
      </c>
    </row>
    <row r="18" spans="2:4" ht="15" customHeight="1" x14ac:dyDescent="0.25">
      <c r="B18" s="28" t="s">
        <v>62</v>
      </c>
      <c r="C18" s="29">
        <v>10000000</v>
      </c>
      <c r="D18" s="28" t="s">
        <v>48</v>
      </c>
    </row>
    <row r="19" spans="2:4" ht="15" customHeight="1" x14ac:dyDescent="0.25">
      <c r="B19" s="28" t="s">
        <v>62</v>
      </c>
      <c r="C19" s="29">
        <v>48800000</v>
      </c>
      <c r="D19" s="28" t="s">
        <v>48</v>
      </c>
    </row>
    <row r="20" spans="2:4" ht="15" customHeight="1" x14ac:dyDescent="0.25">
      <c r="B20" s="28" t="s">
        <v>62</v>
      </c>
      <c r="C20" s="29">
        <v>70000000</v>
      </c>
      <c r="D20" s="28" t="s">
        <v>48</v>
      </c>
    </row>
    <row r="21" spans="2:4" ht="15" customHeight="1" x14ac:dyDescent="0.25">
      <c r="B21" s="28" t="s">
        <v>63</v>
      </c>
      <c r="C21" s="29">
        <v>3274909</v>
      </c>
      <c r="D21" s="28" t="s">
        <v>56</v>
      </c>
    </row>
    <row r="22" spans="2:4" ht="15" customHeight="1" x14ac:dyDescent="0.25">
      <c r="B22" s="28" t="s">
        <v>64</v>
      </c>
      <c r="C22" s="29">
        <v>50000000</v>
      </c>
      <c r="D22" s="28" t="s">
        <v>48</v>
      </c>
    </row>
    <row r="23" spans="2:4" ht="15" customHeight="1" x14ac:dyDescent="0.25">
      <c r="B23" s="28" t="s">
        <v>65</v>
      </c>
      <c r="C23" s="29">
        <v>-10000000</v>
      </c>
      <c r="D23" s="28" t="s">
        <v>50</v>
      </c>
    </row>
    <row r="24" spans="2:4" ht="15" customHeight="1" x14ac:dyDescent="0.25">
      <c r="B24" s="28" t="s">
        <v>127</v>
      </c>
      <c r="C24" s="29">
        <v>46500000</v>
      </c>
      <c r="D24" s="28" t="s">
        <v>48</v>
      </c>
    </row>
    <row r="25" spans="2:4" ht="15" customHeight="1" x14ac:dyDescent="0.25">
      <c r="B25" s="28" t="s">
        <v>131</v>
      </c>
      <c r="C25" s="29">
        <v>-56500000</v>
      </c>
      <c r="D25" s="28" t="s">
        <v>50</v>
      </c>
    </row>
    <row r="26" spans="2:4" ht="15" customHeight="1" x14ac:dyDescent="0.25">
      <c r="B26" s="28" t="s">
        <v>132</v>
      </c>
      <c r="C26" s="29">
        <v>-80000000</v>
      </c>
      <c r="D26" s="28" t="s">
        <v>50</v>
      </c>
    </row>
    <row r="27" spans="2:4" ht="15" customHeight="1" x14ac:dyDescent="0.25">
      <c r="B27" s="28" t="s">
        <v>132</v>
      </c>
      <c r="C27" s="29">
        <v>50000000</v>
      </c>
      <c r="D27" s="28" t="s">
        <v>48</v>
      </c>
    </row>
    <row r="28" spans="2:4" ht="15" customHeight="1" x14ac:dyDescent="0.25">
      <c r="B28" s="28" t="s">
        <v>133</v>
      </c>
      <c r="C28" s="29">
        <v>-23000000</v>
      </c>
      <c r="D28" s="28" t="s">
        <v>50</v>
      </c>
    </row>
    <row r="29" spans="2:4" ht="15" customHeight="1" x14ac:dyDescent="0.25">
      <c r="B29" s="28" t="s">
        <v>133</v>
      </c>
      <c r="C29" s="29">
        <v>8000000</v>
      </c>
      <c r="D29" s="28" t="s">
        <v>48</v>
      </c>
    </row>
    <row r="30" spans="2:4" ht="15" customHeight="1" x14ac:dyDescent="0.25">
      <c r="B30" s="28" t="s">
        <v>137</v>
      </c>
      <c r="C30" s="29">
        <v>800060000</v>
      </c>
      <c r="D30" s="28" t="s">
        <v>48</v>
      </c>
    </row>
    <row r="31" spans="2:4" ht="15" customHeight="1" x14ac:dyDescent="0.25">
      <c r="B31" s="28" t="s">
        <v>143</v>
      </c>
      <c r="C31" s="29">
        <v>1690849</v>
      </c>
      <c r="D31" s="28" t="s">
        <v>56</v>
      </c>
    </row>
    <row r="32" spans="2:4" ht="15" customHeight="1" x14ac:dyDescent="0.25">
      <c r="B32" s="28" t="s">
        <v>158</v>
      </c>
      <c r="C32" s="29">
        <v>-3200000</v>
      </c>
      <c r="D32" s="28" t="s">
        <v>50</v>
      </c>
    </row>
    <row r="33" spans="2:4" ht="15" customHeight="1" x14ac:dyDescent="0.25">
      <c r="B33" s="28"/>
      <c r="C33" s="29"/>
      <c r="D33" s="28"/>
    </row>
    <row r="34" spans="2:4" ht="15" customHeight="1" x14ac:dyDescent="0.25">
      <c r="B34" s="28"/>
      <c r="C34" s="29"/>
      <c r="D34" s="28"/>
    </row>
    <row r="35" spans="2:4" ht="15" customHeight="1" x14ac:dyDescent="0.25">
      <c r="B35" s="28"/>
      <c r="C35" s="29"/>
      <c r="D35" s="28"/>
    </row>
    <row r="36" spans="2:4" ht="15" customHeight="1" x14ac:dyDescent="0.25">
      <c r="B36" s="48" t="s">
        <v>66</v>
      </c>
      <c r="C36" s="29">
        <f>SUM(C4:C32)</f>
        <v>1355974609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 x14ac:dyDescent="0.2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 x14ac:dyDescent="0.3"/>
    <row r="2" spans="2:24" ht="19.5" x14ac:dyDescent="0.25">
      <c r="B2" s="177" t="s">
        <v>21</v>
      </c>
      <c r="C2" s="177" t="s">
        <v>90</v>
      </c>
      <c r="D2" s="177" t="s">
        <v>2</v>
      </c>
      <c r="E2" s="200">
        <v>5.0000000000000001E-3</v>
      </c>
      <c r="F2" s="201"/>
      <c r="G2" s="202">
        <v>0.01</v>
      </c>
      <c r="H2" s="203"/>
      <c r="I2" s="204">
        <v>1.4999999999999999E-2</v>
      </c>
      <c r="J2" s="205"/>
      <c r="K2" s="190">
        <v>0.02</v>
      </c>
      <c r="L2" s="191"/>
      <c r="M2" s="192">
        <v>2.5000000000000001E-2</v>
      </c>
      <c r="N2" s="193"/>
      <c r="O2" s="194">
        <v>0.03</v>
      </c>
      <c r="P2" s="195"/>
      <c r="Q2" s="196">
        <v>3.5000000000000003E-2</v>
      </c>
      <c r="R2" s="197"/>
      <c r="S2" s="198">
        <v>0.04</v>
      </c>
      <c r="T2" s="199"/>
      <c r="U2" s="188">
        <v>4.4999999999999998E-2</v>
      </c>
      <c r="V2" s="189"/>
      <c r="W2" s="186">
        <v>0.05</v>
      </c>
      <c r="X2" s="187"/>
    </row>
    <row r="3" spans="2:24" ht="19.5" x14ac:dyDescent="0.25">
      <c r="B3" s="206"/>
      <c r="C3" s="206"/>
      <c r="D3" s="206"/>
      <c r="E3" s="112" t="s">
        <v>22</v>
      </c>
      <c r="F3" s="112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 x14ac:dyDescent="0.25">
      <c r="B4" s="207">
        <v>32903</v>
      </c>
      <c r="C4" s="184">
        <f>B4*1.0144</f>
        <v>33376.803200000002</v>
      </c>
      <c r="D4" s="207">
        <v>10266</v>
      </c>
      <c r="E4" s="184">
        <f>سرمایه!H4*0.5/((C4-D4)*100)</f>
        <v>241.10547832452656</v>
      </c>
      <c r="F4" s="184">
        <f>E4*C4</f>
        <v>8047330.1004795888</v>
      </c>
      <c r="G4" s="184">
        <f>سرمایه!H4*1/((C4-D4)*100)</f>
        <v>482.21095664905312</v>
      </c>
      <c r="H4" s="184">
        <f>G4*C4</f>
        <v>16094660.200959178</v>
      </c>
      <c r="I4" s="184">
        <f>سرمایه!H4*1.5/((C4-D4)*100)</f>
        <v>723.3164349735797</v>
      </c>
      <c r="J4" s="184">
        <f>I4*C4</f>
        <v>24141990.301438767</v>
      </c>
      <c r="K4" s="184">
        <f>سرمایه!H4*2/((C4-D4)*100)</f>
        <v>964.42191329810623</v>
      </c>
      <c r="L4" s="184">
        <f>K4*C4</f>
        <v>32189320.401918355</v>
      </c>
      <c r="M4" s="184">
        <f>سرمایه!H4*2.5/((C4-D4)*100)</f>
        <v>1205.5273916226329</v>
      </c>
      <c r="N4" s="184">
        <f>M4*C4</f>
        <v>40236650.502397947</v>
      </c>
      <c r="O4" s="184">
        <f>سرمایه!H4*3/((C4-D4)*100)</f>
        <v>1446.6328699471594</v>
      </c>
      <c r="P4" s="184">
        <f>O4*C4</f>
        <v>48283980.602877535</v>
      </c>
      <c r="Q4" s="184">
        <f>سرمایه!H4*3.5/((C4-D4)*100)</f>
        <v>1687.7383482716859</v>
      </c>
      <c r="R4" s="184">
        <f>Q4*C4</f>
        <v>56331310.703357123</v>
      </c>
      <c r="S4" s="184">
        <f>سرمایه!H4*4/((C4-D4)*100)</f>
        <v>1928.8438265962125</v>
      </c>
      <c r="T4" s="184">
        <f>S4*C4</f>
        <v>64378640.803836711</v>
      </c>
      <c r="U4" s="184">
        <f>سرمایه!H4*4.5/((C4-D4)*100)</f>
        <v>2169.949304920739</v>
      </c>
      <c r="V4" s="184">
        <f>U4*C4</f>
        <v>72425970.904316306</v>
      </c>
      <c r="W4" s="184">
        <f>سرمایه!H4*5/((C4-D4)*100)</f>
        <v>2411.0547832452658</v>
      </c>
      <c r="X4" s="184">
        <f>W4*C4</f>
        <v>80473301.004795894</v>
      </c>
    </row>
    <row r="5" spans="2:24" ht="15" customHeight="1" thickBot="1" x14ac:dyDescent="0.3">
      <c r="B5" s="208"/>
      <c r="C5" s="185"/>
      <c r="D5" s="208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 x14ac:dyDescent="0.55000000000000004"/>
  <cols>
    <col min="1" max="1" width="8.85546875" style="113"/>
    <col min="2" max="2" width="85.7109375" style="113" bestFit="1" customWidth="1"/>
    <col min="3" max="3" width="8.85546875" style="114"/>
    <col min="4" max="16384" width="8.85546875" style="113"/>
  </cols>
  <sheetData>
    <row r="1" spans="1:3" x14ac:dyDescent="0.55000000000000004">
      <c r="A1" s="113" t="s">
        <v>17</v>
      </c>
      <c r="B1" s="116" t="s">
        <v>159</v>
      </c>
      <c r="C1" s="115" t="s">
        <v>162</v>
      </c>
    </row>
    <row r="2" spans="1:3" x14ac:dyDescent="0.55000000000000004">
      <c r="A2" s="113" t="s">
        <v>35</v>
      </c>
      <c r="B2" s="116" t="s">
        <v>160</v>
      </c>
    </row>
    <row r="3" spans="1:3" x14ac:dyDescent="0.55000000000000004">
      <c r="A3" s="113" t="s">
        <v>33</v>
      </c>
      <c r="B3" s="116" t="s">
        <v>161</v>
      </c>
      <c r="C3" s="115" t="s">
        <v>162</v>
      </c>
    </row>
    <row r="4" spans="1:3" x14ac:dyDescent="0.55000000000000004">
      <c r="A4" s="113" t="s">
        <v>138</v>
      </c>
      <c r="B4" s="116" t="s">
        <v>163</v>
      </c>
    </row>
    <row r="5" spans="1:3" x14ac:dyDescent="0.55000000000000004">
      <c r="A5" s="113" t="s">
        <v>164</v>
      </c>
      <c r="B5" s="116" t="s">
        <v>165</v>
      </c>
      <c r="C5" s="115" t="s">
        <v>162</v>
      </c>
    </row>
    <row r="6" spans="1:3" x14ac:dyDescent="0.55000000000000004">
      <c r="B6" s="116"/>
    </row>
    <row r="7" spans="1:3" x14ac:dyDescent="0.55000000000000004">
      <c r="B7" s="117" t="s">
        <v>166</v>
      </c>
    </row>
    <row r="8" spans="1:3" x14ac:dyDescent="0.55000000000000004">
      <c r="B8" s="116"/>
    </row>
    <row r="9" spans="1:3" x14ac:dyDescent="0.55000000000000004">
      <c r="B9" s="116"/>
    </row>
    <row r="10" spans="1:3" x14ac:dyDescent="0.55000000000000004">
      <c r="B10" s="116"/>
    </row>
    <row r="11" spans="1:3" x14ac:dyDescent="0.55000000000000004">
      <c r="B11" s="116"/>
    </row>
    <row r="12" spans="1:3" x14ac:dyDescent="0.55000000000000004">
      <c r="B12" s="116"/>
    </row>
    <row r="13" spans="1:3" x14ac:dyDescent="0.55000000000000004">
      <c r="B13" s="116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پرتفوی</vt:lpstr>
      <vt:lpstr>سرمایه</vt:lpstr>
      <vt:lpstr>بازدهی ماهانه</vt:lpstr>
      <vt:lpstr>سود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2020-04-29T08:12:06Z</dcterms:modified>
</cp:coreProperties>
</file>