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firstSheet="2" activeTab="5"/>
  </bookViews>
  <sheets>
    <sheet name="پرتفوی" sheetId="3" r:id="rId1"/>
    <sheet name="سرمایه" sheetId="7" r:id="rId2"/>
    <sheet name="بازدهی ماهانه" sheetId="10" r:id="rId3"/>
    <sheet name="سود روزانه" sheetId="12" r:id="rId4"/>
    <sheet name="واریز و برداشت" sheetId="9" r:id="rId5"/>
    <sheet name="مدیریت سرمایه" sheetId="8" r:id="rId6"/>
    <sheet name="واچ لیست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52511"/>
</workbook>
</file>

<file path=xl/calcChain.xml><?xml version="1.0" encoding="utf-8"?>
<calcChain xmlns="http://schemas.openxmlformats.org/spreadsheetml/2006/main">
  <c r="T5" i="8" l="1"/>
  <c r="U5" i="8"/>
  <c r="C6" i="10" l="1"/>
  <c r="L4" i="7" l="1"/>
  <c r="J4" i="10" l="1"/>
  <c r="C32" i="9"/>
  <c r="C4" i="7" s="1"/>
  <c r="D30" i="3"/>
  <c r="G30" i="3"/>
  <c r="J30" i="3"/>
  <c r="M30" i="3"/>
  <c r="P30" i="3"/>
  <c r="Q30" i="3"/>
  <c r="D29" i="3"/>
  <c r="G29" i="3"/>
  <c r="J29" i="3"/>
  <c r="M29" i="3"/>
  <c r="P29" i="3"/>
  <c r="C29" i="3" s="1"/>
  <c r="Q29" i="3"/>
  <c r="I30" i="3"/>
  <c r="L29" i="3" l="1"/>
  <c r="F30" i="3"/>
  <c r="F29" i="3"/>
  <c r="N30" i="3"/>
  <c r="L30" i="3"/>
  <c r="C30" i="3"/>
  <c r="I29" i="3"/>
  <c r="N29" i="3"/>
  <c r="E30" i="3" l="1"/>
  <c r="E29" i="3"/>
  <c r="H30" i="3"/>
  <c r="H29" i="3"/>
  <c r="B29" i="3"/>
  <c r="K29" i="3"/>
  <c r="B30" i="3"/>
  <c r="K30" i="3"/>
  <c r="D8" i="10"/>
  <c r="C8" i="10" s="1"/>
  <c r="B8" i="10" s="1"/>
  <c r="D12" i="3" l="1"/>
  <c r="G12" i="3"/>
  <c r="J12" i="3"/>
  <c r="M12" i="3"/>
  <c r="P12" i="3"/>
  <c r="Q12" i="3"/>
  <c r="G17" i="3"/>
  <c r="C12" i="3" l="1"/>
  <c r="F12" i="3"/>
  <c r="I12" i="3"/>
  <c r="L12" i="3"/>
  <c r="N12" i="3"/>
  <c r="B12" i="3" l="1"/>
  <c r="E12" i="3"/>
  <c r="H12" i="3"/>
  <c r="K12" i="3"/>
  <c r="W5" i="8" l="1"/>
  <c r="D8" i="3" l="1"/>
  <c r="G8" i="3"/>
  <c r="J8" i="3"/>
  <c r="M8" i="3"/>
  <c r="P8" i="3"/>
  <c r="Q8" i="3"/>
  <c r="C8" i="3" l="1"/>
  <c r="L8" i="3"/>
  <c r="N8" i="3"/>
  <c r="I8" i="3"/>
  <c r="F8" i="3"/>
  <c r="D7" i="10"/>
  <c r="C7" i="10" s="1"/>
  <c r="B7" i="10" s="1"/>
  <c r="D6" i="10"/>
  <c r="B6" i="10"/>
  <c r="K8" i="3" l="1"/>
  <c r="E8" i="3"/>
  <c r="H8" i="3"/>
  <c r="B8" i="3"/>
  <c r="B20" i="10"/>
  <c r="B4" i="7" l="1"/>
  <c r="D24" i="3" l="1"/>
  <c r="G24" i="3"/>
  <c r="J24" i="3"/>
  <c r="M24" i="3"/>
  <c r="P24" i="3"/>
  <c r="Q24" i="3"/>
  <c r="D21" i="3" l="1"/>
  <c r="G21" i="3"/>
  <c r="J21" i="3"/>
  <c r="M21" i="3"/>
  <c r="P21" i="3"/>
  <c r="Q21" i="3"/>
  <c r="D23" i="3"/>
  <c r="G23" i="3"/>
  <c r="J23" i="3"/>
  <c r="M23" i="3"/>
  <c r="P23" i="3"/>
  <c r="Q23" i="3"/>
  <c r="D22" i="3"/>
  <c r="G22" i="3"/>
  <c r="J22" i="3"/>
  <c r="M22" i="3"/>
  <c r="P22" i="3"/>
  <c r="Q22" i="3"/>
  <c r="D25" i="3"/>
  <c r="G25" i="3"/>
  <c r="J25" i="3"/>
  <c r="M25" i="3"/>
  <c r="P25" i="3"/>
  <c r="Q25" i="3"/>
  <c r="D31" i="3"/>
  <c r="G31" i="3"/>
  <c r="J31" i="3"/>
  <c r="M31" i="3"/>
  <c r="P31" i="3"/>
  <c r="Q31" i="3"/>
  <c r="D28" i="3"/>
  <c r="G28" i="3"/>
  <c r="J28" i="3"/>
  <c r="M28" i="3"/>
  <c r="P28" i="3"/>
  <c r="Q28" i="3"/>
  <c r="D26" i="3"/>
  <c r="G26" i="3"/>
  <c r="P26" i="3"/>
  <c r="J26" i="3"/>
  <c r="M26" i="3"/>
  <c r="Q26" i="3"/>
  <c r="D27" i="3"/>
  <c r="G27" i="3"/>
  <c r="J27" i="3"/>
  <c r="M27" i="3"/>
  <c r="P27" i="3"/>
  <c r="Q27" i="3"/>
  <c r="N27" i="3" l="1"/>
  <c r="F27" i="3"/>
  <c r="L27" i="3"/>
  <c r="K27" i="3" s="1"/>
  <c r="I27" i="3"/>
  <c r="H27" i="3" l="1"/>
  <c r="D19" i="3"/>
  <c r="G19" i="3"/>
  <c r="J19" i="3"/>
  <c r="M19" i="3"/>
  <c r="P19" i="3"/>
  <c r="Q19" i="3"/>
  <c r="I19" i="3" l="1"/>
  <c r="D17" i="3"/>
  <c r="J17" i="3"/>
  <c r="M17" i="3"/>
  <c r="P17" i="3"/>
  <c r="Q17" i="3"/>
  <c r="D9" i="3" l="1"/>
  <c r="G9" i="3"/>
  <c r="J9" i="3"/>
  <c r="M9" i="3"/>
  <c r="P9" i="3"/>
  <c r="Q9" i="3"/>
  <c r="D5" i="3"/>
  <c r="G5" i="3"/>
  <c r="J5" i="3"/>
  <c r="M5" i="3"/>
  <c r="P5" i="3"/>
  <c r="Q5" i="3"/>
  <c r="D14" i="3"/>
  <c r="G14" i="3"/>
  <c r="D7" i="3"/>
  <c r="G7" i="3"/>
  <c r="J14" i="3"/>
  <c r="M14" i="3"/>
  <c r="P14" i="3"/>
  <c r="P7" i="3"/>
  <c r="Q14" i="3"/>
  <c r="J7" i="3"/>
  <c r="M7" i="3"/>
  <c r="Q7" i="3"/>
  <c r="D18" i="3"/>
  <c r="G18" i="3"/>
  <c r="J18" i="3"/>
  <c r="M18" i="3"/>
  <c r="P18" i="3"/>
  <c r="Q18" i="3"/>
  <c r="D20" i="3"/>
  <c r="G20" i="3"/>
  <c r="J20" i="3"/>
  <c r="M20" i="3"/>
  <c r="P20" i="3"/>
  <c r="Q20" i="3"/>
  <c r="D6" i="3"/>
  <c r="G6" i="3"/>
  <c r="J6" i="3"/>
  <c r="M6" i="3"/>
  <c r="P6" i="3"/>
  <c r="Q6" i="3"/>
  <c r="D11" i="3"/>
  <c r="G11" i="3"/>
  <c r="J11" i="3"/>
  <c r="M11" i="3"/>
  <c r="P11" i="3"/>
  <c r="Q11" i="3"/>
  <c r="D13" i="3"/>
  <c r="G13" i="3"/>
  <c r="J13" i="3"/>
  <c r="M13" i="3"/>
  <c r="P13" i="3"/>
  <c r="Q13" i="3"/>
  <c r="I22" i="3" l="1"/>
  <c r="L22" i="3"/>
  <c r="C23" i="3"/>
  <c r="I23" i="3"/>
  <c r="L23" i="3"/>
  <c r="N23" i="3"/>
  <c r="I21" i="3"/>
  <c r="C13" i="3"/>
  <c r="I13" i="3"/>
  <c r="L13" i="3"/>
  <c r="N13" i="3"/>
  <c r="I11" i="3"/>
  <c r="C6" i="3"/>
  <c r="I6" i="3"/>
  <c r="N6" i="3"/>
  <c r="I20" i="3"/>
  <c r="C20" i="3"/>
  <c r="I18" i="3"/>
  <c r="N18" i="3"/>
  <c r="C7" i="3"/>
  <c r="I7" i="3"/>
  <c r="N7" i="3"/>
  <c r="C14" i="3"/>
  <c r="I14" i="3"/>
  <c r="N14" i="3"/>
  <c r="C5" i="3"/>
  <c r="I5" i="3"/>
  <c r="N5" i="3"/>
  <c r="C9" i="3"/>
  <c r="I9" i="3"/>
  <c r="N9" i="3"/>
  <c r="C17" i="3"/>
  <c r="I17" i="3"/>
  <c r="N17" i="3"/>
  <c r="C24" i="3"/>
  <c r="I24" i="3"/>
  <c r="N24" i="3"/>
  <c r="C19" i="3"/>
  <c r="N19" i="3"/>
  <c r="C27" i="3"/>
  <c r="C26" i="3"/>
  <c r="I26" i="3"/>
  <c r="N26" i="3"/>
  <c r="C28" i="3"/>
  <c r="I28" i="3"/>
  <c r="N28" i="3"/>
  <c r="C31" i="3"/>
  <c r="I31" i="3"/>
  <c r="N31" i="3"/>
  <c r="C25" i="3"/>
  <c r="I25" i="3"/>
  <c r="N25" i="3"/>
  <c r="D15" i="3"/>
  <c r="G15" i="3"/>
  <c r="J15" i="3"/>
  <c r="M15" i="3"/>
  <c r="P15" i="3"/>
  <c r="Q15" i="3"/>
  <c r="I15" i="3" l="1"/>
  <c r="F15" i="3"/>
  <c r="L15" i="3"/>
  <c r="E15" i="3" s="1"/>
  <c r="F21" i="3"/>
  <c r="F25" i="3"/>
  <c r="F31" i="3"/>
  <c r="F28" i="3"/>
  <c r="F26" i="3"/>
  <c r="F19" i="3"/>
  <c r="F24" i="3"/>
  <c r="F17" i="3"/>
  <c r="F9" i="3"/>
  <c r="F5" i="3"/>
  <c r="F14" i="3"/>
  <c r="F7" i="3"/>
  <c r="C18" i="3"/>
  <c r="F18" i="3"/>
  <c r="N11" i="3"/>
  <c r="F13" i="3"/>
  <c r="E13" i="3" s="1"/>
  <c r="L21" i="3"/>
  <c r="E21" i="3" s="1"/>
  <c r="C21" i="3"/>
  <c r="N22" i="3"/>
  <c r="K22" i="3" s="1"/>
  <c r="F11" i="3"/>
  <c r="F22" i="3"/>
  <c r="F20" i="3"/>
  <c r="C15" i="3"/>
  <c r="N20" i="3"/>
  <c r="F6" i="3"/>
  <c r="L11" i="3"/>
  <c r="C11" i="3"/>
  <c r="N21" i="3"/>
  <c r="F23" i="3"/>
  <c r="E23" i="3" s="1"/>
  <c r="C22" i="3"/>
  <c r="B22" i="3" s="1"/>
  <c r="B23" i="3"/>
  <c r="K23" i="3"/>
  <c r="H23" i="3"/>
  <c r="H22" i="3"/>
  <c r="E22" i="3"/>
  <c r="B13" i="3"/>
  <c r="K13" i="3"/>
  <c r="H13" i="3"/>
  <c r="L25" i="3"/>
  <c r="L31" i="3"/>
  <c r="L28" i="3"/>
  <c r="L26" i="3"/>
  <c r="L19" i="3"/>
  <c r="L24" i="3"/>
  <c r="L17" i="3"/>
  <c r="L9" i="3"/>
  <c r="L5" i="3"/>
  <c r="L14" i="3"/>
  <c r="L7" i="3"/>
  <c r="L18" i="3"/>
  <c r="L20" i="3"/>
  <c r="L6" i="3"/>
  <c r="N15" i="3"/>
  <c r="D16" i="3"/>
  <c r="G16" i="3"/>
  <c r="J16" i="3"/>
  <c r="P16" i="3"/>
  <c r="M16" i="3"/>
  <c r="Q16" i="3"/>
  <c r="D10" i="3"/>
  <c r="G10" i="3"/>
  <c r="J10" i="3"/>
  <c r="M10" i="3"/>
  <c r="H15" i="3" l="1"/>
  <c r="K15" i="3"/>
  <c r="B15" i="3"/>
  <c r="E11" i="3"/>
  <c r="B21" i="3"/>
  <c r="B11" i="3"/>
  <c r="K11" i="3"/>
  <c r="L16" i="3"/>
  <c r="H11" i="3"/>
  <c r="H21" i="3"/>
  <c r="K21" i="3"/>
  <c r="B7" i="3"/>
  <c r="K7" i="3"/>
  <c r="H7" i="3"/>
  <c r="E7" i="3"/>
  <c r="B26" i="3"/>
  <c r="K26" i="3"/>
  <c r="E26" i="3"/>
  <c r="H26" i="3"/>
  <c r="B6" i="3"/>
  <c r="E6" i="3"/>
  <c r="K6" i="3"/>
  <c r="H6" i="3"/>
  <c r="B14" i="3"/>
  <c r="E14" i="3"/>
  <c r="K14" i="3"/>
  <c r="H14" i="3"/>
  <c r="B24" i="3"/>
  <c r="K24" i="3"/>
  <c r="E24" i="3"/>
  <c r="H24" i="3"/>
  <c r="B28" i="3"/>
  <c r="K28" i="3"/>
  <c r="H28" i="3"/>
  <c r="E28" i="3"/>
  <c r="B5" i="3"/>
  <c r="K5" i="3"/>
  <c r="H5" i="3"/>
  <c r="E5" i="3"/>
  <c r="B31" i="3"/>
  <c r="K31" i="3"/>
  <c r="E31" i="3"/>
  <c r="H31" i="3"/>
  <c r="B17" i="3"/>
  <c r="K17" i="3"/>
  <c r="H17" i="3"/>
  <c r="E17" i="3"/>
  <c r="B20" i="3"/>
  <c r="E20" i="3"/>
  <c r="K20" i="3"/>
  <c r="H20" i="3"/>
  <c r="B19" i="3"/>
  <c r="E19" i="3"/>
  <c r="K19" i="3"/>
  <c r="H19" i="3"/>
  <c r="B18" i="3"/>
  <c r="K18" i="3"/>
  <c r="H18" i="3"/>
  <c r="E18" i="3"/>
  <c r="B9" i="3"/>
  <c r="E9" i="3"/>
  <c r="K9" i="3"/>
  <c r="H9" i="3"/>
  <c r="B27" i="3"/>
  <c r="E27" i="3"/>
  <c r="B25" i="3"/>
  <c r="K25" i="3"/>
  <c r="H25" i="3"/>
  <c r="E25" i="3"/>
  <c r="N16" i="3"/>
  <c r="F16" i="3"/>
  <c r="C16" i="3"/>
  <c r="B16" i="3" s="1"/>
  <c r="I16" i="3"/>
  <c r="K16" i="3" l="1"/>
  <c r="H16" i="3"/>
  <c r="E16" i="3"/>
  <c r="Q10" i="3" l="1"/>
  <c r="P10" i="3" l="1"/>
  <c r="M4" i="7" s="1"/>
  <c r="L10" i="3" l="1"/>
  <c r="C10" i="3"/>
  <c r="F10" i="3"/>
  <c r="I10" i="3"/>
  <c r="N10" i="3"/>
  <c r="B10" i="3" l="1"/>
  <c r="K10" i="3"/>
  <c r="H4" i="7" s="1"/>
  <c r="H10" i="3"/>
  <c r="E10" i="3"/>
  <c r="K4" i="7"/>
  <c r="J4" i="7" s="1"/>
  <c r="F4" i="7"/>
  <c r="O5" i="3" l="1"/>
  <c r="O7" i="3"/>
  <c r="E4" i="7"/>
  <c r="D4" i="7" s="1"/>
  <c r="O6" i="3"/>
  <c r="O29" i="3"/>
  <c r="O30" i="3"/>
  <c r="I4" i="7"/>
  <c r="O12" i="3"/>
  <c r="O24" i="3"/>
  <c r="O22" i="3"/>
  <c r="O26" i="3"/>
  <c r="O9" i="3"/>
  <c r="O18" i="3"/>
  <c r="O16" i="3"/>
  <c r="O23" i="3"/>
  <c r="O17" i="3"/>
  <c r="O15" i="3"/>
  <c r="O8" i="3"/>
  <c r="O28" i="3"/>
  <c r="O20" i="3"/>
  <c r="O11" i="3"/>
  <c r="O21" i="3"/>
  <c r="O31" i="3"/>
  <c r="O19" i="3"/>
  <c r="O14" i="3"/>
  <c r="O13" i="3"/>
  <c r="O25" i="3"/>
  <c r="O27" i="3"/>
  <c r="O10" i="3"/>
  <c r="K5" i="8" l="1"/>
  <c r="J5" i="8" s="1"/>
  <c r="M5" i="8"/>
  <c r="L5" i="8" s="1"/>
  <c r="I5" i="8"/>
  <c r="H5" i="8" s="1"/>
  <c r="G5" i="8"/>
  <c r="F5" i="8" s="1"/>
  <c r="O5" i="8"/>
  <c r="N5" i="8" s="1"/>
  <c r="Q5" i="8"/>
  <c r="P5" i="8" s="1"/>
  <c r="E5" i="8"/>
  <c r="D5" i="8" s="1"/>
  <c r="S5" i="8"/>
  <c r="R5" i="8" s="1"/>
  <c r="G4" i="7"/>
  <c r="C5" i="8"/>
  <c r="B5" i="8" s="1"/>
</calcChain>
</file>

<file path=xl/sharedStrings.xml><?xml version="1.0" encoding="utf-8"?>
<sst xmlns="http://schemas.openxmlformats.org/spreadsheetml/2006/main" count="258" uniqueCount="159">
  <si>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</si>
  <si>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</si>
  <si>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</si>
  <si>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</si>
  <si>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</si>
  <si>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</si>
  <si>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</si>
  <si>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</si>
  <si>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</si>
  <si>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</si>
  <si>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</si>
  <si>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</si>
  <si>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</si>
  <si>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</si>
  <si>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</si>
  <si>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</si>
  <si>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</si>
  <si>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</si>
  <si>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</si>
  <si>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</si>
  <si>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</si>
  <si>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</si>
  <si>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</si>
  <si>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</si>
  <si>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</si>
  <si>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</si>
  <si>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</si>
  <si>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</si>
  <si>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</si>
  <si>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</si>
  <si>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</si>
  <si>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</si>
  <si>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</si>
  <si>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</si>
  <si>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</si>
  <si>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</si>
  <si>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</si>
  <si>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</si>
  <si>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</si>
  <si>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</si>
  <si>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</si>
  <si>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</si>
  <si>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</si>
  <si>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</si>
  <si>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</si>
  <si>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</si>
  <si>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</si>
  <si>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</si>
  <si>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</si>
  <si>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</si>
  <si>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</si>
  <si>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</si>
  <si>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</si>
  <si>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</si>
  <si>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</si>
  <si>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</si>
  <si>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</si>
  <si>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</si>
  <si>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</si>
  <si>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</si>
  <si>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</si>
  <si>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</si>
  <si>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</si>
  <si>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</si>
  <si>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</si>
  <si>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</si>
  <si>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</si>
  <si>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</si>
  <si>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</si>
  <si>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</si>
  <si>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</si>
  <si>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</si>
  <si>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</si>
  <si>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</si>
  <si>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</si>
  <si>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</si>
  <si>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</si>
  <si>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</si>
  <si>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</si>
  <si>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</si>
  <si>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</si>
  <si>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</si>
  <si>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</si>
  <si>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</si>
  <si>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</si>
  <si>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</si>
  <si>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</si>
  <si>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</si>
  <si>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</si>
  <si>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</si>
  <si>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</si>
  <si>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</si>
  <si>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</si>
  <si>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</si>
  <si>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</si>
  <si>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</si>
  <si>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</si>
  <si>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</si>
  <si>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</si>
  <si>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</si>
  <si>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</si>
  <si>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</si>
  <si>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</si>
  <si>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</si>
  <si>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</si>
  <si>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</si>
  <si>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</si>
  <si>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</si>
  <si>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</si>
  <si>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</si>
  <si>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</si>
  <si>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</si>
  <si>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</si>
  <si>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</si>
  <si>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</si>
  <si>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</si>
  <si>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</si>
  <si>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</si>
  <si>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</si>
  <si>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</si>
  <si>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</si>
  <si>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</si>
  <si>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</si>
  <si>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Column42</t>
  </si>
  <si>
    <t>99/01</t>
  </si>
  <si>
    <t>دارایی نهایی</t>
  </si>
  <si>
    <t>واریز و برداشت</t>
  </si>
  <si>
    <t>مجموع سود</t>
  </si>
  <si>
    <t>98/01/17</t>
  </si>
  <si>
    <t>دتماد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</si>
  <si>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</si>
  <si>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</si>
  <si>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</si>
  <si>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</si>
  <si>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</si>
  <si>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</si>
  <si>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</si>
  <si>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</si>
  <si>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</si>
  <si>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</si>
  <si>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</si>
  <si>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</si>
  <si>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</si>
  <si>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</si>
  <si>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</si>
  <si>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</si>
  <si>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</si>
  <si>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</si>
  <si>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میزان سود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</si>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</sst>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212529"/>
      <name val="IRANSans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3">
    <xf numFmtId="0" fontId="0" fillId="0" borderId="0" xfId="0"/>
    <xf numFmtId="0" fontId="3" fillId="3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10" fontId="2" fillId="16" borderId="2" xfId="0" applyNumberFormat="1" applyFont="1" applyFill="1" applyBorder="1" applyAlignment="1">
      <alignment vertical="center"/>
    </xf>
    <xf numFmtId="10" fontId="2" fillId="16" borderId="5" xfId="0" applyNumberFormat="1" applyFont="1" applyFill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0" fontId="2" fillId="20" borderId="3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3" fontId="1" fillId="0" borderId="31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10" fontId="1" fillId="0" borderId="39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3" fontId="1" fillId="0" borderId="41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0" fontId="2" fillId="20" borderId="43" xfId="0" applyFont="1" applyFill="1" applyBorder="1" applyAlignment="1">
      <alignment horizontal="center" vertical="center"/>
    </xf>
    <xf numFmtId="0" fontId="2" fillId="20" borderId="4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3" fontId="1" fillId="0" borderId="26" xfId="0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3" fontId="2" fillId="3" borderId="20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5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0" fontId="5" fillId="0" borderId="0" xfId="0" applyFont="1"/>
    <xf numFmtId="4" fontId="5" fillId="0" borderId="0" xfId="0" applyNumberFormat="1" applyFont="1"/>
    <xf numFmtId="4" fontId="1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0" fontId="2" fillId="3" borderId="2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23" borderId="22" xfId="0" applyFont="1" applyFill="1" applyBorder="1" applyAlignment="1">
      <alignment horizontal="center" vertical="center"/>
    </xf>
    <xf numFmtId="10" fontId="2" fillId="21" borderId="2" xfId="0" applyNumberFormat="1" applyFont="1" applyFill="1" applyBorder="1" applyAlignment="1">
      <alignment horizontal="center" vertical="center"/>
    </xf>
    <xf numFmtId="10" fontId="2" fillId="21" borderId="6" xfId="0" applyNumberFormat="1" applyFont="1" applyFill="1" applyBorder="1" applyAlignment="1">
      <alignment horizontal="center" vertical="center"/>
    </xf>
    <xf numFmtId="3" fontId="2" fillId="21" borderId="5" xfId="0" applyNumberFormat="1" applyFont="1" applyFill="1" applyBorder="1" applyAlignment="1">
      <alignment horizontal="center" vertical="center"/>
    </xf>
    <xf numFmtId="3" fontId="2" fillId="21" borderId="8" xfId="0" applyNumberFormat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22" borderId="46" xfId="0" applyFont="1" applyFill="1" applyBorder="1" applyAlignment="1">
      <alignment horizontal="center" vertical="center"/>
    </xf>
    <xf numFmtId="3" fontId="2" fillId="17" borderId="45" xfId="0" applyNumberFormat="1" applyFont="1" applyFill="1" applyBorder="1" applyAlignment="1">
      <alignment horizontal="center" vertical="center"/>
    </xf>
    <xf numFmtId="3" fontId="2" fillId="17" borderId="21" xfId="0" applyNumberFormat="1" applyFont="1" applyFill="1" applyBorder="1" applyAlignment="1">
      <alignment horizontal="center" vertical="center"/>
    </xf>
    <xf numFmtId="4" fontId="2" fillId="12" borderId="2" xfId="0" applyNumberFormat="1" applyFont="1" applyFill="1" applyBorder="1" applyAlignment="1">
      <alignment horizontal="center" vertical="center"/>
    </xf>
    <xf numFmtId="4" fontId="2" fillId="12" borderId="6" xfId="0" applyNumberFormat="1" applyFont="1" applyFill="1" applyBorder="1" applyAlignment="1">
      <alignment horizontal="center" vertical="center"/>
    </xf>
    <xf numFmtId="3" fontId="1" fillId="12" borderId="5" xfId="0" applyNumberFormat="1" applyFont="1" applyFill="1" applyBorder="1" applyAlignment="1">
      <alignment horizontal="center" vertical="center"/>
    </xf>
    <xf numFmtId="3" fontId="2" fillId="12" borderId="8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1" fillId="18" borderId="10" xfId="0" applyNumberFormat="1" applyFont="1" applyFill="1" applyBorder="1" applyAlignment="1">
      <alignment horizontal="center" vertical="center"/>
    </xf>
    <xf numFmtId="3" fontId="2" fillId="18" borderId="11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2" fillId="20" borderId="27" xfId="0" applyFont="1" applyFill="1" applyBorder="1" applyAlignment="1">
      <alignment horizontal="center" vertical="center"/>
    </xf>
    <xf numFmtId="0" fontId="2" fillId="20" borderId="33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1" fillId="17" borderId="37" xfId="0" applyFont="1" applyFill="1" applyBorder="1" applyAlignment="1">
      <alignment horizontal="center" vertical="center"/>
    </xf>
    <xf numFmtId="0" fontId="1" fillId="17" borderId="3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3" fontId="2" fillId="24" borderId="5" xfId="0" applyNumberFormat="1" applyFont="1" applyFill="1" applyBorder="1" applyAlignment="1">
      <alignment horizontal="center" vertical="center"/>
    </xf>
    <xf numFmtId="3" fontId="2" fillId="24" borderId="8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3" fontId="2" fillId="24" borderId="2" xfId="0" applyNumberFormat="1" applyFont="1" applyFill="1" applyBorder="1" applyAlignment="1">
      <alignment horizontal="center" vertical="center"/>
    </xf>
    <xf numFmtId="3" fontId="2" fillId="24" borderId="6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3" fontId="2" fillId="24" borderId="10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Medium9"/>
  <colors>
    <mruColors>
      <color rgb="FFFD6F6F"/>
      <color rgb="FFFD3D3D"/>
      <color rgb="FFFED2D2"/>
      <color rgb="FFFDB5B5"/>
      <color rgb="FFFDA1A1"/>
      <color rgb="FFFD8D8D"/>
      <color rgb="FFFD5959"/>
      <color rgb="FFFD1313"/>
      <color rgb="FFF00202"/>
      <color rgb="FFDC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'بازدهی ماهانه'!$C$7:$C$18</c:f>
              <c:numCache>
                <c:formatCode>#,##0</c:formatCode>
                <c:ptCount val="12"/>
                <c:pt idx="0">
                  <c:v>116833000</c:v>
                </c:pt>
                <c:pt idx="1">
                  <c:v>54821985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2375120"/>
        <c:axId val="-52375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'بازدهی ماهانه'!$B$7:$B$18</c:f>
              <c:numCache>
                <c:formatCode>0.00%</c:formatCode>
                <c:ptCount val="12"/>
                <c:pt idx="0">
                  <c:v>0.20678407079646019</c:v>
                </c:pt>
                <c:pt idx="1">
                  <c:v>3.6952400794166368E-2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377840"/>
        <c:axId val="-52376208"/>
      </c:lineChart>
      <c:catAx>
        <c:axId val="-5237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6208"/>
        <c:crosses val="autoZero"/>
        <c:auto val="1"/>
        <c:lblAlgn val="ctr"/>
        <c:lblOffset val="100"/>
        <c:noMultiLvlLbl val="0"/>
      </c:catAx>
      <c:valAx>
        <c:axId val="-523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7840"/>
        <c:crosses val="autoZero"/>
        <c:crossBetween val="between"/>
      </c:valAx>
      <c:valAx>
        <c:axId val="-523756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5120"/>
        <c:crosses val="max"/>
        <c:crossBetween val="between"/>
      </c:valAx>
      <c:catAx>
        <c:axId val="-5237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5237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'سود روزانه'!$B$2</c:f>
              <c:strCache>
                <c:ptCount val="1"/>
                <c:pt idx="0">
                  <c:v>اردیبهشت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'سود روزانه'!$C$2:$Y$2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'سود روزانه'!$B$3</c:f>
              <c:strCache>
                <c:ptCount val="1"/>
                <c:pt idx="0">
                  <c:v>میزان سود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'سود روزانه'!$C$3:$Y$3</c:f>
              <c:numCache>
                <c:formatCode>#,##0</c:formatCode>
                <c:ptCount val="23"/>
                <c:pt idx="0">
                  <c:v>49441151</c:v>
                </c:pt>
                <c:pt idx="1">
                  <c:v>5380834</c:v>
                </c:pt>
                <c:pt idx="2">
                  <c:v>12345830</c:v>
                </c:pt>
                <c:pt idx="3">
                  <c:v>16310826</c:v>
                </c:pt>
                <c:pt idx="4">
                  <c:v>2832458</c:v>
                </c:pt>
                <c:pt idx="5">
                  <c:v>43240818</c:v>
                </c:pt>
                <c:pt idx="6">
                  <c:v>-8355224</c:v>
                </c:pt>
                <c:pt idx="7">
                  <c:v>27170810</c:v>
                </c:pt>
                <c:pt idx="8">
                  <c:v>54135806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370224"/>
        <c:axId val="-52373488"/>
      </c:lineChart>
      <c:catAx>
        <c:axId val="-5237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3488"/>
        <c:crosses val="autoZero"/>
        <c:auto val="1"/>
        <c:lblAlgn val="ctr"/>
        <c:lblOffset val="100"/>
        <c:noMultiLvlLbl val="0"/>
      </c:catAx>
      <c:valAx>
        <c:axId val="-52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'سود روزانه'!$B$2</c:f>
              <c:strCache>
                <c:ptCount val="1"/>
                <c:pt idx="0">
                  <c:v>اردیبهشت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'سود روزانه'!$C$2:$Y$2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val>
        </c:ser>
        <c:ser>
          <c:idx val="1"/>
          <c:order val="1"/>
          <c:tx>
            <c:strRef>
              <c:f>'سود روزانه'!$B$3</c:f>
              <c:strCache>
                <c:ptCount val="1"/>
                <c:pt idx="0">
                  <c:v>میزان سود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'سود روزانه'!$C$3:$Y$3</c:f>
              <c:numCache>
                <c:formatCode>#,##0</c:formatCode>
                <c:ptCount val="23"/>
                <c:pt idx="0">
                  <c:v>49441151</c:v>
                </c:pt>
                <c:pt idx="1">
                  <c:v>5380834</c:v>
                </c:pt>
                <c:pt idx="2">
                  <c:v>12345830</c:v>
                </c:pt>
                <c:pt idx="3">
                  <c:v>16310826</c:v>
                </c:pt>
                <c:pt idx="4">
                  <c:v>2832458</c:v>
                </c:pt>
                <c:pt idx="5">
                  <c:v>43240818</c:v>
                </c:pt>
                <c:pt idx="6">
                  <c:v>-8355224</c:v>
                </c:pt>
                <c:pt idx="7">
                  <c:v>27170810</c:v>
                </c:pt>
                <c:pt idx="8">
                  <c:v>54135806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617360"/>
        <c:axId val="-145623888"/>
      </c:barChart>
      <c:catAx>
        <c:axId val="-1456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23888"/>
        <c:crosses val="autoZero"/>
        <c:auto val="1"/>
        <c:lblAlgn val="ctr"/>
        <c:lblOffset val="100"/>
        <c:noMultiLvlLbl val="0"/>
      </c:catAx>
      <c:valAx>
        <c:axId val="-1456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6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7620</xdr:rowOff>
    </xdr:from>
    <xdr:to>
      <xdr:col>15</xdr:col>
      <xdr:colOff>601980</xdr:colOff>
      <xdr:row>18</xdr:row>
      <xdr:rowOff>3810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657113</xdr:colOff>
      <xdr:row>3</xdr:row>
      <xdr:rowOff>179069</xdr:rowOff>
    </xdr:from>
    <xdr:to>
      <xdr:col>16</xdr:col>
      <xdr:colOff>137160</xdr:colOff>
      <xdr:row>18</xdr:row>
      <xdr:rowOff>179069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598395</xdr:colOff>
      <xdr:row>3</xdr:row>
      <xdr:rowOff>172795</xdr:rowOff>
    </xdr:from>
    <xdr:to>
      <xdr:col>8</xdr:col>
      <xdr:colOff>293595</xdr:colOff>
      <xdr:row>18</xdr:row>
      <xdr:rowOff>172795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  <cell r="R4">
            <v>1337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  <cell r="R4">
            <v>201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/>
          <cell r="G4"/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  <cell r="R4">
            <v>2926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4:T31" totalsRowShown="0" tableBorderDxfId="31">
  <autoFilter ref="B4:T31">
    <filterColumn colId="15">
      <filters>
        <filter val="0"/>
        <filter val="11151"/>
        <filter val="1337"/>
        <filter val="1584"/>
        <filter val="18967"/>
        <filter val="201"/>
        <filter val="21"/>
        <filter val="2926"/>
        <filter val="3636"/>
        <filter val="37"/>
        <filter val="420"/>
        <filter val="4894"/>
        <filter val="8785"/>
      </filters>
    </filterColumn>
  </autoFilter>
  <sortState ref="B5:T31">
    <sortCondition descending="1" ref="N4:N31"/>
  </sortState>
  <tableColumns count="19">
    <tableColumn id="1" name="Column1" dataDxfId="30"/>
    <tableColumn id="2" name="Column2" dataDxfId="29"/>
    <tableColumn id="3" name="Column3" dataDxfId="28"/>
    <tableColumn id="4" name="Column4" dataDxfId="27"/>
    <tableColumn id="5" name="Column5" dataDxfId="26"/>
    <tableColumn id="6" name="Column6" dataDxfId="25"/>
    <tableColumn id="7" name="Column7" dataDxfId="24"/>
    <tableColumn id="8" name="Column8" dataDxfId="23"/>
    <tableColumn id="9" name="Column9" dataDxfId="22"/>
    <tableColumn id="10" name="Column10" dataDxfId="21"/>
    <tableColumn id="11" name="Column11" dataDxfId="20"/>
    <tableColumn id="12" name="Column12" dataDxfId="19"/>
    <tableColumn id="13" name="Column13" dataDxfId="18"/>
    <tableColumn id="14" name="Column14" dataDxfId="17"/>
    <tableColumn id="15" name="Column15" dataDxfId="16"/>
    <tableColumn id="16" name="Column16" dataDxfId="15"/>
    <tableColumn id="17" name="Column17" dataDxfId="14"/>
    <tableColumn id="18" name="Column18" dataDxfId="13"/>
    <tableColumn id="19" name="Column19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5:H18" totalsRowShown="0" headerRowDxfId="11" dataDxfId="9" headerRowBorderDxfId="10" tableBorderDxfId="8" totalsRowBorderDxfId="7">
  <autoFilter ref="B5:H18"/>
  <tableColumns count="7">
    <tableColumn id="3" name="Column3" dataDxfId="6">
      <calculatedColumnFormula>Table3[[#This Row],[Column9]]/(Table3[[#This Row],[Column6]]-Table3[[#This Row],[Column5]])</calculatedColumnFormula>
    </tableColumn>
    <tableColumn id="4" name="Column4" dataDxfId="5">
      <calculatedColumnFormula>Table3[[#This Row],[Column9]]-(Table3[[#This Row],[Column6]]-Table3[[#This Row],[Column5]])</calculatedColumnFormula>
    </tableColumn>
    <tableColumn id="12" name="Column42" dataDxfId="4"/>
    <tableColumn id="5" name="Column5" dataDxfId="3"/>
    <tableColumn id="6" name="Column6" dataDxfId="2"/>
    <tableColumn id="9" name="Column9" dataDxfId="1"/>
    <tableColumn id="11" name="Column1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table" Target="../tables/table1.xm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opLeftCell="E1" zoomScale="90" zoomScaleNormal="90" workbookViewId="0">
      <pane ySplit="3" topLeftCell="A4" activePane="bottomLeft" state="frozen"/>
      <selection pane="bottomLeft" activeCell="W11" sqref="W11"/>
    </sheetView>
  </sheetViews>
  <sheetFormatPr defaultRowHeight="14.4"/>
  <cols>
    <col min="1" max="1" width="8.88671875" style="11"/>
    <col min="2" max="8" width="9.77734375" style="11" customWidth="1"/>
    <col min="9" max="9" width="10.88671875" style="11" bestFit="1" customWidth="1"/>
    <col min="10" max="10" width="9.77734375" style="11" customWidth="1"/>
    <col min="11" max="11" width="12.109375" style="11" bestFit="1" customWidth="1"/>
    <col min="12" max="13" width="10.6640625" style="11" customWidth="1"/>
    <col min="14" max="14" width="15.88671875" style="11" bestFit="1" customWidth="1"/>
    <col min="15" max="15" width="15.6640625" style="11" bestFit="1" customWidth="1"/>
    <col min="16" max="16" width="13.44140625" style="11" bestFit="1" customWidth="1"/>
    <col min="17" max="17" width="10.6640625" style="11" customWidth="1"/>
    <col min="18" max="18" width="10.6640625" style="51" customWidth="1"/>
    <col min="19" max="19" width="16.44140625" style="11" bestFit="1" customWidth="1"/>
    <col min="20" max="16384" width="8.88671875" style="11"/>
  </cols>
  <sheetData>
    <row r="1" spans="2:20" ht="15" thickBot="1"/>
    <row r="2" spans="2:20" ht="18.600000000000001">
      <c r="B2" s="111" t="s">
        <v>1</v>
      </c>
      <c r="C2" s="112"/>
      <c r="D2" s="112"/>
      <c r="E2" s="112"/>
      <c r="F2" s="112"/>
      <c r="G2" s="112"/>
      <c r="H2" s="112"/>
      <c r="I2" s="112"/>
      <c r="J2" s="113"/>
      <c r="K2" s="108" t="s">
        <v>2</v>
      </c>
      <c r="L2" s="109"/>
      <c r="M2" s="110"/>
      <c r="N2" s="116" t="s">
        <v>3</v>
      </c>
      <c r="O2" s="118" t="s">
        <v>18</v>
      </c>
      <c r="P2" s="120" t="s">
        <v>12</v>
      </c>
      <c r="Q2" s="114" t="s">
        <v>4</v>
      </c>
      <c r="R2" s="106" t="s">
        <v>16</v>
      </c>
      <c r="S2" s="104" t="s">
        <v>13</v>
      </c>
      <c r="T2" s="106" t="s">
        <v>0</v>
      </c>
    </row>
    <row r="3" spans="2:20" ht="19.2" thickBot="1">
      <c r="B3" s="5" t="s">
        <v>7</v>
      </c>
      <c r="C3" s="6" t="s">
        <v>6</v>
      </c>
      <c r="D3" s="9" t="s">
        <v>9</v>
      </c>
      <c r="E3" s="10" t="s">
        <v>7</v>
      </c>
      <c r="F3" s="4" t="s">
        <v>6</v>
      </c>
      <c r="G3" s="7" t="s">
        <v>8</v>
      </c>
      <c r="H3" s="8" t="s">
        <v>7</v>
      </c>
      <c r="I3" s="2" t="s">
        <v>6</v>
      </c>
      <c r="J3" s="3" t="s">
        <v>5</v>
      </c>
      <c r="K3" s="12" t="s">
        <v>15</v>
      </c>
      <c r="L3" s="13" t="s">
        <v>11</v>
      </c>
      <c r="M3" s="1" t="s">
        <v>10</v>
      </c>
      <c r="N3" s="117"/>
      <c r="O3" s="119"/>
      <c r="P3" s="121"/>
      <c r="Q3" s="115"/>
      <c r="R3" s="107"/>
      <c r="S3" s="105"/>
      <c r="T3" s="107"/>
    </row>
    <row r="4" spans="2:20" ht="19.2" hidden="1" thickBot="1">
      <c r="B4" s="56" t="s">
        <v>72</v>
      </c>
      <c r="C4" s="57" t="s">
        <v>73</v>
      </c>
      <c r="D4" s="58" t="s">
        <v>74</v>
      </c>
      <c r="E4" s="59" t="s">
        <v>75</v>
      </c>
      <c r="F4" s="57" t="s">
        <v>76</v>
      </c>
      <c r="G4" s="58" t="s">
        <v>77</v>
      </c>
      <c r="H4" s="59" t="s">
        <v>78</v>
      </c>
      <c r="I4" s="57" t="s">
        <v>79</v>
      </c>
      <c r="J4" s="58" t="s">
        <v>80</v>
      </c>
      <c r="K4" s="60" t="s">
        <v>81</v>
      </c>
      <c r="L4" s="61" t="s">
        <v>82</v>
      </c>
      <c r="M4" s="62" t="s">
        <v>83</v>
      </c>
      <c r="N4" s="63" t="s">
        <v>84</v>
      </c>
      <c r="O4" s="57" t="s">
        <v>85</v>
      </c>
      <c r="P4" s="64" t="s">
        <v>86</v>
      </c>
      <c r="Q4" s="65" t="s">
        <v>87</v>
      </c>
      <c r="R4" s="66" t="s">
        <v>88</v>
      </c>
      <c r="S4" s="44" t="s">
        <v>89</v>
      </c>
      <c r="T4" s="54" t="s">
        <v>99</v>
      </c>
    </row>
    <row r="5" spans="2:20" ht="19.2" thickBot="1">
      <c r="B5" s="55">
        <f t="shared" ref="B5:B31" si="0">IF(L5&gt;0, C5/L5,"RF")</f>
        <v>-5.5007164798174815</v>
      </c>
      <c r="C5" s="16">
        <f t="shared" ref="C5:C31" si="1">(D5/P5)-1</f>
        <v>-1</v>
      </c>
      <c r="D5" s="17">
        <f>'[1]دارایی فعلی'!$D$4</f>
        <v>0</v>
      </c>
      <c r="E5" s="15">
        <f t="shared" ref="E5:E31" si="2">IF(L5&gt;0, F5/L5,"RF")</f>
        <v>89.61751840292311</v>
      </c>
      <c r="F5" s="16">
        <f t="shared" ref="F5:F31" si="3">(G5/P5)-1</f>
        <v>16.291971915247064</v>
      </c>
      <c r="G5" s="17">
        <f>'[1]دارایی فعلی'!$G$4</f>
        <v>205000</v>
      </c>
      <c r="H5" s="15">
        <f t="shared" ref="H5:H31" si="4">IF(L5&gt;0, I5/L5,"RF")</f>
        <v>18.162844393449689</v>
      </c>
      <c r="I5" s="16">
        <f t="shared" ref="I5:I31" si="5">(J5/P5)-1</f>
        <v>3.3019052081834159</v>
      </c>
      <c r="J5" s="17">
        <f>'[1]دارایی فعلی'!$J$4</f>
        <v>51000</v>
      </c>
      <c r="K5" s="18">
        <f t="shared" ref="K5:K31" si="6">IF(L5&gt;0, N5-M5*Q5, 0)</f>
        <v>18933541</v>
      </c>
      <c r="L5" s="19">
        <f t="shared" ref="L5:L31" si="7">IF(1-(M5/P5)&gt;0, 1-(M5/P5), 0)</f>
        <v>0.18179449962001692</v>
      </c>
      <c r="M5" s="20">
        <f>'[1]دارایی فعلی'!$M$4</f>
        <v>9700</v>
      </c>
      <c r="N5" s="21">
        <f t="shared" ref="N5:N31" si="8">Q5*P5</f>
        <v>104148041</v>
      </c>
      <c r="O5" s="16">
        <f>IF( (P5-M5)*Q5/سرمایه!F4&gt;0, (P5-M5)*Q5/سرمایه!F4, "Risk free")</f>
        <v>1.3707699424227051E-2</v>
      </c>
      <c r="P5" s="22">
        <f>'[1]دارایی فعلی'!$Q$4</f>
        <v>11855.212407512807</v>
      </c>
      <c r="Q5" s="23">
        <f>'[1]دارایی فعلی'!$R$4</f>
        <v>8785</v>
      </c>
      <c r="R5" s="52" t="s">
        <v>33</v>
      </c>
      <c r="S5" s="76" t="s">
        <v>98</v>
      </c>
      <c r="T5" s="53" t="s">
        <v>14</v>
      </c>
    </row>
    <row r="6" spans="2:20" ht="19.2" thickBot="1">
      <c r="B6" s="55">
        <f t="shared" si="0"/>
        <v>-5.0682958132082652</v>
      </c>
      <c r="C6" s="16">
        <f t="shared" si="1"/>
        <v>-1</v>
      </c>
      <c r="D6" s="17">
        <f>'[2]دارایی فعلی'!$D$4</f>
        <v>0</v>
      </c>
      <c r="E6" s="15">
        <f t="shared" si="2"/>
        <v>2.8390867456350768</v>
      </c>
      <c r="F6" s="16">
        <f t="shared" si="3"/>
        <v>0.56016595129200164</v>
      </c>
      <c r="G6" s="17">
        <f>'[2]دارایی فعلی'!$G$4</f>
        <v>11971</v>
      </c>
      <c r="H6" s="15">
        <f t="shared" si="4"/>
        <v>1.3588057069275394</v>
      </c>
      <c r="I6" s="16">
        <f t="shared" si="5"/>
        <v>0.268099131740972</v>
      </c>
      <c r="J6" s="17">
        <f>'[2]دارایی فعلی'!$J$4</f>
        <v>9730</v>
      </c>
      <c r="K6" s="18">
        <f t="shared" si="6"/>
        <v>16881518</v>
      </c>
      <c r="L6" s="19">
        <f t="shared" si="7"/>
        <v>0.19730497919911139</v>
      </c>
      <c r="M6" s="20">
        <f>'[2]دارایی فعلی'!$M$4</f>
        <v>6159</v>
      </c>
      <c r="N6" s="21">
        <f t="shared" si="8"/>
        <v>85560527</v>
      </c>
      <c r="O6" s="16">
        <f>IF( (P6-M6)*Q6/سرمایه!F4&gt;0, (P6-M6)*Q6/سرمایه!F4, "Risk free")</f>
        <v>1.2222054742357944E-2</v>
      </c>
      <c r="P6" s="22">
        <f>'[2]دارایی فعلی'!$Q$4</f>
        <v>7672.9017128508658</v>
      </c>
      <c r="Q6" s="23">
        <f>'[2]دارایی فعلی'!$R$4</f>
        <v>11151</v>
      </c>
      <c r="R6" s="52" t="s">
        <v>28</v>
      </c>
      <c r="S6" s="76" t="s">
        <v>108</v>
      </c>
      <c r="T6" s="53" t="s">
        <v>14</v>
      </c>
    </row>
    <row r="7" spans="2:20" ht="19.2" thickBot="1">
      <c r="B7" s="55">
        <f t="shared" si="0"/>
        <v>-9.1052989130434803</v>
      </c>
      <c r="C7" s="16">
        <f t="shared" si="1"/>
        <v>-1</v>
      </c>
      <c r="D7" s="17">
        <f>'[3]دارایی فعلی'!$D$4</f>
        <v>0</v>
      </c>
      <c r="E7" s="15">
        <f t="shared" si="2"/>
        <v>3.2153532608695659</v>
      </c>
      <c r="F7" s="16">
        <f t="shared" si="3"/>
        <v>0.35312989629187497</v>
      </c>
      <c r="G7" s="17">
        <f>'[3]دارایی فعلی'!$G$4</f>
        <v>18136</v>
      </c>
      <c r="H7" s="15">
        <f t="shared" si="4"/>
        <v>1.6732336956521745</v>
      </c>
      <c r="I7" s="16">
        <f t="shared" si="5"/>
        <v>0.18376482876967848</v>
      </c>
      <c r="J7" s="17">
        <f>'[3]دارایی فعلی'!$J$4</f>
        <v>15866</v>
      </c>
      <c r="K7" s="18">
        <f t="shared" si="6"/>
        <v>7203968</v>
      </c>
      <c r="L7" s="19">
        <f t="shared" si="7"/>
        <v>0.10982615832276355</v>
      </c>
      <c r="M7" s="20">
        <f>'[3]دارایی فعلی'!$M$4</f>
        <v>11931</v>
      </c>
      <c r="N7" s="21">
        <f t="shared" si="8"/>
        <v>65594282</v>
      </c>
      <c r="O7" s="16">
        <f>IF( (P7-M7)*Q7/سرمایه!F4&gt;0, (P7-M7)*Q7/سرمایه!F4, "Risk free")</f>
        <v>5.2156027235343919E-3</v>
      </c>
      <c r="P7" s="22">
        <f>'[3]دارایی فعلی'!$Q$4</f>
        <v>13403</v>
      </c>
      <c r="Q7" s="23">
        <f>'[3]دارایی فعلی'!$R$4</f>
        <v>4894</v>
      </c>
      <c r="R7" s="52" t="s">
        <v>31</v>
      </c>
      <c r="S7" s="76" t="s">
        <v>113</v>
      </c>
      <c r="T7" s="53" t="s">
        <v>14</v>
      </c>
    </row>
    <row r="8" spans="2:20" ht="19.2" thickBot="1">
      <c r="B8" s="55">
        <f t="shared" si="0"/>
        <v>-3.485858585858586</v>
      </c>
      <c r="C8" s="16">
        <f t="shared" si="1"/>
        <v>-1</v>
      </c>
      <c r="D8" s="17">
        <f>'[4]دارایی فعلی'!$D$4</f>
        <v>0</v>
      </c>
      <c r="E8" s="15">
        <f t="shared" si="2"/>
        <v>-3.485858585858586</v>
      </c>
      <c r="F8" s="16">
        <f t="shared" si="3"/>
        <v>-1</v>
      </c>
      <c r="G8" s="17">
        <f>'[4]دارایی فعلی'!$G$4</f>
        <v>0</v>
      </c>
      <c r="H8" s="15">
        <f t="shared" si="4"/>
        <v>1.1444444444444446</v>
      </c>
      <c r="I8" s="16">
        <f t="shared" si="5"/>
        <v>0.32831063459866705</v>
      </c>
      <c r="J8" s="17">
        <f>'[4]دارایی فعلی'!$J$4</f>
        <v>4584</v>
      </c>
      <c r="K8" s="18">
        <f t="shared" si="6"/>
        <v>18777330</v>
      </c>
      <c r="L8" s="19">
        <f t="shared" si="7"/>
        <v>0.28687337003767022</v>
      </c>
      <c r="M8" s="20">
        <f>'[4]دارایی فعلی'!$M$4</f>
        <v>2461</v>
      </c>
      <c r="N8" s="21">
        <f t="shared" si="8"/>
        <v>65455117</v>
      </c>
      <c r="O8" s="16">
        <f>IF( (P8-M8)*Q8/سرمایه!F4&gt;0, (P8-M8)*Q8/سرمایه!F4, "Risk free")</f>
        <v>1.3594604180460551E-2</v>
      </c>
      <c r="P8" s="22">
        <f>'[4]دارایی فعلی'!$Q$4</f>
        <v>3451</v>
      </c>
      <c r="Q8" s="23">
        <f>'[4]دارایی فعلی'!$R$4</f>
        <v>18967</v>
      </c>
      <c r="R8" s="52" t="s">
        <v>130</v>
      </c>
      <c r="S8" s="76" t="s">
        <v>132</v>
      </c>
      <c r="T8" s="53" t="s">
        <v>131</v>
      </c>
    </row>
    <row r="9" spans="2:20" ht="19.2" thickBot="1">
      <c r="B9" s="55">
        <f t="shared" si="0"/>
        <v>-4.0096557514693538</v>
      </c>
      <c r="C9" s="16">
        <f t="shared" si="1"/>
        <v>-1</v>
      </c>
      <c r="D9" s="17">
        <f>'[5]دارایی فعلی'!$D$4</f>
        <v>0</v>
      </c>
      <c r="E9" s="15">
        <f t="shared" si="2"/>
        <v>-4.0096557514693538</v>
      </c>
      <c r="F9" s="16">
        <f t="shared" si="3"/>
        <v>-1</v>
      </c>
      <c r="G9" s="17">
        <f>'[5]دارایی فعلی'!$G$4</f>
        <v>0</v>
      </c>
      <c r="H9" s="15">
        <f t="shared" si="4"/>
        <v>0.72942905121746449</v>
      </c>
      <c r="I9" s="16">
        <f t="shared" si="5"/>
        <v>0.18191812375667471</v>
      </c>
      <c r="J9" s="17">
        <f>'[5]دارایی فعلی'!$J$4</f>
        <v>45154</v>
      </c>
      <c r="K9" s="18">
        <f t="shared" si="6"/>
        <v>15092352</v>
      </c>
      <c r="L9" s="19">
        <f t="shared" si="7"/>
        <v>0.24939796879907861</v>
      </c>
      <c r="M9" s="20">
        <f>'[5]دارایی فعلی'!$M$4</f>
        <v>28676</v>
      </c>
      <c r="N9" s="21">
        <f t="shared" si="8"/>
        <v>60515136</v>
      </c>
      <c r="O9" s="16">
        <f>IF( (P9-M9)*Q9/سرمایه!F4&gt;0, (P9-M9)*Q9/سرمایه!F4, "Risk free")</f>
        <v>1.0926715970384616E-2</v>
      </c>
      <c r="P9" s="22">
        <f>'[5]دارایی فعلی'!$Q$4</f>
        <v>38204</v>
      </c>
      <c r="Q9" s="23">
        <f>'[5]دارایی فعلی'!$R$4</f>
        <v>1584</v>
      </c>
      <c r="R9" s="52" t="s">
        <v>34</v>
      </c>
      <c r="S9" s="76" t="s">
        <v>116</v>
      </c>
      <c r="T9" s="53" t="s">
        <v>14</v>
      </c>
    </row>
    <row r="10" spans="2:20" ht="19.2" hidden="1" thickBot="1">
      <c r="B10" s="55">
        <f t="shared" si="0"/>
        <v>-8.9549994547710465</v>
      </c>
      <c r="C10" s="16">
        <f t="shared" si="1"/>
        <v>-1</v>
      </c>
      <c r="D10" s="17">
        <f>'[6]دارایی فعلی'!$D$4</f>
        <v>0</v>
      </c>
      <c r="E10" s="15">
        <f t="shared" si="2"/>
        <v>0.4358059220705745</v>
      </c>
      <c r="F10" s="16">
        <f t="shared" si="3"/>
        <v>4.8666214249559303E-2</v>
      </c>
      <c r="G10" s="17">
        <f>'[6]دارایی فعلی'!$G$4</f>
        <v>28706</v>
      </c>
      <c r="H10" s="15">
        <f t="shared" si="4"/>
        <v>9.3646933308184046</v>
      </c>
      <c r="I10" s="16">
        <f t="shared" si="5"/>
        <v>1.0457502960348122</v>
      </c>
      <c r="J10" s="17">
        <f>'[6]دارایی فعلی'!$J$4</f>
        <v>56000</v>
      </c>
      <c r="K10" s="18">
        <f t="shared" si="6"/>
        <v>17304657</v>
      </c>
      <c r="L10" s="19">
        <f t="shared" si="7"/>
        <v>0.11166946520216925</v>
      </c>
      <c r="M10" s="20">
        <f>'[6]دارایی فعلی'!$M$4</f>
        <v>24317</v>
      </c>
      <c r="N10" s="21">
        <f t="shared" si="8"/>
        <v>154963194</v>
      </c>
      <c r="O10" s="16">
        <f>IF( (P10-M10)*Q10/سرمایه!F4&gt;0, (P10-M10)*Q10/سرمایه!F4, "Risk free")</f>
        <v>1.252840326040155E-2</v>
      </c>
      <c r="P10" s="22">
        <f>'[6]دارایی فعلی'!$Q$4</f>
        <v>27373.819819819819</v>
      </c>
      <c r="Q10" s="23">
        <f>'[6]دارایی فعلی'!$R$4</f>
        <v>5661</v>
      </c>
      <c r="R10" s="52" t="s">
        <v>17</v>
      </c>
      <c r="S10" s="76" t="s">
        <v>100</v>
      </c>
      <c r="T10" s="53" t="s">
        <v>14</v>
      </c>
    </row>
    <row r="11" spans="2:20" ht="19.2" thickBot="1">
      <c r="B11" s="55" t="str">
        <f t="shared" si="0"/>
        <v>RF</v>
      </c>
      <c r="C11" s="16">
        <f t="shared" si="1"/>
        <v>-1</v>
      </c>
      <c r="D11" s="17">
        <f>'[7]دارایی فعلی'!$D$4</f>
        <v>0</v>
      </c>
      <c r="E11" s="15" t="str">
        <f t="shared" si="2"/>
        <v>RF</v>
      </c>
      <c r="F11" s="16">
        <f t="shared" si="3"/>
        <v>-1</v>
      </c>
      <c r="G11" s="17">
        <f>'[7]دارایی فعلی'!$G$4</f>
        <v>0</v>
      </c>
      <c r="H11" s="15" t="str">
        <f t="shared" si="4"/>
        <v>RF</v>
      </c>
      <c r="I11" s="16">
        <f t="shared" si="5"/>
        <v>-1</v>
      </c>
      <c r="J11" s="17">
        <f>'[7]دارایی فعلی'!$J$4</f>
        <v>0</v>
      </c>
      <c r="K11" s="18">
        <f t="shared" si="6"/>
        <v>0</v>
      </c>
      <c r="L11" s="19">
        <f t="shared" si="7"/>
        <v>0</v>
      </c>
      <c r="M11" s="20">
        <f>'[7]دارایی فعلی'!$M$4</f>
        <v>5128</v>
      </c>
      <c r="N11" s="21">
        <f t="shared" si="8"/>
        <v>0</v>
      </c>
      <c r="O11" s="16" t="str">
        <f>IF( (P11-M11)*Q11/سرمایه!F4&gt;0, (P11-M11)*Q11/سرمایه!F4, "Risk free")</f>
        <v>Risk free</v>
      </c>
      <c r="P11" s="22">
        <f>'[7]دارایی فعلی'!$Q$4</f>
        <v>1</v>
      </c>
      <c r="Q11" s="23">
        <f>'[7]دارایی فعلی'!$R$4</f>
        <v>0</v>
      </c>
      <c r="R11" s="52" t="s">
        <v>27</v>
      </c>
      <c r="S11" s="76" t="s">
        <v>107</v>
      </c>
      <c r="T11" s="53" t="s">
        <v>14</v>
      </c>
    </row>
    <row r="12" spans="2:20" ht="19.2" thickBot="1">
      <c r="B12" s="55" t="str">
        <f t="shared" si="0"/>
        <v>RF</v>
      </c>
      <c r="C12" s="16">
        <f t="shared" si="1"/>
        <v>-1</v>
      </c>
      <c r="D12" s="17">
        <f>'[8]دارایی فعلی'!$D$4</f>
        <v>0</v>
      </c>
      <c r="E12" s="15" t="str">
        <f t="shared" si="2"/>
        <v>RF</v>
      </c>
      <c r="F12" s="16">
        <f t="shared" si="3"/>
        <v>-1</v>
      </c>
      <c r="G12" s="17">
        <f>'[8]دارایی فعلی'!$G$4</f>
        <v>0</v>
      </c>
      <c r="H12" s="15" t="str">
        <f t="shared" si="4"/>
        <v>RF</v>
      </c>
      <c r="I12" s="16">
        <f t="shared" si="5"/>
        <v>-1</v>
      </c>
      <c r="J12" s="17">
        <f>'[8]دارایی فعلی'!$J$4</f>
        <v>0</v>
      </c>
      <c r="K12" s="18">
        <f t="shared" si="6"/>
        <v>0</v>
      </c>
      <c r="L12" s="19">
        <f t="shared" si="7"/>
        <v>0</v>
      </c>
      <c r="M12" s="20">
        <f>'[8]دارایی فعلی'!$M$4</f>
        <v>8725</v>
      </c>
      <c r="N12" s="21">
        <f t="shared" si="8"/>
        <v>31724100</v>
      </c>
      <c r="O12" s="16" t="str">
        <f>IF( (P12-M12)*Q12/سرمایه!F4&gt;0, (P12-M12)*Q12/سرمایه!F4, "Risk free")</f>
        <v>Risk free</v>
      </c>
      <c r="P12" s="22">
        <f>'[8]دارایی فعلی'!$Q$4</f>
        <v>8725</v>
      </c>
      <c r="Q12" s="23">
        <f>'[8]دارایی فعلی'!$R$4</f>
        <v>3636</v>
      </c>
      <c r="R12" s="52" t="s">
        <v>136</v>
      </c>
      <c r="S12" s="76" t="s">
        <v>137</v>
      </c>
      <c r="T12" s="53" t="s">
        <v>14</v>
      </c>
    </row>
    <row r="13" spans="2:20" ht="19.2" thickBot="1">
      <c r="B13" s="55">
        <f t="shared" si="0"/>
        <v>-8.0857863751051298</v>
      </c>
      <c r="C13" s="16">
        <f t="shared" si="1"/>
        <v>-1</v>
      </c>
      <c r="D13" s="17">
        <f>'[9]دارایی فعلی'!$D$4</f>
        <v>0</v>
      </c>
      <c r="E13" s="15">
        <f t="shared" si="2"/>
        <v>-8.0857863751051298</v>
      </c>
      <c r="F13" s="16">
        <f t="shared" si="3"/>
        <v>-1</v>
      </c>
      <c r="G13" s="17">
        <f>'[9]دارایی فعلی'!$G$4</f>
        <v>0</v>
      </c>
      <c r="H13" s="15">
        <f t="shared" si="4"/>
        <v>1.705634987384357</v>
      </c>
      <c r="I13" s="16">
        <f t="shared" si="5"/>
        <v>0.21094237570210117</v>
      </c>
      <c r="J13" s="17">
        <f>'[9]دارایی فعلی'!$J$4</f>
        <v>11642</v>
      </c>
      <c r="K13" s="18">
        <f t="shared" si="6"/>
        <v>3479014</v>
      </c>
      <c r="L13" s="19">
        <f t="shared" si="7"/>
        <v>0.12367380902850011</v>
      </c>
      <c r="M13" s="20">
        <f>'[9]دارایی فعلی'!$M$4</f>
        <v>8425</v>
      </c>
      <c r="N13" s="21">
        <f t="shared" si="8"/>
        <v>28130564</v>
      </c>
      <c r="O13" s="16">
        <f>IF( (P13-M13)*Q13/سرمایه!F4&gt;0, (P13-M13)*Q13/سرمایه!F4, "Risk free")</f>
        <v>2.5187722785018308E-3</v>
      </c>
      <c r="P13" s="22">
        <f>'[9]دارایی فعلی'!$Q$4</f>
        <v>9614</v>
      </c>
      <c r="Q13" s="23">
        <f>'[9]دارایی فعلی'!$R$4</f>
        <v>2926</v>
      </c>
      <c r="R13" s="52" t="s">
        <v>26</v>
      </c>
      <c r="S13" s="76" t="s">
        <v>106</v>
      </c>
      <c r="T13" s="53" t="s">
        <v>14</v>
      </c>
    </row>
    <row r="14" spans="2:20" ht="19.2" thickBot="1">
      <c r="B14" s="55" t="str">
        <f t="shared" si="0"/>
        <v>RF</v>
      </c>
      <c r="C14" s="16">
        <f t="shared" si="1"/>
        <v>-1</v>
      </c>
      <c r="D14" s="17">
        <f>'[10]دارایی فعلی'!$D$4</f>
        <v>0</v>
      </c>
      <c r="E14" s="15" t="str">
        <f t="shared" si="2"/>
        <v>RF</v>
      </c>
      <c r="F14" s="16">
        <f t="shared" si="3"/>
        <v>-1</v>
      </c>
      <c r="G14" s="17">
        <f>'[10]دارایی فعلی'!$G$4</f>
        <v>0</v>
      </c>
      <c r="H14" s="15" t="str">
        <f t="shared" si="4"/>
        <v>RF</v>
      </c>
      <c r="I14" s="16">
        <f t="shared" si="5"/>
        <v>8380</v>
      </c>
      <c r="J14" s="17">
        <f>'[10]دارایی فعلی'!$J$4</f>
        <v>8381</v>
      </c>
      <c r="K14" s="18">
        <f t="shared" si="6"/>
        <v>0</v>
      </c>
      <c r="L14" s="19">
        <f t="shared" si="7"/>
        <v>0</v>
      </c>
      <c r="M14" s="20">
        <f>'[10]دارایی فعلی'!$M$4</f>
        <v>5897</v>
      </c>
      <c r="N14" s="21">
        <f t="shared" si="8"/>
        <v>0</v>
      </c>
      <c r="O14" s="16" t="str">
        <f>IF( (P14-M14)*Q14/سرمایه!F4&gt;0, (P14-M14)*Q14/سرمایه!F4, "Risk free")</f>
        <v>Risk free</v>
      </c>
      <c r="P14" s="22">
        <f>'[10]دارایی فعلی'!$Q$4</f>
        <v>1</v>
      </c>
      <c r="Q14" s="23">
        <f>'[10]دارایی فعلی'!$R$4</f>
        <v>0</v>
      </c>
      <c r="R14" s="52" t="s">
        <v>32</v>
      </c>
      <c r="S14" s="76" t="s">
        <v>114</v>
      </c>
      <c r="T14" s="53" t="s">
        <v>14</v>
      </c>
    </row>
    <row r="15" spans="2:20" ht="19.2" thickBot="1">
      <c r="B15" s="55" t="str">
        <f t="shared" si="0"/>
        <v>RF</v>
      </c>
      <c r="C15" s="16">
        <f t="shared" si="1"/>
        <v>-1</v>
      </c>
      <c r="D15" s="17">
        <f>'[11]دارایی فعلی'!$D$4</f>
        <v>0</v>
      </c>
      <c r="E15" s="15" t="str">
        <f t="shared" si="2"/>
        <v>RF</v>
      </c>
      <c r="F15" s="16">
        <f t="shared" si="3"/>
        <v>-1</v>
      </c>
      <c r="G15" s="17">
        <f>'[11]دارایی فعلی'!$G$4</f>
        <v>0</v>
      </c>
      <c r="H15" s="15" t="str">
        <f t="shared" si="4"/>
        <v>RF</v>
      </c>
      <c r="I15" s="16">
        <f t="shared" si="5"/>
        <v>-1</v>
      </c>
      <c r="J15" s="17">
        <f>'[11]دارایی فعلی'!$J$4</f>
        <v>0</v>
      </c>
      <c r="K15" s="18">
        <f t="shared" si="6"/>
        <v>0</v>
      </c>
      <c r="L15" s="19">
        <f t="shared" si="7"/>
        <v>0</v>
      </c>
      <c r="M15" s="20">
        <f>'[11]دارایی فعلی'!$M$4</f>
        <v>13992</v>
      </c>
      <c r="N15" s="21">
        <f t="shared" si="8"/>
        <v>0</v>
      </c>
      <c r="O15" s="16" t="str">
        <f>IF( (P15-M15)*Q15/سرمایه!F4&gt;0, (P15-M15)*Q15/سرمایه!F4, "Risk free")</f>
        <v>Risk free</v>
      </c>
      <c r="P15" s="22">
        <f>'[11]دارایی فعلی'!$Q$4</f>
        <v>1</v>
      </c>
      <c r="Q15" s="23">
        <f>'[11]دارایی فعلی'!$R$4</f>
        <v>0</v>
      </c>
      <c r="R15" s="52" t="s">
        <v>25</v>
      </c>
      <c r="S15" s="76" t="s">
        <v>103</v>
      </c>
      <c r="T15" s="53" t="s">
        <v>14</v>
      </c>
    </row>
    <row r="16" spans="2:20" ht="19.2" thickBot="1">
      <c r="B16" s="55" t="str">
        <f t="shared" si="0"/>
        <v>RF</v>
      </c>
      <c r="C16" s="16">
        <f t="shared" si="1"/>
        <v>-1</v>
      </c>
      <c r="D16" s="17">
        <f>'[12]دارایی فعلی'!$D$4</f>
        <v>0</v>
      </c>
      <c r="E16" s="15" t="str">
        <f t="shared" si="2"/>
        <v>RF</v>
      </c>
      <c r="F16" s="16">
        <f t="shared" si="3"/>
        <v>-1</v>
      </c>
      <c r="G16" s="17">
        <f>'[12]دارایی فعلی'!$G$4</f>
        <v>0</v>
      </c>
      <c r="H16" s="15" t="str">
        <f t="shared" si="4"/>
        <v>RF</v>
      </c>
      <c r="I16" s="16">
        <f t="shared" si="5"/>
        <v>-1</v>
      </c>
      <c r="J16" s="17">
        <f>'[12]دارایی فعلی'!$J$4</f>
        <v>0</v>
      </c>
      <c r="K16" s="18">
        <f t="shared" si="6"/>
        <v>0</v>
      </c>
      <c r="L16" s="19">
        <f t="shared" si="7"/>
        <v>0</v>
      </c>
      <c r="M16" s="20">
        <f>'[12]دارایی فعلی'!$M$4</f>
        <v>36278</v>
      </c>
      <c r="N16" s="21">
        <f t="shared" si="8"/>
        <v>0</v>
      </c>
      <c r="O16" s="16" t="str">
        <f>IF( (P16-M16)*Q16/سرمایه!F4&gt;0, (P16-M16)*Q16/سرمایه!F4, "Risk free")</f>
        <v>Risk free</v>
      </c>
      <c r="P16" s="22">
        <f>'[12]دارایی فعلی'!$Q$4</f>
        <v>1</v>
      </c>
      <c r="Q16" s="23">
        <f>'[12]دارایی فعلی'!$R$4</f>
        <v>0</v>
      </c>
      <c r="R16" s="52" t="s">
        <v>24</v>
      </c>
      <c r="S16" s="76" t="s">
        <v>102</v>
      </c>
      <c r="T16" s="53" t="s">
        <v>14</v>
      </c>
    </row>
    <row r="17" spans="2:20" ht="19.2" hidden="1" thickBot="1">
      <c r="B17" s="55">
        <f t="shared" si="0"/>
        <v>-3.4930958110677399</v>
      </c>
      <c r="C17" s="16">
        <f t="shared" si="1"/>
        <v>-1</v>
      </c>
      <c r="D17" s="17">
        <f>'[13]دارایی فعلی'!$D$4</f>
        <v>0</v>
      </c>
      <c r="E17" s="15">
        <f t="shared" si="2"/>
        <v>-3.4930958110677399</v>
      </c>
      <c r="F17" s="16">
        <f t="shared" si="3"/>
        <v>-1</v>
      </c>
      <c r="G17" s="17">
        <f>'[13]دارایی فعلی'!$G$4</f>
        <v>0</v>
      </c>
      <c r="H17" s="15">
        <f t="shared" si="4"/>
        <v>0.93300560910926733</v>
      </c>
      <c r="I17" s="16">
        <f t="shared" si="5"/>
        <v>0.2670999192616117</v>
      </c>
      <c r="J17" s="17">
        <f>'[13]دارایی فعلی'!$J$4</f>
        <v>85410</v>
      </c>
      <c r="K17" s="18">
        <f t="shared" si="6"/>
        <v>49380746</v>
      </c>
      <c r="L17" s="19">
        <f t="shared" si="7"/>
        <v>0.28627900695753561</v>
      </c>
      <c r="M17" s="20">
        <f>'[13]دارایی فعلی'!$M$4</f>
        <v>48109</v>
      </c>
      <c r="N17" s="21">
        <f t="shared" si="8"/>
        <v>172491677</v>
      </c>
      <c r="O17" s="16">
        <f>IF( (P17-M17)*Q17/سرمایه!F4&gt;0, (P17-M17)*Q17/سرمایه!F4, "Risk free")</f>
        <v>3.5751179534356615E-2</v>
      </c>
      <c r="P17" s="22">
        <f>'[13]دارایی فعلی'!$Q$4</f>
        <v>67405.891754591634</v>
      </c>
      <c r="Q17" s="23">
        <f>'[13]دارایی فعلی'!$R$4</f>
        <v>2559</v>
      </c>
      <c r="R17" s="52" t="s">
        <v>35</v>
      </c>
      <c r="S17" s="76" t="s">
        <v>117</v>
      </c>
      <c r="T17" s="53" t="s">
        <v>14</v>
      </c>
    </row>
    <row r="18" spans="2:20" ht="19.2" thickBot="1">
      <c r="B18" s="55" t="str">
        <f t="shared" si="0"/>
        <v>RF</v>
      </c>
      <c r="C18" s="16">
        <f t="shared" si="1"/>
        <v>-1</v>
      </c>
      <c r="D18" s="17">
        <f>'[14]دارایی فعلی'!$D$4</f>
        <v>0</v>
      </c>
      <c r="E18" s="15" t="str">
        <f t="shared" si="2"/>
        <v>RF</v>
      </c>
      <c r="F18" s="16">
        <f t="shared" si="3"/>
        <v>-1</v>
      </c>
      <c r="G18" s="17">
        <f>'[14]دارایی فعلی'!$G$4</f>
        <v>0</v>
      </c>
      <c r="H18" s="15" t="str">
        <f t="shared" si="4"/>
        <v>RF</v>
      </c>
      <c r="I18" s="16">
        <f t="shared" si="5"/>
        <v>-1</v>
      </c>
      <c r="J18" s="17">
        <f>'[14]دارایی فعلی'!$J$4</f>
        <v>0</v>
      </c>
      <c r="K18" s="18">
        <f t="shared" si="6"/>
        <v>0</v>
      </c>
      <c r="L18" s="19">
        <f t="shared" si="7"/>
        <v>0</v>
      </c>
      <c r="M18" s="20">
        <f>'[14]دارایی فعلی'!$M$4</f>
        <v>10232</v>
      </c>
      <c r="N18" s="21">
        <f t="shared" si="8"/>
        <v>0</v>
      </c>
      <c r="O18" s="16" t="str">
        <f>IF( (P18-M18)*Q18/سرمایه!F4&gt;0, (P18-M18)*Q18/سرمایه!F4, "Risk free")</f>
        <v>Risk free</v>
      </c>
      <c r="P18" s="22">
        <f>'[14]دارایی فعلی'!$Q$4</f>
        <v>1</v>
      </c>
      <c r="Q18" s="23">
        <f>'[14]دارایی فعلی'!$R$4</f>
        <v>0</v>
      </c>
      <c r="R18" s="52" t="s">
        <v>30</v>
      </c>
      <c r="S18" s="76" t="s">
        <v>110</v>
      </c>
      <c r="T18" s="53" t="s">
        <v>14</v>
      </c>
    </row>
    <row r="19" spans="2:20" ht="19.2" thickBot="1">
      <c r="B19" s="55" t="str">
        <f t="shared" si="0"/>
        <v>RF</v>
      </c>
      <c r="C19" s="16">
        <f t="shared" si="1"/>
        <v>-1</v>
      </c>
      <c r="D19" s="17">
        <f>'[15]دارایی فعلی'!$D$4</f>
        <v>0</v>
      </c>
      <c r="E19" s="15" t="str">
        <f t="shared" si="2"/>
        <v>RF</v>
      </c>
      <c r="F19" s="16">
        <f t="shared" si="3"/>
        <v>-1</v>
      </c>
      <c r="G19" s="17">
        <f>'[15]دارایی فعلی'!$G$4</f>
        <v>0</v>
      </c>
      <c r="H19" s="15" t="str">
        <f t="shared" si="4"/>
        <v>RF</v>
      </c>
      <c r="I19" s="16">
        <f t="shared" si="5"/>
        <v>-1</v>
      </c>
      <c r="J19" s="17">
        <f>'[15]دارایی فعلی'!$J$4</f>
        <v>0</v>
      </c>
      <c r="K19" s="18">
        <f t="shared" si="6"/>
        <v>0</v>
      </c>
      <c r="L19" s="19">
        <f t="shared" si="7"/>
        <v>0</v>
      </c>
      <c r="M19" s="20">
        <f>'[15]دارایی فعلی'!$M$4</f>
        <v>4722</v>
      </c>
      <c r="N19" s="21">
        <f t="shared" si="8"/>
        <v>0</v>
      </c>
      <c r="O19" s="16" t="str">
        <f>IF( (P19-M19)*Q19/سرمایه!F4&gt;0, (P19-M19)*Q19/سرمایه!F4, "Risk free")</f>
        <v>Risk free</v>
      </c>
      <c r="P19" s="22">
        <f>'[15]دارایی فعلی'!$Q$4</f>
        <v>1</v>
      </c>
      <c r="Q19" s="23">
        <f>'[15]دارایی فعلی'!$R$4</f>
        <v>0</v>
      </c>
      <c r="R19" s="52" t="s">
        <v>37</v>
      </c>
      <c r="S19" s="76" t="s">
        <v>120</v>
      </c>
      <c r="T19" s="53" t="s">
        <v>14</v>
      </c>
    </row>
    <row r="20" spans="2:20" ht="19.2" thickBot="1">
      <c r="B20" s="55" t="str">
        <f t="shared" si="0"/>
        <v>RF</v>
      </c>
      <c r="C20" s="16">
        <f t="shared" si="1"/>
        <v>-1</v>
      </c>
      <c r="D20" s="17">
        <f>'[16]دارایی فعلی'!$D$4</f>
        <v>0</v>
      </c>
      <c r="E20" s="15" t="str">
        <f t="shared" si="2"/>
        <v>RF</v>
      </c>
      <c r="F20" s="16">
        <f t="shared" si="3"/>
        <v>-1</v>
      </c>
      <c r="G20" s="17">
        <f>'[16]دارایی فعلی'!$G$4</f>
        <v>0</v>
      </c>
      <c r="H20" s="15" t="str">
        <f t="shared" si="4"/>
        <v>RF</v>
      </c>
      <c r="I20" s="16">
        <f t="shared" si="5"/>
        <v>-1</v>
      </c>
      <c r="J20" s="17">
        <f>'[16]دارایی فعلی'!$J$4</f>
        <v>0</v>
      </c>
      <c r="K20" s="18">
        <f t="shared" si="6"/>
        <v>0</v>
      </c>
      <c r="L20" s="19">
        <f t="shared" si="7"/>
        <v>0</v>
      </c>
      <c r="M20" s="20">
        <f>'[16]دارایی فعلی'!$M$4</f>
        <v>23065</v>
      </c>
      <c r="N20" s="21">
        <f t="shared" si="8"/>
        <v>0</v>
      </c>
      <c r="O20" s="16" t="str">
        <f>IF( (P20-M20)*Q20/سرمایه!F4&gt;0, (P20-M20)*Q20/سرمایه!F4, "Risk free")</f>
        <v>Risk free</v>
      </c>
      <c r="P20" s="22">
        <f>'[16]دارایی فعلی'!$Q$4</f>
        <v>1</v>
      </c>
      <c r="Q20" s="23">
        <f>'[16]دارایی فعلی'!$R$4</f>
        <v>0</v>
      </c>
      <c r="R20" s="52" t="s">
        <v>29</v>
      </c>
      <c r="S20" s="76" t="s">
        <v>109</v>
      </c>
      <c r="T20" s="53" t="s">
        <v>14</v>
      </c>
    </row>
    <row r="21" spans="2:20" ht="19.2" thickBot="1">
      <c r="B21" s="55" t="str">
        <f t="shared" si="0"/>
        <v>RF</v>
      </c>
      <c r="C21" s="16">
        <f t="shared" si="1"/>
        <v>-1</v>
      </c>
      <c r="D21" s="17">
        <f>'[17]دارایی فعلی'!$D$4</f>
        <v>0</v>
      </c>
      <c r="E21" s="15" t="str">
        <f t="shared" si="2"/>
        <v>RF</v>
      </c>
      <c r="F21" s="16">
        <f t="shared" si="3"/>
        <v>-1</v>
      </c>
      <c r="G21" s="17">
        <f>'[17]دارایی فعلی'!$G$4</f>
        <v>0</v>
      </c>
      <c r="H21" s="15" t="str">
        <f t="shared" si="4"/>
        <v>RF</v>
      </c>
      <c r="I21" s="16">
        <f t="shared" si="5"/>
        <v>-1</v>
      </c>
      <c r="J21" s="17">
        <f>'[17]دارایی فعلی'!$J$4</f>
        <v>0</v>
      </c>
      <c r="K21" s="18">
        <f t="shared" si="6"/>
        <v>0</v>
      </c>
      <c r="L21" s="19">
        <f t="shared" si="7"/>
        <v>0</v>
      </c>
      <c r="M21" s="20">
        <f>'[17]دارایی فعلی'!$M$4</f>
        <v>5707</v>
      </c>
      <c r="N21" s="21">
        <f t="shared" si="8"/>
        <v>0</v>
      </c>
      <c r="O21" s="16" t="str">
        <f>IF( (P21-M21)*Q21/سرمایه!F4&gt;0, (P21-M21)*Q21/سرمایه!F4, "Risk free")</f>
        <v>Risk free</v>
      </c>
      <c r="P21" s="22">
        <f>'[17]دارایی فعلی'!$Q$4</f>
        <v>1</v>
      </c>
      <c r="Q21" s="23">
        <f>'[17]دارایی فعلی'!$R$4</f>
        <v>0</v>
      </c>
      <c r="R21" s="52" t="s">
        <v>45</v>
      </c>
      <c r="S21" s="76" t="s">
        <v>121</v>
      </c>
      <c r="T21" s="53" t="s">
        <v>14</v>
      </c>
    </row>
    <row r="22" spans="2:20" ht="19.2" thickBot="1">
      <c r="B22" s="55" t="str">
        <f t="shared" si="0"/>
        <v>RF</v>
      </c>
      <c r="C22" s="16">
        <f t="shared" si="1"/>
        <v>-1</v>
      </c>
      <c r="D22" s="17">
        <f>'[18]دارایی فعلی'!$D$4</f>
        <v>0</v>
      </c>
      <c r="E22" s="15" t="str">
        <f t="shared" si="2"/>
        <v>RF</v>
      </c>
      <c r="F22" s="16">
        <f t="shared" si="3"/>
        <v>-1</v>
      </c>
      <c r="G22" s="17">
        <f>'[18]دارایی فعلی'!$G$4</f>
        <v>0</v>
      </c>
      <c r="H22" s="15" t="str">
        <f t="shared" si="4"/>
        <v>RF</v>
      </c>
      <c r="I22" s="16">
        <f t="shared" si="5"/>
        <v>-1</v>
      </c>
      <c r="J22" s="17">
        <f>'[18]دارایی فعلی'!$J$4</f>
        <v>0</v>
      </c>
      <c r="K22" s="18">
        <f t="shared" si="6"/>
        <v>0</v>
      </c>
      <c r="L22" s="19">
        <f t="shared" si="7"/>
        <v>0</v>
      </c>
      <c r="M22" s="20">
        <f>'[18]دارایی فعلی'!$M$4</f>
        <v>17246</v>
      </c>
      <c r="N22" s="21">
        <f t="shared" si="8"/>
        <v>0</v>
      </c>
      <c r="O22" s="16" t="str">
        <f>IF( (P22-M22)*Q22/سرمایه!F4&gt;0, (P22-M22)*Q22/سرمایه!F4, "Risk free")</f>
        <v>Risk free</v>
      </c>
      <c r="P22" s="22">
        <f>'[18]دارایی فعلی'!$Q$4</f>
        <v>1</v>
      </c>
      <c r="Q22" s="23">
        <f>'[18]دارایی فعلی'!$R$4</f>
        <v>0</v>
      </c>
      <c r="R22" s="52" t="s">
        <v>43</v>
      </c>
      <c r="S22" s="76" t="s">
        <v>115</v>
      </c>
      <c r="T22" s="53" t="s">
        <v>14</v>
      </c>
    </row>
    <row r="23" spans="2:20" ht="19.2" thickBot="1">
      <c r="B23" s="55" t="str">
        <f t="shared" si="0"/>
        <v>RF</v>
      </c>
      <c r="C23" s="16">
        <f t="shared" si="1"/>
        <v>-1</v>
      </c>
      <c r="D23" s="17">
        <f>'[19]دارایی فعلی'!$D$4</f>
        <v>0</v>
      </c>
      <c r="E23" s="15" t="str">
        <f t="shared" si="2"/>
        <v>RF</v>
      </c>
      <c r="F23" s="16">
        <f t="shared" si="3"/>
        <v>-1</v>
      </c>
      <c r="G23" s="17">
        <f>'[19]دارایی فعلی'!$G$4</f>
        <v>0</v>
      </c>
      <c r="H23" s="15" t="str">
        <f t="shared" si="4"/>
        <v>RF</v>
      </c>
      <c r="I23" s="16">
        <f t="shared" si="5"/>
        <v>-1</v>
      </c>
      <c r="J23" s="17">
        <f>'[19]دارایی فعلی'!$J$4</f>
        <v>0</v>
      </c>
      <c r="K23" s="18">
        <f t="shared" si="6"/>
        <v>0</v>
      </c>
      <c r="L23" s="19">
        <f t="shared" si="7"/>
        <v>0</v>
      </c>
      <c r="M23" s="20">
        <f>'[19]دارایی فعلی'!$M$4</f>
        <v>29923</v>
      </c>
      <c r="N23" s="21">
        <f t="shared" si="8"/>
        <v>0</v>
      </c>
      <c r="O23" s="16" t="str">
        <f>IF( (P23-M23)*Q23/سرمایه!F4&gt;0, (P23-M23)*Q23/سرمایه!F4, "Risk free")</f>
        <v>Risk free</v>
      </c>
      <c r="P23" s="22">
        <f>'[19]دارایی فعلی'!$Q$4</f>
        <v>1</v>
      </c>
      <c r="Q23" s="23">
        <f>'[19]دارایی فعلی'!$R$4</f>
        <v>0</v>
      </c>
      <c r="R23" s="52" t="s">
        <v>44</v>
      </c>
      <c r="S23" s="76" t="s">
        <v>118</v>
      </c>
      <c r="T23" s="53" t="s">
        <v>14</v>
      </c>
    </row>
    <row r="24" spans="2:20" ht="19.2" hidden="1" thickBot="1">
      <c r="B24" s="55">
        <f t="shared" si="0"/>
        <v>5.9123729580138109</v>
      </c>
      <c r="C24" s="16">
        <f t="shared" si="1"/>
        <v>1.4243686185787445</v>
      </c>
      <c r="D24" s="17">
        <f>'[20]دارایی فعلی'!$D$4</f>
        <v>67750</v>
      </c>
      <c r="E24" s="15">
        <f t="shared" si="2"/>
        <v>3.5233361344821246</v>
      </c>
      <c r="F24" s="16">
        <f t="shared" si="3"/>
        <v>0.84881814092235319</v>
      </c>
      <c r="G24" s="17">
        <f>'[20]دارایی فعلی'!$G$4</f>
        <v>51666</v>
      </c>
      <c r="H24" s="15">
        <f t="shared" si="4"/>
        <v>2.5703356209420032</v>
      </c>
      <c r="I24" s="16">
        <f t="shared" si="5"/>
        <v>0.61922774894004728</v>
      </c>
      <c r="J24" s="17">
        <f>'[20]دارایی فعلی'!$J$4</f>
        <v>45250</v>
      </c>
      <c r="K24" s="18">
        <f t="shared" si="6"/>
        <v>29057126</v>
      </c>
      <c r="L24" s="19">
        <f t="shared" si="7"/>
        <v>0.24091318810463602</v>
      </c>
      <c r="M24" s="20">
        <f>'[20]دارایی فعلی'!$M$4</f>
        <v>21213</v>
      </c>
      <c r="N24" s="21">
        <f t="shared" si="8"/>
        <v>120612434</v>
      </c>
      <c r="O24" s="16">
        <f>IF( (P24-M24)*Q24/سرمایه!F4&gt;0, (P24-M24)*Q24/سرمایه!F4, "Risk free")</f>
        <v>2.1037076442272085E-2</v>
      </c>
      <c r="P24" s="22">
        <f>'[20]دارایی فعلی'!$Q$4</f>
        <v>27945.420296570897</v>
      </c>
      <c r="Q24" s="23">
        <f>'[20]دارایی فعلی'!$R$4</f>
        <v>4316</v>
      </c>
      <c r="R24" s="52" t="s">
        <v>36</v>
      </c>
      <c r="S24" s="76" t="s">
        <v>119</v>
      </c>
      <c r="T24" s="53" t="s">
        <v>14</v>
      </c>
    </row>
    <row r="25" spans="2:20" ht="19.2" thickBot="1">
      <c r="B25" s="55" t="str">
        <f t="shared" si="0"/>
        <v>RF</v>
      </c>
      <c r="C25" s="16">
        <f t="shared" si="1"/>
        <v>-1</v>
      </c>
      <c r="D25" s="17">
        <f>'[21]دارایی فعلی'!$D$4</f>
        <v>0</v>
      </c>
      <c r="E25" s="15" t="str">
        <f t="shared" si="2"/>
        <v>RF</v>
      </c>
      <c r="F25" s="16">
        <f t="shared" si="3"/>
        <v>-1</v>
      </c>
      <c r="G25" s="17">
        <f>'[21]دارایی فعلی'!$G$4</f>
        <v>0</v>
      </c>
      <c r="H25" s="15" t="str">
        <f t="shared" si="4"/>
        <v>RF</v>
      </c>
      <c r="I25" s="16">
        <f t="shared" si="5"/>
        <v>-1</v>
      </c>
      <c r="J25" s="17">
        <f>'[21]دارایی فعلی'!$J$4</f>
        <v>0</v>
      </c>
      <c r="K25" s="18">
        <f t="shared" si="6"/>
        <v>0</v>
      </c>
      <c r="L25" s="19">
        <f t="shared" si="7"/>
        <v>0</v>
      </c>
      <c r="M25" s="20">
        <f>'[21]دارایی فعلی'!$M$4</f>
        <v>4443</v>
      </c>
      <c r="N25" s="21">
        <f t="shared" si="8"/>
        <v>5940291</v>
      </c>
      <c r="O25" s="16" t="str">
        <f>IF( (P25-M25)*Q25/سرمایه!F4&gt;0, (P25-M25)*Q25/سرمایه!F4, "Risk free")</f>
        <v>Risk free</v>
      </c>
      <c r="P25" s="22">
        <f>'[21]دارایی فعلی'!$Q$4</f>
        <v>4443</v>
      </c>
      <c r="Q25" s="23">
        <f>'[21]دارایی فعلی'!$R$4</f>
        <v>1337</v>
      </c>
      <c r="R25" s="52" t="s">
        <v>38</v>
      </c>
      <c r="S25" s="76" t="s">
        <v>112</v>
      </c>
      <c r="T25" s="53" t="s">
        <v>14</v>
      </c>
    </row>
    <row r="26" spans="2:20" ht="19.2" thickBot="1">
      <c r="B26" s="55" t="str">
        <f t="shared" si="0"/>
        <v>RF</v>
      </c>
      <c r="C26" s="16">
        <f t="shared" si="1"/>
        <v>-1</v>
      </c>
      <c r="D26" s="17">
        <f>'[22]دارایی فعلی'!$D$4</f>
        <v>0</v>
      </c>
      <c r="E26" s="15" t="str">
        <f t="shared" si="2"/>
        <v>RF</v>
      </c>
      <c r="F26" s="16">
        <f t="shared" si="3"/>
        <v>-1</v>
      </c>
      <c r="G26" s="17">
        <f>'[22]دارایی فعلی'!$G$4</f>
        <v>0</v>
      </c>
      <c r="H26" s="15" t="str">
        <f t="shared" si="4"/>
        <v>RF</v>
      </c>
      <c r="I26" s="16">
        <f t="shared" si="5"/>
        <v>-1</v>
      </c>
      <c r="J26" s="17">
        <f>'[22]دارایی فعلی'!$J$4</f>
        <v>0</v>
      </c>
      <c r="K26" s="18">
        <f t="shared" si="6"/>
        <v>0</v>
      </c>
      <c r="L26" s="19">
        <f t="shared" si="7"/>
        <v>0</v>
      </c>
      <c r="M26" s="20">
        <f>'[22]دارایی فعلی'!$M$4</f>
        <v>13310</v>
      </c>
      <c r="N26" s="21">
        <f t="shared" si="8"/>
        <v>2675310</v>
      </c>
      <c r="O26" s="16" t="str">
        <f>IF( (P26-M26)*Q26/سرمایه!F4&gt;0, (P26-M26)*Q26/سرمایه!F4, "Risk free")</f>
        <v>Risk free</v>
      </c>
      <c r="P26" s="22">
        <f>'[22]دارایی فعلی'!$Q$4</f>
        <v>13310</v>
      </c>
      <c r="Q26" s="23">
        <f>'[22]دارایی فعلی'!$R$4</f>
        <v>201</v>
      </c>
      <c r="R26" s="52" t="s">
        <v>40</v>
      </c>
      <c r="S26" s="76" t="s">
        <v>104</v>
      </c>
      <c r="T26" s="53" t="s">
        <v>14</v>
      </c>
    </row>
    <row r="27" spans="2:20" ht="19.2" thickBot="1">
      <c r="B27" s="55" t="str">
        <f t="shared" si="0"/>
        <v>RF</v>
      </c>
      <c r="C27" s="16">
        <f t="shared" si="1"/>
        <v>-1</v>
      </c>
      <c r="D27" s="17">
        <f>'[23]دارایی فعلی'!$D$4</f>
        <v>0</v>
      </c>
      <c r="E27" s="15" t="str">
        <f t="shared" si="2"/>
        <v>RF</v>
      </c>
      <c r="F27" s="16">
        <f t="shared" si="3"/>
        <v>-1</v>
      </c>
      <c r="G27" s="17">
        <f>'[23]دارایی فعلی'!$G$4</f>
        <v>0</v>
      </c>
      <c r="H27" s="15" t="str">
        <f t="shared" si="4"/>
        <v>RF</v>
      </c>
      <c r="I27" s="16">
        <f t="shared" si="5"/>
        <v>-1</v>
      </c>
      <c r="J27" s="17">
        <f>'[23]دارایی فعلی'!$J$4</f>
        <v>0</v>
      </c>
      <c r="K27" s="18">
        <f t="shared" si="6"/>
        <v>0</v>
      </c>
      <c r="L27" s="19">
        <f t="shared" si="7"/>
        <v>0</v>
      </c>
      <c r="M27" s="20">
        <f>'[23]دارایی فعلی'!$M$4</f>
        <v>3450</v>
      </c>
      <c r="N27" s="21">
        <f t="shared" si="8"/>
        <v>1449000</v>
      </c>
      <c r="O27" s="16" t="str">
        <f>IF( (P27-M27)*Q27/سرمایه!F4&gt;0, (P27-M27)*Q27/سرمایه!F4, "Risk free")</f>
        <v>Risk free</v>
      </c>
      <c r="P27" s="22">
        <f>'[23]دارایی فعلی'!$Q$4</f>
        <v>3450</v>
      </c>
      <c r="Q27" s="23">
        <f>'[23]دارایی فعلی'!$R$4</f>
        <v>420</v>
      </c>
      <c r="R27" s="52" t="s">
        <v>39</v>
      </c>
      <c r="S27" s="76" t="s">
        <v>101</v>
      </c>
      <c r="T27" s="53" t="s">
        <v>14</v>
      </c>
    </row>
    <row r="28" spans="2:20" ht="19.2" thickBot="1">
      <c r="B28" s="55" t="str">
        <f t="shared" si="0"/>
        <v>RF</v>
      </c>
      <c r="C28" s="16">
        <f t="shared" si="1"/>
        <v>-1</v>
      </c>
      <c r="D28" s="17">
        <f>'[24]دارایی فعلی'!$D$4</f>
        <v>0</v>
      </c>
      <c r="E28" s="15" t="str">
        <f t="shared" si="2"/>
        <v>RF</v>
      </c>
      <c r="F28" s="16">
        <f t="shared" si="3"/>
        <v>-1</v>
      </c>
      <c r="G28" s="17">
        <f>'[24]دارایی فعلی'!$G$4</f>
        <v>0</v>
      </c>
      <c r="H28" s="15" t="str">
        <f t="shared" si="4"/>
        <v>RF</v>
      </c>
      <c r="I28" s="16">
        <f t="shared" si="5"/>
        <v>-1</v>
      </c>
      <c r="J28" s="17">
        <f>'[24]دارایی فعلی'!$J$4</f>
        <v>0</v>
      </c>
      <c r="K28" s="18">
        <f t="shared" si="6"/>
        <v>0</v>
      </c>
      <c r="L28" s="19">
        <f t="shared" si="7"/>
        <v>0</v>
      </c>
      <c r="M28" s="20">
        <f>'[24]دارایی فعلی'!$M$4</f>
        <v>23838</v>
      </c>
      <c r="N28" s="21">
        <f t="shared" si="8"/>
        <v>882006</v>
      </c>
      <c r="O28" s="16" t="str">
        <f>IF( (P28-M28)*Q28/سرمایه!F4&gt;0, (P28-M28)*Q28/سرمایه!F4, "Risk free")</f>
        <v>Risk free</v>
      </c>
      <c r="P28" s="22">
        <f>'[24]دارایی فعلی'!$Q$4</f>
        <v>23838</v>
      </c>
      <c r="Q28" s="23">
        <f>'[24]دارایی فعلی'!$R$4</f>
        <v>37</v>
      </c>
      <c r="R28" s="52" t="s">
        <v>41</v>
      </c>
      <c r="S28" s="76" t="s">
        <v>105</v>
      </c>
      <c r="T28" s="53" t="s">
        <v>14</v>
      </c>
    </row>
    <row r="29" spans="2:20" ht="19.2" hidden="1" thickBot="1">
      <c r="B29" s="55">
        <f t="shared" ref="B29:B30" si="9">IF(L29&gt;0, C29/L29,"RF")</f>
        <v>-17.199017773620199</v>
      </c>
      <c r="C29" s="16">
        <f t="shared" ref="C29:C30" si="10">(D29/P29)-1</f>
        <v>-1</v>
      </c>
      <c r="D29" s="17">
        <f>'[25]دارایی فعلی'!$D$4</f>
        <v>0</v>
      </c>
      <c r="E29" s="15">
        <f t="shared" ref="E29:E30" si="11">IF(L29&gt;0, F29/L29,"RF")</f>
        <v>-17.199017773620199</v>
      </c>
      <c r="F29" s="16">
        <f t="shared" ref="F29:F30" si="12">(G29/P29)-1</f>
        <v>-1</v>
      </c>
      <c r="G29" s="17">
        <f>'[25]دارایی فعلی'!$G$4</f>
        <v>0</v>
      </c>
      <c r="H29" s="15">
        <f t="shared" ref="H29:H30" si="13">IF(L29&gt;0, I29/L29,"RF")</f>
        <v>5.4389616463985018</v>
      </c>
      <c r="I29" s="16">
        <f t="shared" ref="I29:I30" si="14">(J29/P29)-1</f>
        <v>0.31623675944685425</v>
      </c>
      <c r="J29" s="17">
        <f>'[25]دارایی فعلی'!$J$4</f>
        <v>96800</v>
      </c>
      <c r="K29" s="18">
        <f t="shared" ref="K29:K30" si="15">IF(L29&gt;0, N29-M29*Q29, 0)</f>
        <v>5789704</v>
      </c>
      <c r="L29" s="19">
        <f t="shared" ref="L29:L30" si="16">IF(1-(M29/P29)&gt;0, 1-(M29/P29), 0)</f>
        <v>5.8142855200359E-2</v>
      </c>
      <c r="M29" s="20">
        <f>'[25]دارایی فعلی'!$M$4</f>
        <v>69267</v>
      </c>
      <c r="N29" s="21">
        <f t="shared" ref="N29:N30" si="17">Q29*P29</f>
        <v>99577222</v>
      </c>
      <c r="O29" s="16">
        <f>IF( (P29-M29)*Q29/سرمایه!F4&gt;0, (P29-M29)*Q29/سرمایه!F4, "Risk free")</f>
        <v>4.1916893510434748E-3</v>
      </c>
      <c r="P29" s="22">
        <f>'[25]دارایی فعلی'!$Q$4</f>
        <v>73543</v>
      </c>
      <c r="Q29" s="23">
        <f>'[25]دارایی فعلی'!$R$4</f>
        <v>1354</v>
      </c>
      <c r="R29" s="52" t="s">
        <v>140</v>
      </c>
      <c r="S29" s="76" t="s">
        <v>141</v>
      </c>
      <c r="T29" s="53" t="s">
        <v>14</v>
      </c>
    </row>
    <row r="30" spans="2:20" ht="19.2" hidden="1" thickBot="1">
      <c r="B30" s="55">
        <f t="shared" si="9"/>
        <v>-4.0704815073272851</v>
      </c>
      <c r="C30" s="16">
        <f t="shared" si="10"/>
        <v>-1</v>
      </c>
      <c r="D30" s="17">
        <f>'[26]دارایی فعلی'!$D$4</f>
        <v>0</v>
      </c>
      <c r="E30" s="15">
        <f t="shared" si="11"/>
        <v>6.5157013258897418</v>
      </c>
      <c r="F30" s="16">
        <f t="shared" si="12"/>
        <v>1.6007200411452085</v>
      </c>
      <c r="G30" s="17">
        <f>'[26]دارایی فعلی'!$G$4</f>
        <v>30340</v>
      </c>
      <c r="H30" s="15">
        <f t="shared" si="13"/>
        <v>1.0481507327285411</v>
      </c>
      <c r="I30" s="16">
        <f t="shared" si="14"/>
        <v>0.25750042859591971</v>
      </c>
      <c r="J30" s="17">
        <f>'[26]دارایی فعلی'!$J$4</f>
        <v>14670</v>
      </c>
      <c r="K30" s="18">
        <f t="shared" si="15"/>
        <v>24487104</v>
      </c>
      <c r="L30" s="19">
        <f t="shared" si="16"/>
        <v>0.24567118121035492</v>
      </c>
      <c r="M30" s="20">
        <f>'[26]دارایی فعلی'!$M$4</f>
        <v>8800</v>
      </c>
      <c r="N30" s="21">
        <f t="shared" si="17"/>
        <v>99674304</v>
      </c>
      <c r="O30" s="16">
        <f>IF( (P30-M30)*Q30/سرمایه!F4&gt;0, (P30-M30)*Q30/سرمایه!F4, "Risk free")</f>
        <v>1.7728424989376674E-2</v>
      </c>
      <c r="P30" s="22">
        <f>'[26]دارایی فعلی'!$Q$4</f>
        <v>11666</v>
      </c>
      <c r="Q30" s="23">
        <f>'[26]دارایی فعلی'!$R$4</f>
        <v>8544</v>
      </c>
      <c r="R30" s="52" t="s">
        <v>142</v>
      </c>
      <c r="S30" s="76" t="s">
        <v>143</v>
      </c>
      <c r="T30" s="53" t="s">
        <v>14</v>
      </c>
    </row>
    <row r="31" spans="2:20" ht="19.2" thickBot="1">
      <c r="B31" s="55" t="str">
        <f t="shared" si="0"/>
        <v>RF</v>
      </c>
      <c r="C31" s="16">
        <f t="shared" si="1"/>
        <v>-1</v>
      </c>
      <c r="D31" s="17">
        <f>'[27]دارایی فعلی'!$D$4</f>
        <v>0</v>
      </c>
      <c r="E31" s="15" t="str">
        <f t="shared" si="2"/>
        <v>RF</v>
      </c>
      <c r="F31" s="16">
        <f t="shared" si="3"/>
        <v>-1</v>
      </c>
      <c r="G31" s="17">
        <f>'[27]دارایی فعلی'!$G$4</f>
        <v>0</v>
      </c>
      <c r="H31" s="15" t="str">
        <f t="shared" si="4"/>
        <v>RF</v>
      </c>
      <c r="I31" s="16">
        <f t="shared" si="5"/>
        <v>-1</v>
      </c>
      <c r="J31" s="17">
        <f>'[27]دارایی فعلی'!$J$4</f>
        <v>0</v>
      </c>
      <c r="K31" s="18">
        <f t="shared" si="6"/>
        <v>0</v>
      </c>
      <c r="L31" s="19">
        <f t="shared" si="7"/>
        <v>0</v>
      </c>
      <c r="M31" s="20">
        <f>'[27]دارایی فعلی'!$M$4</f>
        <v>20185</v>
      </c>
      <c r="N31" s="21">
        <f t="shared" si="8"/>
        <v>423885</v>
      </c>
      <c r="O31" s="16" t="str">
        <f>IF( (P31-M31)*Q31/سرمایه!F4&gt;0, (P31-M31)*Q31/سرمایه!F4, "Risk free")</f>
        <v>Risk free</v>
      </c>
      <c r="P31" s="22">
        <f>'[27]دارایی فعلی'!$Q$4</f>
        <v>20185</v>
      </c>
      <c r="Q31" s="23">
        <f>'[27]دارایی فعلی'!$R$4</f>
        <v>21</v>
      </c>
      <c r="R31" s="52" t="s">
        <v>42</v>
      </c>
      <c r="S31" s="76" t="s">
        <v>111</v>
      </c>
      <c r="T31" s="53" t="s">
        <v>14</v>
      </c>
    </row>
  </sheetData>
  <mergeCells count="9">
    <mergeCell ref="S2:S3"/>
    <mergeCell ref="T2:T3"/>
    <mergeCell ref="K2:M2"/>
    <mergeCell ref="B2:J2"/>
    <mergeCell ref="R2:R3"/>
    <mergeCell ref="Q2:Q3"/>
    <mergeCell ref="N2:N3"/>
    <mergeCell ref="O2:O3"/>
    <mergeCell ref="P2:P3"/>
  </mergeCells>
  <hyperlinks>
    <hyperlink ref="S10" r:id="rId1"/>
    <hyperlink ref="S27" r:id="rId2"/>
    <hyperlink ref="S16" r:id="rId3"/>
    <hyperlink ref="S15" r:id="rId4"/>
    <hyperlink ref="S26" r:id="rId5"/>
    <hyperlink ref="S28" r:id="rId6"/>
    <hyperlink ref="S13" r:id="rId7"/>
    <hyperlink ref="S11" r:id="rId8"/>
    <hyperlink ref="S6" r:id="rId9"/>
    <hyperlink ref="S20" r:id="rId10"/>
    <hyperlink ref="S18" r:id="rId11"/>
    <hyperlink ref="S31" r:id="rId12"/>
    <hyperlink ref="S25" r:id="rId13"/>
    <hyperlink ref="S7" r:id="rId14"/>
    <hyperlink ref="S14" r:id="rId15"/>
    <hyperlink ref="S5" r:id="rId16"/>
    <hyperlink ref="S22" r:id="rId17"/>
    <hyperlink ref="S9" r:id="rId18"/>
    <hyperlink ref="S17" r:id="rId19"/>
    <hyperlink ref="S23" r:id="rId20"/>
    <hyperlink ref="S24" r:id="rId21"/>
    <hyperlink ref="S19" r:id="rId22"/>
    <hyperlink ref="S21" r:id="rId23"/>
    <hyperlink ref="S8" r:id="rId24"/>
    <hyperlink ref="S12" r:id="rId25"/>
    <hyperlink ref="S29" r:id="rId26"/>
    <hyperlink ref="S30" r:id="rId27"/>
  </hyperlinks>
  <pageMargins left="0.7" right="0.7" top="0.75" bottom="0.75" header="0.3" footer="0.3"/>
  <pageSetup orientation="portrait" horizontalDpi="300" verticalDpi="0" copies="0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I4" sqref="I4:I5"/>
    </sheetView>
  </sheetViews>
  <sheetFormatPr defaultRowHeight="16.8"/>
  <cols>
    <col min="1" max="1" width="4.109375" style="14" customWidth="1"/>
    <col min="2" max="2" width="7.44140625" style="14" customWidth="1"/>
    <col min="3" max="3" width="11.44140625" style="14" customWidth="1"/>
    <col min="4" max="4" width="7.44140625" style="14" customWidth="1"/>
    <col min="5" max="5" width="12.21875" style="14" bestFit="1" customWidth="1"/>
    <col min="6" max="6" width="27.21875" style="14" bestFit="1" customWidth="1"/>
    <col min="7" max="7" width="7.5546875" style="14" customWidth="1"/>
    <col min="8" max="8" width="11.109375" style="14" customWidth="1"/>
    <col min="9" max="9" width="20" style="14" bestFit="1" customWidth="1"/>
    <col min="10" max="10" width="11.6640625" style="14" bestFit="1" customWidth="1"/>
    <col min="11" max="11" width="11.44140625" style="14" bestFit="1" customWidth="1"/>
    <col min="12" max="12" width="14.44140625" style="14" customWidth="1"/>
    <col min="13" max="13" width="17.33203125" style="14" customWidth="1"/>
    <col min="14" max="14" width="13.88671875" style="14" customWidth="1"/>
    <col min="15" max="15" width="12.109375" style="14" bestFit="1" customWidth="1"/>
    <col min="16" max="16384" width="8.88671875" style="14"/>
  </cols>
  <sheetData>
    <row r="1" spans="2:15" ht="17.399999999999999" thickBot="1"/>
    <row r="2" spans="2:15" ht="14.4" customHeight="1">
      <c r="B2" s="126" t="s">
        <v>97</v>
      </c>
      <c r="C2" s="127"/>
      <c r="D2" s="132" t="s">
        <v>67</v>
      </c>
      <c r="E2" s="133"/>
      <c r="F2" s="138" t="s">
        <v>96</v>
      </c>
      <c r="G2" s="134" t="s">
        <v>71</v>
      </c>
      <c r="H2" s="135"/>
      <c r="I2" s="136" t="s">
        <v>20</v>
      </c>
      <c r="J2" s="156" t="s">
        <v>92</v>
      </c>
      <c r="K2" s="157"/>
      <c r="L2" s="157"/>
      <c r="M2" s="158"/>
      <c r="N2" s="161" t="s">
        <v>68</v>
      </c>
      <c r="O2" s="146" t="s">
        <v>19</v>
      </c>
    </row>
    <row r="3" spans="2:15" ht="14.4" customHeight="1">
      <c r="B3" s="73" t="s">
        <v>69</v>
      </c>
      <c r="C3" s="74" t="s">
        <v>70</v>
      </c>
      <c r="D3" s="71" t="s">
        <v>69</v>
      </c>
      <c r="E3" s="72" t="s">
        <v>70</v>
      </c>
      <c r="F3" s="139"/>
      <c r="G3" s="69" t="s">
        <v>69</v>
      </c>
      <c r="H3" s="70" t="s">
        <v>70</v>
      </c>
      <c r="I3" s="137"/>
      <c r="J3" s="67" t="s">
        <v>95</v>
      </c>
      <c r="K3" s="50" t="s">
        <v>94</v>
      </c>
      <c r="L3" s="50" t="s">
        <v>91</v>
      </c>
      <c r="M3" s="68" t="s">
        <v>93</v>
      </c>
      <c r="N3" s="162"/>
      <c r="O3" s="147"/>
    </row>
    <row r="4" spans="2:15" ht="16.8" customHeight="1">
      <c r="B4" s="122">
        <f>C4/'واریز و برداشت'!C32</f>
        <v>0.13186769662498896</v>
      </c>
      <c r="C4" s="124">
        <f>N4-'واریز و برداشت'!C32</f>
        <v>179231225</v>
      </c>
      <c r="D4" s="128">
        <f>E4/'واریز و برداشت'!C32</f>
        <v>1.6230016992614376E-2</v>
      </c>
      <c r="E4" s="130">
        <f>F4-'واریز و برداشت'!C32</f>
        <v>22059427</v>
      </c>
      <c r="F4" s="140">
        <f>M4+O4</f>
        <v>1381234036</v>
      </c>
      <c r="G4" s="142">
        <f>(F4-I4)/F4*100</f>
        <v>14.942222289691678</v>
      </c>
      <c r="H4" s="144">
        <f>SUM(پرتفوی!K5:K31)</f>
        <v>206387060</v>
      </c>
      <c r="I4" s="150">
        <f>O4+M4-SUM(پرتفوی!K5:K31)</f>
        <v>1174846976</v>
      </c>
      <c r="J4" s="159">
        <f>K4/M4</f>
        <v>0.14290721559891381</v>
      </c>
      <c r="K4" s="154">
        <f>L4-M4</f>
        <v>157171798</v>
      </c>
      <c r="L4" s="154">
        <f>N4-O4</f>
        <v>1256988888</v>
      </c>
      <c r="M4" s="152">
        <f>SUMPRODUCT(پرتفوی!P5:P31*پرتفوی!Q5:Q31)</f>
        <v>1099817090</v>
      </c>
      <c r="N4" s="163">
        <v>1538405834</v>
      </c>
      <c r="O4" s="148">
        <v>281416946</v>
      </c>
    </row>
    <row r="5" spans="2:15" ht="17.399999999999999" customHeight="1" thickBot="1">
      <c r="B5" s="123"/>
      <c r="C5" s="125"/>
      <c r="D5" s="129"/>
      <c r="E5" s="131"/>
      <c r="F5" s="141"/>
      <c r="G5" s="143"/>
      <c r="H5" s="145"/>
      <c r="I5" s="151"/>
      <c r="J5" s="160"/>
      <c r="K5" s="155"/>
      <c r="L5" s="155"/>
      <c r="M5" s="153"/>
      <c r="N5" s="164"/>
      <c r="O5" s="149"/>
    </row>
    <row r="8" spans="2:15">
      <c r="M8" s="94"/>
      <c r="N8" s="96"/>
    </row>
    <row r="10" spans="2:15">
      <c r="N10" s="98"/>
    </row>
    <row r="11" spans="2:15">
      <c r="N11" s="97"/>
    </row>
  </sheetData>
  <mergeCells count="22">
    <mergeCell ref="O2:O3"/>
    <mergeCell ref="O4:O5"/>
    <mergeCell ref="I4:I5"/>
    <mergeCell ref="M4:M5"/>
    <mergeCell ref="L4:L5"/>
    <mergeCell ref="J2:M2"/>
    <mergeCell ref="J4:J5"/>
    <mergeCell ref="K4:K5"/>
    <mergeCell ref="N2:N3"/>
    <mergeCell ref="N4:N5"/>
    <mergeCell ref="G2:H2"/>
    <mergeCell ref="I2:I3"/>
    <mergeCell ref="F2:F3"/>
    <mergeCell ref="F4:F5"/>
    <mergeCell ref="G4:G5"/>
    <mergeCell ref="H4:H5"/>
    <mergeCell ref="B4:B5"/>
    <mergeCell ref="C4:C5"/>
    <mergeCell ref="B2:C2"/>
    <mergeCell ref="D4:D5"/>
    <mergeCell ref="E4:E5"/>
    <mergeCell ref="D2:E2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zoomScaleNormal="100" workbookViewId="0">
      <selection activeCell="N2" sqref="N2"/>
    </sheetView>
  </sheetViews>
  <sheetFormatPr defaultRowHeight="16.8"/>
  <cols>
    <col min="1" max="1" width="8.88671875" style="14"/>
    <col min="2" max="2" width="13.44140625" style="14" bestFit="1" customWidth="1"/>
    <col min="3" max="3" width="12.44140625" style="14" bestFit="1" customWidth="1"/>
    <col min="4" max="4" width="13.44140625" style="14" bestFit="1" customWidth="1"/>
    <col min="5" max="5" width="10.109375" style="14" customWidth="1"/>
    <col min="6" max="6" width="13.6640625" style="14" bestFit="1" customWidth="1"/>
    <col min="7" max="7" width="12.44140625" style="14" bestFit="1" customWidth="1"/>
    <col min="8" max="8" width="11.109375" style="14" customWidth="1"/>
    <col min="9" max="9" width="2.77734375" style="14" customWidth="1"/>
    <col min="10" max="10" width="8.88671875" style="14"/>
    <col min="11" max="11" width="13.44140625" style="14" bestFit="1" customWidth="1"/>
    <col min="12" max="16384" width="8.88671875" style="14"/>
  </cols>
  <sheetData>
    <row r="2" spans="2:11" ht="17.399999999999999" thickBot="1"/>
    <row r="3" spans="2:11" ht="18.600000000000001">
      <c r="B3" s="165" t="s">
        <v>56</v>
      </c>
      <c r="C3" s="166"/>
      <c r="D3" s="111" t="s">
        <v>126</v>
      </c>
      <c r="E3" s="112"/>
      <c r="F3" s="113"/>
      <c r="G3" s="104" t="s">
        <v>125</v>
      </c>
      <c r="H3" s="167" t="s">
        <v>0</v>
      </c>
      <c r="J3" s="99" t="s">
        <v>147</v>
      </c>
      <c r="K3" s="102" t="s">
        <v>146</v>
      </c>
    </row>
    <row r="4" spans="2:11" ht="19.2" thickBot="1">
      <c r="B4" s="89" t="s">
        <v>69</v>
      </c>
      <c r="C4" s="90" t="s">
        <v>70</v>
      </c>
      <c r="D4" s="86" t="s">
        <v>66</v>
      </c>
      <c r="E4" s="87" t="s">
        <v>50</v>
      </c>
      <c r="F4" s="88" t="s">
        <v>48</v>
      </c>
      <c r="G4" s="169"/>
      <c r="H4" s="168"/>
      <c r="J4" s="79">
        <f>G8-K4</f>
        <v>5380834</v>
      </c>
      <c r="K4" s="80">
        <v>1533025000</v>
      </c>
    </row>
    <row r="5" spans="2:11">
      <c r="B5" s="82" t="s">
        <v>74</v>
      </c>
      <c r="C5" s="83" t="s">
        <v>75</v>
      </c>
      <c r="D5" s="84" t="s">
        <v>123</v>
      </c>
      <c r="E5" s="82" t="s">
        <v>76</v>
      </c>
      <c r="F5" s="83" t="s">
        <v>77</v>
      </c>
      <c r="G5" s="82" t="s">
        <v>80</v>
      </c>
      <c r="H5" s="84" t="s">
        <v>82</v>
      </c>
    </row>
    <row r="6" spans="2:11" ht="18.600000000000001">
      <c r="B6" s="81">
        <f>Table3[[#This Row],[Column4]]/(Table3[[#This Row],[Column6]]-Table3[[#This Row],[Column5]])</f>
        <v>1.2172157438205764E-2</v>
      </c>
      <c r="C6" s="78">
        <f>Table3[[#This Row],[Column9]]-(Table3[[#This Row],[Column6]]-Table3[[#This Row],[Column5]])</f>
        <v>7576240</v>
      </c>
      <c r="D6" s="93">
        <f>Table3[[#This Row],[Column6]]-Table3[[#This Row],[Column5]]</f>
        <v>622423760</v>
      </c>
      <c r="E6" s="46">
        <v>2030000</v>
      </c>
      <c r="F6" s="78">
        <v>624453760</v>
      </c>
      <c r="G6" s="77">
        <v>630000000</v>
      </c>
      <c r="H6" s="103" t="s">
        <v>122</v>
      </c>
    </row>
    <row r="7" spans="2:11" ht="18.600000000000001">
      <c r="B7" s="81">
        <f>Table3[[#This Row],[Column4]]/(G6+Table3[[#This Row],[Column42]])</f>
        <v>0.20678407079646019</v>
      </c>
      <c r="C7" s="78">
        <f>Table3[[#This Row],[Column9]]-(G6+Table3[[#This Row],[Column42]])</f>
        <v>116833000</v>
      </c>
      <c r="D7" s="75">
        <f>Table3[[#This Row],[Column6]]-Table3[[#This Row],[Column5]]</f>
        <v>-65000000</v>
      </c>
      <c r="E7" s="85">
        <v>169500000</v>
      </c>
      <c r="F7" s="78">
        <v>104500000</v>
      </c>
      <c r="G7" s="77">
        <v>681833000</v>
      </c>
      <c r="H7" s="103" t="s">
        <v>124</v>
      </c>
    </row>
    <row r="8" spans="2:11" ht="18.600000000000001">
      <c r="B8" s="81">
        <f>Table3[[#This Row],[Column4]]/(G7+Table3[[#This Row],[Column42]])</f>
        <v>3.6952400794166368E-2</v>
      </c>
      <c r="C8" s="78">
        <f>Table3[[#This Row],[Column9]]-(G7+Table3[[#This Row],[Column42]])</f>
        <v>54821985</v>
      </c>
      <c r="D8" s="95">
        <f>Table3[[#This Row],[Column6]]-Table3[[#This Row],[Column5]]</f>
        <v>801750849</v>
      </c>
      <c r="E8" s="85"/>
      <c r="F8" s="78">
        <v>801750849</v>
      </c>
      <c r="G8" s="77">
        <v>1538405834</v>
      </c>
      <c r="H8" s="103" t="s">
        <v>138</v>
      </c>
    </row>
    <row r="9" spans="2:11" ht="18.600000000000001">
      <c r="B9" s="81"/>
      <c r="C9" s="78"/>
      <c r="D9" s="75"/>
      <c r="E9" s="85"/>
      <c r="F9" s="78"/>
      <c r="G9" s="77"/>
      <c r="H9" s="103" t="s">
        <v>149</v>
      </c>
    </row>
    <row r="10" spans="2:11" ht="18.600000000000001">
      <c r="B10" s="81"/>
      <c r="C10" s="78"/>
      <c r="D10" s="75"/>
      <c r="E10" s="85"/>
      <c r="F10" s="78"/>
      <c r="G10" s="77"/>
      <c r="H10" s="103" t="s">
        <v>150</v>
      </c>
      <c r="J10" s="97"/>
    </row>
    <row r="11" spans="2:11" ht="18.600000000000001">
      <c r="B11" s="81"/>
      <c r="C11" s="78"/>
      <c r="D11" s="75"/>
      <c r="E11" s="85"/>
      <c r="F11" s="78"/>
      <c r="G11" s="77"/>
      <c r="H11" s="103" t="s">
        <v>151</v>
      </c>
      <c r="K11" s="97"/>
    </row>
    <row r="12" spans="2:11" ht="18.600000000000001">
      <c r="B12" s="81"/>
      <c r="C12" s="78"/>
      <c r="D12" s="75"/>
      <c r="E12" s="85"/>
      <c r="F12" s="78"/>
      <c r="G12" s="77"/>
      <c r="H12" s="103" t="s">
        <v>152</v>
      </c>
    </row>
    <row r="13" spans="2:11" ht="18.600000000000001">
      <c r="B13" s="81"/>
      <c r="C13" s="78"/>
      <c r="D13" s="75"/>
      <c r="E13" s="85"/>
      <c r="F13" s="78"/>
      <c r="G13" s="77"/>
      <c r="H13" s="103" t="s">
        <v>153</v>
      </c>
    </row>
    <row r="14" spans="2:11" ht="18.600000000000001">
      <c r="B14" s="81"/>
      <c r="C14" s="78"/>
      <c r="D14" s="75"/>
      <c r="E14" s="85"/>
      <c r="F14" s="78"/>
      <c r="G14" s="77"/>
      <c r="H14" s="103" t="s">
        <v>154</v>
      </c>
    </row>
    <row r="15" spans="2:11" ht="18.600000000000001">
      <c r="B15" s="81"/>
      <c r="C15" s="78"/>
      <c r="D15" s="75"/>
      <c r="E15" s="85"/>
      <c r="F15" s="78"/>
      <c r="G15" s="77"/>
      <c r="H15" s="103" t="s">
        <v>155</v>
      </c>
    </row>
    <row r="16" spans="2:11" ht="18.600000000000001">
      <c r="B16" s="81"/>
      <c r="C16" s="78"/>
      <c r="D16" s="75"/>
      <c r="E16" s="85"/>
      <c r="F16" s="78"/>
      <c r="G16" s="77"/>
      <c r="H16" s="103" t="s">
        <v>156</v>
      </c>
    </row>
    <row r="17" spans="2:8" ht="18.600000000000001">
      <c r="B17" s="81"/>
      <c r="C17" s="78"/>
      <c r="D17" s="75"/>
      <c r="E17" s="85"/>
      <c r="F17" s="78"/>
      <c r="G17" s="77"/>
      <c r="H17" s="103" t="s">
        <v>157</v>
      </c>
    </row>
    <row r="18" spans="2:8" ht="18.600000000000001">
      <c r="B18" s="81"/>
      <c r="C18" s="78"/>
      <c r="D18" s="75"/>
      <c r="E18" s="85"/>
      <c r="F18" s="78"/>
      <c r="G18" s="77"/>
      <c r="H18" s="103" t="s">
        <v>158</v>
      </c>
    </row>
    <row r="19" spans="2:8" ht="17.399999999999999" thickBot="1"/>
    <row r="20" spans="2:8" ht="19.2" thickBot="1">
      <c r="B20" s="91">
        <f>SUM(Table3[Column4])</f>
        <v>179231225</v>
      </c>
      <c r="C20" s="92" t="s">
        <v>127</v>
      </c>
    </row>
  </sheetData>
  <mergeCells count="4">
    <mergeCell ref="D3:F3"/>
    <mergeCell ref="B3:C3"/>
    <mergeCell ref="H3:H4"/>
    <mergeCell ref="G3:G4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"/>
  <sheetViews>
    <sheetView zoomScale="85" zoomScaleNormal="85" workbookViewId="0">
      <selection activeCell="E37" sqref="E37"/>
    </sheetView>
  </sheetViews>
  <sheetFormatPr defaultRowHeight="14.4"/>
  <cols>
    <col min="3" max="3" width="10" bestFit="1" customWidth="1"/>
    <col min="4" max="4" width="9" bestFit="1" customWidth="1"/>
    <col min="5" max="5" width="10" bestFit="1" customWidth="1"/>
    <col min="6" max="6" width="9.77734375" bestFit="1" customWidth="1"/>
    <col min="8" max="8" width="10" bestFit="1" customWidth="1"/>
    <col min="9" max="9" width="9.77734375" bestFit="1" customWidth="1"/>
    <col min="10" max="10" width="10" bestFit="1" customWidth="1"/>
    <col min="11" max="11" width="9.88671875" bestFit="1" customWidth="1"/>
  </cols>
  <sheetData>
    <row r="2" spans="2:25" ht="16.8" customHeight="1">
      <c r="B2" s="101" t="s">
        <v>144</v>
      </c>
      <c r="C2" s="100">
        <v>1</v>
      </c>
      <c r="D2" s="100">
        <v>2</v>
      </c>
      <c r="E2" s="100">
        <v>3</v>
      </c>
      <c r="F2" s="100">
        <v>6</v>
      </c>
      <c r="G2" s="100">
        <v>7</v>
      </c>
      <c r="H2" s="100">
        <v>8</v>
      </c>
      <c r="I2" s="100">
        <v>9</v>
      </c>
      <c r="J2" s="100">
        <v>10</v>
      </c>
      <c r="K2" s="100">
        <v>13</v>
      </c>
      <c r="L2" s="100">
        <v>14</v>
      </c>
      <c r="M2" s="100">
        <v>15</v>
      </c>
      <c r="N2" s="100">
        <v>16</v>
      </c>
      <c r="O2" s="100">
        <v>17</v>
      </c>
      <c r="P2" s="100">
        <v>20</v>
      </c>
      <c r="Q2" s="100">
        <v>21</v>
      </c>
      <c r="R2" s="100">
        <v>22</v>
      </c>
      <c r="S2" s="100">
        <v>23</v>
      </c>
      <c r="T2" s="100">
        <v>24</v>
      </c>
      <c r="U2" s="100">
        <v>27</v>
      </c>
      <c r="V2" s="100">
        <v>28</v>
      </c>
      <c r="W2" s="100">
        <v>29</v>
      </c>
      <c r="X2" s="100">
        <v>30</v>
      </c>
      <c r="Y2" s="100">
        <v>31</v>
      </c>
    </row>
    <row r="3" spans="2:25" ht="16.8" customHeight="1">
      <c r="B3" s="101" t="s">
        <v>148</v>
      </c>
      <c r="C3" s="46">
        <v>49441151</v>
      </c>
      <c r="D3" s="46">
        <v>5380834</v>
      </c>
      <c r="E3" s="46">
        <v>12345830</v>
      </c>
      <c r="F3" s="46">
        <v>16310826</v>
      </c>
      <c r="G3" s="46">
        <v>2832458</v>
      </c>
      <c r="H3" s="46">
        <v>43240818</v>
      </c>
      <c r="I3" s="46">
        <v>-8355224</v>
      </c>
      <c r="J3" s="46">
        <v>27170810</v>
      </c>
      <c r="K3" s="46">
        <v>54135806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opLeftCell="A5" workbookViewId="0">
      <selection activeCell="B2" sqref="B2:B31"/>
    </sheetView>
  </sheetViews>
  <sheetFormatPr defaultRowHeight="14.4"/>
  <cols>
    <col min="1" max="1" width="8.88671875" style="11"/>
    <col min="2" max="2" width="7.44140625" style="11" bestFit="1" customWidth="1"/>
    <col min="3" max="3" width="11" style="48" bestFit="1" customWidth="1"/>
    <col min="4" max="4" width="7" style="11" bestFit="1" customWidth="1"/>
    <col min="5" max="5" width="8.88671875" style="11"/>
    <col min="6" max="7" width="10" style="11" bestFit="1" customWidth="1"/>
    <col min="8" max="16384" width="8.88671875" style="11"/>
  </cols>
  <sheetData>
    <row r="2" spans="2:4" ht="15" customHeight="1">
      <c r="B2" s="170" t="s">
        <v>46</v>
      </c>
      <c r="C2" s="172" t="s">
        <v>47</v>
      </c>
      <c r="D2" s="173" t="s">
        <v>0</v>
      </c>
    </row>
    <row r="3" spans="2:4" ht="15" customHeight="1">
      <c r="B3" s="171"/>
      <c r="C3" s="172"/>
      <c r="D3" s="173"/>
    </row>
    <row r="4" spans="2:4" ht="15" customHeight="1">
      <c r="B4" s="45" t="s">
        <v>48</v>
      </c>
      <c r="C4" s="49">
        <v>2400000</v>
      </c>
      <c r="D4" s="46" t="s">
        <v>49</v>
      </c>
    </row>
    <row r="5" spans="2:4" ht="15" customHeight="1">
      <c r="B5" s="45" t="s">
        <v>50</v>
      </c>
      <c r="C5" s="49">
        <v>-1270000</v>
      </c>
      <c r="D5" s="46" t="s">
        <v>51</v>
      </c>
    </row>
    <row r="6" spans="2:4" ht="15" customHeight="1">
      <c r="B6" s="45" t="s">
        <v>48</v>
      </c>
      <c r="C6" s="49">
        <v>2820000</v>
      </c>
      <c r="D6" s="46" t="s">
        <v>52</v>
      </c>
    </row>
    <row r="7" spans="2:4" ht="15" customHeight="1">
      <c r="B7" s="45" t="s">
        <v>48</v>
      </c>
      <c r="C7" s="49">
        <v>27000</v>
      </c>
      <c r="D7" s="46" t="s">
        <v>52</v>
      </c>
    </row>
    <row r="8" spans="2:4" ht="15" customHeight="1">
      <c r="B8" s="45" t="s">
        <v>50</v>
      </c>
      <c r="C8" s="49">
        <v>-760000</v>
      </c>
      <c r="D8" s="46" t="s">
        <v>53</v>
      </c>
    </row>
    <row r="9" spans="2:4" ht="15" customHeight="1">
      <c r="B9" s="45" t="s">
        <v>48</v>
      </c>
      <c r="C9" s="49">
        <v>30000000</v>
      </c>
      <c r="D9" s="46" t="s">
        <v>54</v>
      </c>
    </row>
    <row r="10" spans="2:4" ht="15" customHeight="1">
      <c r="B10" s="45" t="s">
        <v>48</v>
      </c>
      <c r="C10" s="49">
        <v>3000000</v>
      </c>
      <c r="D10" s="46" t="s">
        <v>55</v>
      </c>
    </row>
    <row r="11" spans="2:4" ht="15" customHeight="1">
      <c r="B11" s="45" t="s">
        <v>56</v>
      </c>
      <c r="C11" s="49">
        <v>2465204</v>
      </c>
      <c r="D11" s="46" t="s">
        <v>57</v>
      </c>
    </row>
    <row r="12" spans="2:4" ht="15" customHeight="1">
      <c r="B12" s="45" t="s">
        <v>48</v>
      </c>
      <c r="C12" s="49">
        <v>20000000</v>
      </c>
      <c r="D12" s="46" t="s">
        <v>58</v>
      </c>
    </row>
    <row r="13" spans="2:4" ht="15" customHeight="1">
      <c r="B13" s="45" t="s">
        <v>48</v>
      </c>
      <c r="C13" s="49">
        <v>4000000</v>
      </c>
      <c r="D13" s="46" t="s">
        <v>59</v>
      </c>
    </row>
    <row r="14" spans="2:4" ht="15" customHeight="1">
      <c r="B14" s="45" t="s">
        <v>48</v>
      </c>
      <c r="C14" s="49">
        <v>18700000</v>
      </c>
      <c r="D14" s="46" t="s">
        <v>60</v>
      </c>
    </row>
    <row r="15" spans="2:4" ht="15" customHeight="1">
      <c r="B15" s="45" t="s">
        <v>48</v>
      </c>
      <c r="C15" s="49">
        <v>323000000</v>
      </c>
      <c r="D15" s="46" t="s">
        <v>61</v>
      </c>
    </row>
    <row r="16" spans="2:4" ht="15" customHeight="1">
      <c r="B16" s="45" t="s">
        <v>48</v>
      </c>
      <c r="C16" s="49">
        <v>2000000</v>
      </c>
      <c r="D16" s="46" t="s">
        <v>61</v>
      </c>
    </row>
    <row r="17" spans="2:4" ht="15" customHeight="1">
      <c r="B17" s="45" t="s">
        <v>48</v>
      </c>
      <c r="C17" s="49">
        <v>33966647</v>
      </c>
      <c r="D17" s="46" t="s">
        <v>62</v>
      </c>
    </row>
    <row r="18" spans="2:4" ht="15" customHeight="1">
      <c r="B18" s="45" t="s">
        <v>48</v>
      </c>
      <c r="C18" s="49">
        <v>10000000</v>
      </c>
      <c r="D18" s="46" t="s">
        <v>62</v>
      </c>
    </row>
    <row r="19" spans="2:4" ht="15" customHeight="1">
      <c r="B19" s="45" t="s">
        <v>48</v>
      </c>
      <c r="C19" s="49">
        <v>48800000</v>
      </c>
      <c r="D19" s="46" t="s">
        <v>62</v>
      </c>
    </row>
    <row r="20" spans="2:4" ht="15" customHeight="1">
      <c r="B20" s="45" t="s">
        <v>48</v>
      </c>
      <c r="C20" s="49">
        <v>70000000</v>
      </c>
      <c r="D20" s="46" t="s">
        <v>62</v>
      </c>
    </row>
    <row r="21" spans="2:4" ht="15" customHeight="1">
      <c r="B21" s="45" t="s">
        <v>56</v>
      </c>
      <c r="C21" s="49">
        <v>3274909</v>
      </c>
      <c r="D21" s="46" t="s">
        <v>63</v>
      </c>
    </row>
    <row r="22" spans="2:4" ht="15" customHeight="1">
      <c r="B22" s="45" t="s">
        <v>48</v>
      </c>
      <c r="C22" s="49">
        <v>50000000</v>
      </c>
      <c r="D22" s="46" t="s">
        <v>64</v>
      </c>
    </row>
    <row r="23" spans="2:4" ht="15" customHeight="1">
      <c r="B23" s="45" t="s">
        <v>50</v>
      </c>
      <c r="C23" s="49">
        <v>-10000000</v>
      </c>
      <c r="D23" s="46" t="s">
        <v>65</v>
      </c>
    </row>
    <row r="24" spans="2:4" ht="15" customHeight="1">
      <c r="B24" s="45" t="s">
        <v>48</v>
      </c>
      <c r="C24" s="49">
        <v>46500000</v>
      </c>
      <c r="D24" s="46" t="s">
        <v>128</v>
      </c>
    </row>
    <row r="25" spans="2:4" ht="15" customHeight="1">
      <c r="B25" s="46" t="s">
        <v>50</v>
      </c>
      <c r="C25" s="49">
        <v>-56500000</v>
      </c>
      <c r="D25" s="46" t="s">
        <v>133</v>
      </c>
    </row>
    <row r="26" spans="2:4" ht="15" customHeight="1">
      <c r="B26" s="46" t="s">
        <v>50</v>
      </c>
      <c r="C26" s="49">
        <v>-80000000</v>
      </c>
      <c r="D26" s="46" t="s">
        <v>134</v>
      </c>
    </row>
    <row r="27" spans="2:4" ht="15" customHeight="1">
      <c r="B27" s="46" t="s">
        <v>48</v>
      </c>
      <c r="C27" s="49">
        <v>50000000</v>
      </c>
      <c r="D27" s="46" t="s">
        <v>134</v>
      </c>
    </row>
    <row r="28" spans="2:4" ht="15" customHeight="1">
      <c r="B28" s="46" t="s">
        <v>50</v>
      </c>
      <c r="C28" s="49">
        <v>-23000000</v>
      </c>
      <c r="D28" s="46" t="s">
        <v>135</v>
      </c>
    </row>
    <row r="29" spans="2:4" ht="15" customHeight="1">
      <c r="B29" s="46" t="s">
        <v>48</v>
      </c>
      <c r="C29" s="49">
        <v>8000000</v>
      </c>
      <c r="D29" s="46" t="s">
        <v>135</v>
      </c>
    </row>
    <row r="30" spans="2:4" ht="15" customHeight="1">
      <c r="B30" s="46" t="s">
        <v>48</v>
      </c>
      <c r="C30" s="49">
        <v>800060000</v>
      </c>
      <c r="D30" s="46" t="s">
        <v>139</v>
      </c>
    </row>
    <row r="31" spans="2:4" ht="15" customHeight="1">
      <c r="B31" s="46" t="s">
        <v>56</v>
      </c>
      <c r="C31" s="49">
        <v>1690849</v>
      </c>
      <c r="D31" s="46" t="s">
        <v>145</v>
      </c>
    </row>
    <row r="32" spans="2:4" ht="15" customHeight="1">
      <c r="C32" s="49">
        <f>SUM(C4:C31)</f>
        <v>1359174609</v>
      </c>
      <c r="D32" s="47" t="s">
        <v>66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"/>
  <sheetViews>
    <sheetView tabSelected="1" topLeftCell="B1" zoomScale="91" zoomScaleNormal="91" workbookViewId="0">
      <selection activeCell="B3" sqref="B3:C4"/>
    </sheetView>
  </sheetViews>
  <sheetFormatPr defaultRowHeight="14.4"/>
  <cols>
    <col min="1" max="1" width="4.44140625" customWidth="1"/>
    <col min="2" max="2" width="11.88671875" bestFit="1" customWidth="1"/>
    <col min="3" max="3" width="8.6640625" bestFit="1" customWidth="1"/>
    <col min="4" max="4" width="11.6640625" bestFit="1" customWidth="1"/>
    <col min="5" max="5" width="8.6640625" bestFit="1" customWidth="1"/>
    <col min="6" max="6" width="11.88671875" bestFit="1" customWidth="1"/>
    <col min="7" max="7" width="8.6640625" bestFit="1" customWidth="1"/>
    <col min="8" max="8" width="11.44140625" bestFit="1" customWidth="1"/>
    <col min="9" max="9" width="8.6640625" bestFit="1" customWidth="1"/>
    <col min="10" max="10" width="11.6640625" bestFit="1" customWidth="1"/>
    <col min="11" max="11" width="8.6640625" bestFit="1" customWidth="1"/>
    <col min="12" max="12" width="12" bestFit="1" customWidth="1"/>
    <col min="13" max="13" width="8.6640625" bestFit="1" customWidth="1"/>
    <col min="14" max="14" width="11.6640625" bestFit="1" customWidth="1"/>
    <col min="15" max="15" width="8.6640625" bestFit="1" customWidth="1"/>
    <col min="16" max="16" width="11.33203125" bestFit="1" customWidth="1"/>
    <col min="17" max="17" width="8.6640625" bestFit="1" customWidth="1"/>
    <col min="18" max="18" width="11.6640625" bestFit="1" customWidth="1"/>
    <col min="19" max="19" width="8.6640625" bestFit="1" customWidth="1"/>
    <col min="20" max="20" width="10.44140625" bestFit="1" customWidth="1"/>
    <col min="21" max="21" width="8.6640625" bestFit="1" customWidth="1"/>
    <col min="22" max="22" width="8.88671875" bestFit="1" customWidth="1"/>
    <col min="23" max="23" width="7.88671875" bestFit="1" customWidth="1"/>
  </cols>
  <sheetData>
    <row r="2" spans="2:24" ht="15" thickBot="1"/>
    <row r="3" spans="2:24" ht="14.4" customHeight="1">
      <c r="B3" s="195">
        <v>0.05</v>
      </c>
      <c r="C3" s="196"/>
      <c r="D3" s="197">
        <v>4.4999999999999998E-2</v>
      </c>
      <c r="E3" s="198"/>
      <c r="F3" s="199">
        <v>0.04</v>
      </c>
      <c r="G3" s="200"/>
      <c r="H3" s="201">
        <v>3.5000000000000003E-2</v>
      </c>
      <c r="I3" s="202"/>
      <c r="J3" s="178">
        <v>0.03</v>
      </c>
      <c r="K3" s="179"/>
      <c r="L3" s="182">
        <v>2.5000000000000001E-2</v>
      </c>
      <c r="M3" s="183"/>
      <c r="N3" s="174">
        <v>0.02</v>
      </c>
      <c r="O3" s="175"/>
      <c r="P3" s="193">
        <v>1.4999999999999999E-2</v>
      </c>
      <c r="Q3" s="194"/>
      <c r="R3" s="191">
        <v>0.01</v>
      </c>
      <c r="S3" s="192"/>
      <c r="T3" s="187">
        <v>5.0000000000000001E-3</v>
      </c>
      <c r="U3" s="188"/>
      <c r="V3" s="167" t="s">
        <v>2</v>
      </c>
      <c r="W3" s="167" t="s">
        <v>90</v>
      </c>
      <c r="X3" s="167" t="s">
        <v>21</v>
      </c>
    </row>
    <row r="4" spans="2:24" ht="18.600000000000001" customHeight="1">
      <c r="B4" s="24" t="s">
        <v>23</v>
      </c>
      <c r="C4" s="25" t="s">
        <v>22</v>
      </c>
      <c r="D4" s="26" t="s">
        <v>23</v>
      </c>
      <c r="E4" s="27" t="s">
        <v>22</v>
      </c>
      <c r="F4" s="28" t="s">
        <v>23</v>
      </c>
      <c r="G4" s="29" t="s">
        <v>22</v>
      </c>
      <c r="H4" s="30" t="s">
        <v>23</v>
      </c>
      <c r="I4" s="31" t="s">
        <v>22</v>
      </c>
      <c r="J4" s="32" t="s">
        <v>23</v>
      </c>
      <c r="K4" s="33" t="s">
        <v>22</v>
      </c>
      <c r="L4" s="34" t="s">
        <v>23</v>
      </c>
      <c r="M4" s="35" t="s">
        <v>22</v>
      </c>
      <c r="N4" s="36" t="s">
        <v>23</v>
      </c>
      <c r="O4" s="37" t="s">
        <v>22</v>
      </c>
      <c r="P4" s="38" t="s">
        <v>23</v>
      </c>
      <c r="Q4" s="39" t="s">
        <v>22</v>
      </c>
      <c r="R4" s="40" t="s">
        <v>23</v>
      </c>
      <c r="S4" s="41" t="s">
        <v>22</v>
      </c>
      <c r="T4" s="42" t="s">
        <v>23</v>
      </c>
      <c r="U4" s="43" t="s">
        <v>22</v>
      </c>
      <c r="V4" s="184"/>
      <c r="W4" s="184"/>
      <c r="X4" s="184"/>
    </row>
    <row r="5" spans="2:24" ht="14.4" customHeight="1">
      <c r="B5" s="180">
        <f>C5*W5</f>
        <v>467566009.93537116</v>
      </c>
      <c r="C5" s="176">
        <f>سرمایه!I4*5/((W5-V5)*100)</f>
        <v>40080.751091703052</v>
      </c>
      <c r="D5" s="180">
        <f>E5*W5</f>
        <v>420809408.94183403</v>
      </c>
      <c r="E5" s="176">
        <f>سرمایه!I4*4.5/((W5-V5)*100)</f>
        <v>36072.675982532746</v>
      </c>
      <c r="F5" s="180">
        <f>G5*W5</f>
        <v>374052807.9482969</v>
      </c>
      <c r="G5" s="176">
        <f>سرمایه!I4*4/((W5-V5)*100)</f>
        <v>32064.60087336244</v>
      </c>
      <c r="H5" s="180">
        <f>I5*W5</f>
        <v>327296206.95475978</v>
      </c>
      <c r="I5" s="176">
        <f>سرمایه!I4*3.5/((W5-V5)*100)</f>
        <v>28056.525764192134</v>
      </c>
      <c r="J5" s="180">
        <f>K5*W5</f>
        <v>280539605.96122265</v>
      </c>
      <c r="K5" s="176">
        <f>سرمایه!I4*3/((W5-V5)*100)</f>
        <v>24048.450655021828</v>
      </c>
      <c r="L5" s="180">
        <f>M5*W5</f>
        <v>233783004.96768558</v>
      </c>
      <c r="M5" s="176">
        <f>سرمایه!I4*2.5/((W5-V5)*100)</f>
        <v>20040.375545851526</v>
      </c>
      <c r="N5" s="180">
        <f>O5*W5</f>
        <v>187026403.97414845</v>
      </c>
      <c r="O5" s="176">
        <f>سرمایه!I4*2/((W5-V5)*100)</f>
        <v>16032.30043668122</v>
      </c>
      <c r="P5" s="180">
        <f>Q5*W5</f>
        <v>140269802.98061132</v>
      </c>
      <c r="Q5" s="176">
        <f>سرمایه!I4*1.5/((W5-V5)*100)</f>
        <v>12024.225327510914</v>
      </c>
      <c r="R5" s="180">
        <f>S5*W5</f>
        <v>93513201.987074226</v>
      </c>
      <c r="S5" s="176">
        <f>سرمایه!I4*1/((W5-V5)*100)</f>
        <v>8016.1502183406101</v>
      </c>
      <c r="T5" s="180">
        <f>U5*W5</f>
        <v>46756600.993537113</v>
      </c>
      <c r="U5" s="176">
        <f>سرمایه!I4*0.5/((W5-V5)*100)</f>
        <v>4008.075109170305</v>
      </c>
      <c r="V5" s="185">
        <v>10200</v>
      </c>
      <c r="W5" s="189">
        <f>X5*1.0144</f>
        <v>11665.6</v>
      </c>
      <c r="X5" s="185">
        <v>11500</v>
      </c>
    </row>
    <row r="6" spans="2:24" ht="15" customHeight="1" thickBot="1">
      <c r="B6" s="181"/>
      <c r="C6" s="177"/>
      <c r="D6" s="181"/>
      <c r="E6" s="177"/>
      <c r="F6" s="181"/>
      <c r="G6" s="177"/>
      <c r="H6" s="181"/>
      <c r="I6" s="177"/>
      <c r="J6" s="181"/>
      <c r="K6" s="177"/>
      <c r="L6" s="181"/>
      <c r="M6" s="177"/>
      <c r="N6" s="181"/>
      <c r="O6" s="177"/>
      <c r="P6" s="181"/>
      <c r="Q6" s="177"/>
      <c r="R6" s="181"/>
      <c r="S6" s="177"/>
      <c r="T6" s="181"/>
      <c r="U6" s="177"/>
      <c r="V6" s="186"/>
      <c r="W6" s="190"/>
      <c r="X6" s="186"/>
    </row>
  </sheetData>
  <mergeCells count="36">
    <mergeCell ref="B3:C3"/>
    <mergeCell ref="B5:B6"/>
    <mergeCell ref="C5:C6"/>
    <mergeCell ref="M5:M6"/>
    <mergeCell ref="D3:E3"/>
    <mergeCell ref="F3:G3"/>
    <mergeCell ref="H3:I3"/>
    <mergeCell ref="D5:D6"/>
    <mergeCell ref="E5:E6"/>
    <mergeCell ref="F5:F6"/>
    <mergeCell ref="G5:G6"/>
    <mergeCell ref="H5:H6"/>
    <mergeCell ref="R5:R6"/>
    <mergeCell ref="S5:S6"/>
    <mergeCell ref="P5:P6"/>
    <mergeCell ref="Q5:Q6"/>
    <mergeCell ref="R3:S3"/>
    <mergeCell ref="P3:Q3"/>
    <mergeCell ref="X3:X4"/>
    <mergeCell ref="X5:X6"/>
    <mergeCell ref="U5:U6"/>
    <mergeCell ref="V3:V4"/>
    <mergeCell ref="T3:U3"/>
    <mergeCell ref="T5:T6"/>
    <mergeCell ref="V5:V6"/>
    <mergeCell ref="W3:W4"/>
    <mergeCell ref="W5:W6"/>
    <mergeCell ref="N3:O3"/>
    <mergeCell ref="I5:I6"/>
    <mergeCell ref="J3:K3"/>
    <mergeCell ref="K5:K6"/>
    <mergeCell ref="L5:L6"/>
    <mergeCell ref="L3:M3"/>
    <mergeCell ref="J5:J6"/>
    <mergeCell ref="N5:N6"/>
    <mergeCell ref="O5:O6"/>
  </mergeCells>
  <pageMargins left="0.7" right="0.7" top="0.75" bottom="0.75" header="0.3" footer="0.3"/>
  <pageSetup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F4"/>
  <sheetViews>
    <sheetView workbookViewId="0">
      <selection activeCell="F5" sqref="F5"/>
    </sheetView>
  </sheetViews>
  <sheetFormatPr defaultRowHeight="14.4"/>
  <sheetData>
    <row r="3" spans="6:6">
      <c r="F3" t="s">
        <v>129</v>
      </c>
    </row>
    <row r="4" spans="6:6">
      <c r="F4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پرتفوی</vt:lpstr>
      <vt:lpstr>سرمایه</vt:lpstr>
      <vt:lpstr>بازدهی ماهانه</vt:lpstr>
      <vt:lpstr>سود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2020-04-24T21:11:59Z</dcterms:modified>
</cp:coreProperties>
</file>