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firstSheet="3" activeTab="5"/>
  </bookViews>
  <sheets>
    <sheet name="پرتفوی" sheetId="3" r:id="rId1"/>
    <sheet name="سرمایه" sheetId="7" r:id="rId2"/>
    <sheet name="بازدهی ماهانه" sheetId="10" r:id="rId3"/>
    <sheet name="سود روزانه" sheetId="12" r:id="rId4"/>
    <sheet name="واریز و برداشت" sheetId="9" r:id="rId5"/>
    <sheet name="مدیریت سرمایه" sheetId="8" r:id="rId6"/>
    <sheet name="واچ لیست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52511"/>
</workbook>
</file>

<file path=xl/calcChain.xml><?xml version="1.0" encoding="utf-8"?>
<calcChain xmlns="http://schemas.openxmlformats.org/spreadsheetml/2006/main">
  <c r="H4" i="8" l="1"/>
  <c r="F4" i="8"/>
  <c r="W4" i="8"/>
  <c r="U4" i="8"/>
  <c r="S4" i="8"/>
  <c r="Q4" i="8"/>
  <c r="O4" i="8"/>
  <c r="M4" i="8"/>
  <c r="K4" i="8"/>
  <c r="I4" i="8"/>
  <c r="G4" i="8"/>
  <c r="E4" i="8"/>
  <c r="C4" i="8"/>
  <c r="T4" i="8" l="1"/>
  <c r="N4" i="8"/>
  <c r="V4" i="8"/>
  <c r="P4" i="8"/>
  <c r="J4" i="8"/>
  <c r="R4" i="8"/>
  <c r="X4" i="8"/>
  <c r="L4" i="8"/>
  <c r="K3" i="10" l="1"/>
  <c r="F7" i="10" l="1"/>
  <c r="G7" i="10" s="1"/>
  <c r="H7" i="10" s="1"/>
  <c r="F6" i="10"/>
  <c r="G6" i="10" s="1"/>
  <c r="H6" i="10" s="1"/>
  <c r="G5" i="10"/>
  <c r="H5" i="10" s="1"/>
  <c r="F5" i="10"/>
  <c r="G19" i="10" l="1"/>
  <c r="C36" i="9"/>
  <c r="N4" i="7" s="1"/>
  <c r="O4" i="7" s="1"/>
  <c r="E4" i="7"/>
  <c r="L31" i="3"/>
  <c r="L9" i="3"/>
  <c r="L10" i="3"/>
  <c r="L30" i="3"/>
  <c r="L29" i="3"/>
  <c r="L28" i="3"/>
  <c r="L27" i="3"/>
  <c r="L7" i="3"/>
  <c r="L23" i="3"/>
  <c r="L22" i="3"/>
  <c r="L21" i="3"/>
  <c r="L20" i="3"/>
  <c r="L19" i="3"/>
  <c r="L18" i="3"/>
  <c r="L5" i="3"/>
  <c r="L16" i="3"/>
  <c r="L15" i="3"/>
  <c r="L14" i="3"/>
  <c r="L26" i="3"/>
  <c r="L25" i="3"/>
  <c r="L11" i="3"/>
  <c r="L6" i="3"/>
  <c r="L24" i="3"/>
  <c r="L17" i="3"/>
  <c r="L13" i="3"/>
  <c r="L12" i="3"/>
  <c r="L8" i="3"/>
  <c r="T31" i="3"/>
  <c r="T9" i="3"/>
  <c r="T10" i="3"/>
  <c r="T30" i="3"/>
  <c r="T29" i="3"/>
  <c r="T28" i="3"/>
  <c r="T27" i="3"/>
  <c r="T7" i="3"/>
  <c r="T23" i="3"/>
  <c r="T22" i="3"/>
  <c r="T21" i="3"/>
  <c r="T20" i="3"/>
  <c r="T19" i="3"/>
  <c r="T18" i="3"/>
  <c r="T5" i="3"/>
  <c r="T16" i="3"/>
  <c r="T15" i="3"/>
  <c r="T14" i="3"/>
  <c r="T26" i="3"/>
  <c r="T25" i="3"/>
  <c r="T11" i="3"/>
  <c r="T6" i="3"/>
  <c r="T24" i="3"/>
  <c r="T17" i="3"/>
  <c r="T13" i="3"/>
  <c r="T12" i="3"/>
  <c r="T8" i="3"/>
  <c r="R31" i="3"/>
  <c r="R9" i="3"/>
  <c r="R10" i="3"/>
  <c r="R30" i="3"/>
  <c r="R29" i="3"/>
  <c r="R28" i="3"/>
  <c r="R27" i="3"/>
  <c r="R7" i="3"/>
  <c r="R23" i="3"/>
  <c r="R22" i="3"/>
  <c r="R21" i="3"/>
  <c r="R20" i="3"/>
  <c r="R19" i="3"/>
  <c r="R18" i="3"/>
  <c r="R5" i="3"/>
  <c r="R16" i="3"/>
  <c r="R15" i="3"/>
  <c r="R14" i="3"/>
  <c r="R26" i="3"/>
  <c r="R25" i="3"/>
  <c r="R11" i="3"/>
  <c r="R6" i="3"/>
  <c r="R24" i="3"/>
  <c r="R17" i="3"/>
  <c r="R13" i="3"/>
  <c r="R12" i="3"/>
  <c r="R8" i="3"/>
  <c r="O31" i="3"/>
  <c r="O9" i="3"/>
  <c r="O10" i="3"/>
  <c r="O30" i="3"/>
  <c r="O29" i="3"/>
  <c r="O28" i="3"/>
  <c r="O27" i="3"/>
  <c r="O7" i="3"/>
  <c r="O23" i="3"/>
  <c r="O22" i="3"/>
  <c r="O21" i="3"/>
  <c r="O20" i="3"/>
  <c r="O19" i="3"/>
  <c r="O18" i="3"/>
  <c r="O5" i="3"/>
  <c r="O16" i="3"/>
  <c r="O15" i="3"/>
  <c r="O14" i="3"/>
  <c r="O26" i="3"/>
  <c r="O25" i="3"/>
  <c r="O11" i="3"/>
  <c r="O6" i="3"/>
  <c r="O24" i="3"/>
  <c r="O17" i="3"/>
  <c r="O13" i="3"/>
  <c r="O12" i="3"/>
  <c r="O8" i="3"/>
  <c r="I31" i="3"/>
  <c r="I9" i="3"/>
  <c r="I10" i="3"/>
  <c r="I30" i="3"/>
  <c r="I29" i="3"/>
  <c r="I28" i="3"/>
  <c r="I27" i="3"/>
  <c r="I7" i="3"/>
  <c r="I23" i="3"/>
  <c r="I22" i="3"/>
  <c r="I21" i="3"/>
  <c r="I20" i="3"/>
  <c r="I19" i="3"/>
  <c r="I18" i="3"/>
  <c r="I5" i="3"/>
  <c r="I16" i="3"/>
  <c r="I15" i="3"/>
  <c r="I14" i="3"/>
  <c r="I26" i="3"/>
  <c r="I25" i="3"/>
  <c r="I11" i="3"/>
  <c r="I6" i="3"/>
  <c r="I24" i="3"/>
  <c r="I17" i="3"/>
  <c r="I13" i="3"/>
  <c r="I12" i="3"/>
  <c r="I8" i="3"/>
  <c r="F31" i="3"/>
  <c r="F9" i="3"/>
  <c r="F10" i="3"/>
  <c r="F30" i="3"/>
  <c r="F29" i="3"/>
  <c r="F28" i="3"/>
  <c r="F27" i="3"/>
  <c r="F7" i="3"/>
  <c r="F23" i="3"/>
  <c r="F22" i="3"/>
  <c r="F21" i="3"/>
  <c r="F20" i="3"/>
  <c r="F19" i="3"/>
  <c r="F18" i="3"/>
  <c r="F5" i="3"/>
  <c r="F16" i="3"/>
  <c r="F15" i="3"/>
  <c r="F14" i="3"/>
  <c r="F26" i="3"/>
  <c r="F25" i="3"/>
  <c r="F11" i="3"/>
  <c r="F6" i="3"/>
  <c r="F24" i="3"/>
  <c r="F17" i="3"/>
  <c r="F13" i="3"/>
  <c r="F12" i="3"/>
  <c r="F8" i="3"/>
  <c r="E31" i="3"/>
  <c r="E9" i="3"/>
  <c r="E10" i="3"/>
  <c r="E30" i="3"/>
  <c r="E29" i="3"/>
  <c r="E28" i="3"/>
  <c r="E27" i="3"/>
  <c r="E7" i="3"/>
  <c r="E23" i="3"/>
  <c r="E22" i="3"/>
  <c r="E21" i="3"/>
  <c r="E20" i="3"/>
  <c r="E19" i="3"/>
  <c r="E18" i="3"/>
  <c r="E5" i="3"/>
  <c r="E16" i="3"/>
  <c r="E15" i="3"/>
  <c r="E14" i="3"/>
  <c r="E26" i="3"/>
  <c r="E25" i="3"/>
  <c r="E11" i="3"/>
  <c r="E6" i="3"/>
  <c r="E24" i="3"/>
  <c r="E17" i="3"/>
  <c r="E13" i="3"/>
  <c r="E12" i="3"/>
  <c r="E8" i="3"/>
  <c r="H11" i="3" l="1"/>
  <c r="H29" i="3"/>
  <c r="H19" i="3"/>
  <c r="H23" i="3"/>
  <c r="H13" i="3"/>
  <c r="J13" i="3"/>
  <c r="J11" i="3"/>
  <c r="K11" i="3" s="1"/>
  <c r="J15" i="3"/>
  <c r="N15" i="3" s="1"/>
  <c r="J24" i="3"/>
  <c r="J27" i="3"/>
  <c r="Q27" i="3" s="1"/>
  <c r="J19" i="3"/>
  <c r="N19" i="3" s="1"/>
  <c r="J23" i="3"/>
  <c r="N23" i="3" s="1"/>
  <c r="J29" i="3"/>
  <c r="K29" i="3" s="1"/>
  <c r="J31" i="3"/>
  <c r="P17" i="3"/>
  <c r="P25" i="3"/>
  <c r="P16" i="3"/>
  <c r="P20" i="3"/>
  <c r="P7" i="3"/>
  <c r="P30" i="3"/>
  <c r="S13" i="3"/>
  <c r="S11" i="3"/>
  <c r="S15" i="3"/>
  <c r="S19" i="3"/>
  <c r="S23" i="3"/>
  <c r="S29" i="3"/>
  <c r="S31" i="3"/>
  <c r="J17" i="3"/>
  <c r="J25" i="3"/>
  <c r="K25" i="3" s="1"/>
  <c r="J16" i="3"/>
  <c r="Q16" i="3" s="1"/>
  <c r="J20" i="3"/>
  <c r="K20" i="3" s="1"/>
  <c r="J7" i="3"/>
  <c r="J30" i="3"/>
  <c r="Q30" i="3" s="1"/>
  <c r="M17" i="3"/>
  <c r="M25" i="3"/>
  <c r="M16" i="3"/>
  <c r="M20" i="3"/>
  <c r="M7" i="3"/>
  <c r="M30" i="3"/>
  <c r="H6" i="3"/>
  <c r="H18" i="3"/>
  <c r="H28" i="3"/>
  <c r="H12" i="3"/>
  <c r="H14" i="3"/>
  <c r="H22" i="3"/>
  <c r="H9" i="3"/>
  <c r="H31" i="3"/>
  <c r="H15" i="3"/>
  <c r="H17" i="3"/>
  <c r="H16" i="3"/>
  <c r="H7" i="3"/>
  <c r="J8" i="3"/>
  <c r="J12" i="3"/>
  <c r="J6" i="3"/>
  <c r="J14" i="3"/>
  <c r="Q14" i="3" s="1"/>
  <c r="J18" i="3"/>
  <c r="N18" i="3" s="1"/>
  <c r="J22" i="3"/>
  <c r="K22" i="3" s="1"/>
  <c r="J28" i="3"/>
  <c r="Q28" i="3" s="1"/>
  <c r="J9" i="3"/>
  <c r="P13" i="3"/>
  <c r="Q13" i="3" s="1"/>
  <c r="P11" i="3"/>
  <c r="P15" i="3"/>
  <c r="P19" i="3"/>
  <c r="P23" i="3"/>
  <c r="P29" i="3"/>
  <c r="P31" i="3"/>
  <c r="S17" i="3"/>
  <c r="S25" i="3"/>
  <c r="S16" i="3"/>
  <c r="S20" i="3"/>
  <c r="S7" i="3"/>
  <c r="S30" i="3"/>
  <c r="M12" i="3"/>
  <c r="M6" i="3"/>
  <c r="M14" i="3"/>
  <c r="M18" i="3"/>
  <c r="M22" i="3"/>
  <c r="M28" i="3"/>
  <c r="M9" i="3"/>
  <c r="H25" i="3"/>
  <c r="H20" i="3"/>
  <c r="H30" i="3"/>
  <c r="J26" i="3"/>
  <c r="J5" i="3"/>
  <c r="J21" i="3"/>
  <c r="Q21" i="3" s="1"/>
  <c r="J10" i="3"/>
  <c r="H8" i="3"/>
  <c r="H24" i="3"/>
  <c r="H26" i="3"/>
  <c r="H5" i="3"/>
  <c r="H21" i="3"/>
  <c r="H27" i="3"/>
  <c r="H10" i="3"/>
  <c r="S8" i="3"/>
  <c r="S24" i="3"/>
  <c r="S26" i="3"/>
  <c r="S5" i="3"/>
  <c r="S21" i="3"/>
  <c r="S27" i="3"/>
  <c r="S10" i="3"/>
  <c r="D4" i="7"/>
  <c r="K4" i="7" s="1"/>
  <c r="P8" i="3"/>
  <c r="P24" i="3"/>
  <c r="P26" i="3"/>
  <c r="P5" i="3"/>
  <c r="P21" i="3"/>
  <c r="P27" i="3"/>
  <c r="P10" i="3"/>
  <c r="S12" i="3"/>
  <c r="S6" i="3"/>
  <c r="S14" i="3"/>
  <c r="S18" i="3"/>
  <c r="S22" i="3"/>
  <c r="S28" i="3"/>
  <c r="S9" i="3"/>
  <c r="P12" i="3"/>
  <c r="P6" i="3"/>
  <c r="P14" i="3"/>
  <c r="P18" i="3"/>
  <c r="P22" i="3"/>
  <c r="P28" i="3"/>
  <c r="P9" i="3"/>
  <c r="M8" i="3"/>
  <c r="M24" i="3"/>
  <c r="M26" i="3"/>
  <c r="M5" i="3"/>
  <c r="M21" i="3"/>
  <c r="M27" i="3"/>
  <c r="M10" i="3"/>
  <c r="K15" i="3"/>
  <c r="N31" i="3"/>
  <c r="Q31" i="3"/>
  <c r="K31" i="3"/>
  <c r="Q19" i="3"/>
  <c r="K19" i="3"/>
  <c r="N20" i="3"/>
  <c r="Q20" i="3"/>
  <c r="N11" i="3"/>
  <c r="Q11" i="3"/>
  <c r="Q22" i="3"/>
  <c r="K28" i="3"/>
  <c r="M31" i="3"/>
  <c r="M19" i="3"/>
  <c r="M13" i="3"/>
  <c r="N13" i="3" s="1"/>
  <c r="N27" i="3"/>
  <c r="M23" i="3"/>
  <c r="M11" i="3"/>
  <c r="M29" i="3"/>
  <c r="M15" i="3"/>
  <c r="K27" i="3"/>
  <c r="N8" i="3" l="1"/>
  <c r="Q7" i="3"/>
  <c r="Q17" i="3"/>
  <c r="K18" i="3"/>
  <c r="N12" i="3"/>
  <c r="Q24" i="3"/>
  <c r="G31" i="3"/>
  <c r="L4" i="7"/>
  <c r="M4" i="7" s="1"/>
  <c r="Q29" i="3"/>
  <c r="K23" i="3"/>
  <c r="N29" i="3"/>
  <c r="N24" i="3"/>
  <c r="Q18" i="3"/>
  <c r="Q23" i="3"/>
  <c r="Q15" i="3"/>
  <c r="Q25" i="3"/>
  <c r="N30" i="3"/>
  <c r="Q8" i="3"/>
  <c r="N7" i="3"/>
  <c r="N17" i="3"/>
  <c r="K30" i="3"/>
  <c r="N25" i="3"/>
  <c r="Q12" i="3"/>
  <c r="N22" i="3"/>
  <c r="N6" i="3"/>
  <c r="N16" i="3"/>
  <c r="Q6" i="3"/>
  <c r="K16" i="3"/>
  <c r="Q5" i="3"/>
  <c r="N10" i="3"/>
  <c r="N28" i="3"/>
  <c r="N9" i="3"/>
  <c r="G29" i="3"/>
  <c r="G28" i="3"/>
  <c r="G30" i="3"/>
  <c r="N14" i="3"/>
  <c r="G15" i="3"/>
  <c r="K14" i="3"/>
  <c r="G11" i="3"/>
  <c r="G6" i="3"/>
  <c r="Q26" i="3"/>
  <c r="G14" i="3"/>
  <c r="G9" i="3"/>
  <c r="F4" i="7"/>
  <c r="G4" i="7" s="1"/>
  <c r="N5" i="3"/>
  <c r="Q9" i="3"/>
  <c r="Q10" i="3"/>
  <c r="G25" i="3"/>
  <c r="K21" i="3"/>
  <c r="N26" i="3"/>
  <c r="G12" i="3"/>
  <c r="G21" i="3"/>
  <c r="G26" i="3"/>
  <c r="G7" i="3"/>
  <c r="G23" i="3"/>
  <c r="G13" i="3"/>
  <c r="G22" i="3"/>
  <c r="G8" i="3"/>
  <c r="G10" i="3"/>
  <c r="G5" i="3"/>
  <c r="G24" i="3"/>
  <c r="G20" i="3"/>
  <c r="G16" i="3"/>
  <c r="N21" i="3"/>
  <c r="G19" i="3"/>
  <c r="G18" i="3"/>
  <c r="G27" i="3"/>
  <c r="G17" i="3"/>
  <c r="K26" i="3" l="1"/>
  <c r="K6" i="3"/>
  <c r="K13" i="3"/>
  <c r="K7" i="3"/>
  <c r="K24" i="3"/>
  <c r="K5" i="3"/>
  <c r="K10" i="3"/>
  <c r="K12" i="3"/>
  <c r="K9" i="3"/>
  <c r="K17" i="3"/>
  <c r="K8" i="3"/>
  <c r="I4" i="7" l="1"/>
  <c r="H4" i="7"/>
  <c r="J4" i="7" s="1"/>
</calcChain>
</file>

<file path=xl/sharedStrings.xml><?xml version="1.0" encoding="utf-8"?>
<sst xmlns="http://schemas.openxmlformats.org/spreadsheetml/2006/main" count="257" uniqueCount="158">
  <si>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</si>
  <si>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</si>
  <si>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</si>
  <si>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</si>
  <si>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</si>
  <si>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</si>
  <si>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</si>
  <si>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</si>
  <si>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</si>
  <si>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</si>
  <si>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</si>
  <si>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</si>
  <si>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</si>
  <si>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</si>
  <si>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</si>
  <si>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</si>
  <si>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</si>
  <si>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</si>
  <si>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</si>
  <si>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</si>
  <si>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</si>
  <si>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</si>
  <si>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</si>
  <si>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</si>
  <si>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</si>
  <si>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</si>
  <si>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</si>
  <si>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</si>
  <si>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</si>
  <si>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</si>
  <si>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</si>
  <si>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</si>
  <si>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</si>
  <si>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</si>
  <si>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</si>
  <si>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</si>
  <si>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</si>
  <si>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</si>
  <si>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</si>
  <si>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</si>
  <si>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</si>
  <si>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</si>
  <si>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</si>
  <si>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</si>
  <si>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</si>
  <si>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</si>
  <si>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</si>
  <si>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</si>
  <si>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</si>
  <si>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</si>
  <si>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</si>
  <si>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</si>
  <si>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</si>
  <si>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</si>
  <si>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</si>
  <si>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</si>
  <si>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</si>
  <si>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</si>
  <si>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</si>
  <si>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</si>
  <si>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</si>
  <si>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</si>
  <si>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</si>
  <si>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</si>
  <si>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</si>
  <si>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</si>
  <si>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</si>
  <si>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</si>
  <si>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</si>
  <si>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</si>
  <si>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</si>
  <si>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</si>
  <si>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</si>
  <si>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</si>
  <si>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</si>
  <si>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</si>
  <si>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</si>
  <si>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</si>
  <si>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</si>
  <si>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</si>
  <si>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</si>
  <si>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</si>
  <si>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</si>
  <si>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</si>
  <si>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</si>
  <si>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</si>
  <si>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</si>
  <si>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</si>
  <si>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</si>
  <si>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</si>
  <si>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</si>
  <si>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</si>
  <si>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</si>
  <si>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</si>
  <si>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</si>
  <si>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</si>
  <si>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</si>
  <si>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</si>
  <si>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</si>
  <si>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</si>
  <si>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</si>
  <si>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</si>
  <si>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</si>
  <si>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</si>
  <si>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</si>
  <si>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</si>
  <si>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</si>
  <si>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</si>
  <si>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</si>
  <si>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</si>
  <si>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</si>
  <si>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</si>
  <si>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</si>
  <si>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</si>
  <si>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</si>
  <si>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</si>
  <si>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</si>
  <si>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</si>
  <si>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</si>
  <si>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</si>
  <si>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</si>
  <si>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</si>
  <si>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</si>
  <si>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</si>
  <si>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</si>
  <si>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</si>
  <si>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</si>
  <si>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</si>
  <si>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</si>
  <si>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</si>
  <si>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</si>
  <si>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</si>
  <si>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</si>
  <si>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</si>
  <si>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</si>
  <si>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</si>
  <si>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</si>
  <si>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</si>
  <si>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</si>
  <si>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</si>
  <si>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</si>
  <si>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</si>
  <si>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</si>
  <si>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</si>
  <si>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</si>
  <si>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</si>
  <si>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</si>
  <si>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</si>
  <si>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</si>
  <si>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</si>
  <si>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</si>
  <si>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</si>
  <si>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</si>
  <si>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</si>
  <si>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</si>
  <si>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</si>
  <si>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میزان سود (ریال)</t>
  </si>
  <si>
    <t>* اطلاعات اسفند 1398 در نمودار نیامده است.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</si>
</sst>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D6F6F"/>
      <color rgb="FFFD3D3D"/>
      <color rgb="FFFED2D2"/>
      <color rgb="FFFDB5B5"/>
      <color rgb="FFFDA1A1"/>
      <color rgb="FFFD8D8D"/>
      <color rgb="FFFD5959"/>
      <color rgb="FFFD1313"/>
      <color rgb="FFF00202"/>
      <color rgb="FFDC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116833000</c:v>
                </c:pt>
                <c:pt idx="1">
                  <c:v>95928151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616816"/>
        <c:axId val="-145610288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0.20678407079646019</c:v>
                </c:pt>
                <c:pt idx="1">
                  <c:v>6.4659743407600279E-2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618448"/>
        <c:axId val="-145623344"/>
      </c:lineChart>
      <c:catAx>
        <c:axId val="-1456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10288"/>
        <c:crosses val="autoZero"/>
        <c:auto val="1"/>
        <c:lblAlgn val="ctr"/>
        <c:lblOffset val="100"/>
        <c:noMultiLvlLbl val="0"/>
      </c:catAx>
      <c:valAx>
        <c:axId val="-1456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16816"/>
        <c:crosses val="autoZero"/>
        <c:crossBetween val="between"/>
      </c:valAx>
      <c:valAx>
        <c:axId val="-1456233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18448"/>
        <c:crosses val="max"/>
        <c:crossBetween val="between"/>
      </c:valAx>
      <c:catAx>
        <c:axId val="-145618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4562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اردیبهشت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'سود روزانه'!$B$3</c:f>
              <c:strCache>
                <c:ptCount val="1"/>
                <c:pt idx="0">
                  <c:v>میزان سود (ریال)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'سود روزانه'!$C$2:$Y$2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'سود روزانه'!$C$3:$Y$3</c:f>
              <c:numCache>
                <c:formatCode>#,##0</c:formatCode>
                <c:ptCount val="23"/>
                <c:pt idx="0">
                  <c:v>49441151</c:v>
                </c:pt>
                <c:pt idx="1">
                  <c:v>5380834</c:v>
                </c:pt>
                <c:pt idx="2">
                  <c:v>41106166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45617904"/>
        <c:axId val="-267973616"/>
      </c:barChart>
      <c:catAx>
        <c:axId val="-1456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973616"/>
        <c:crosses val="autoZero"/>
        <c:auto val="1"/>
        <c:lblAlgn val="ctr"/>
        <c:lblOffset val="100"/>
        <c:noMultiLvlLbl val="0"/>
      </c:catAx>
      <c:valAx>
        <c:axId val="-2679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600634</xdr:colOff>
      <xdr:row>3</xdr:row>
      <xdr:rowOff>174813</xdr:rowOff>
    </xdr:from>
    <xdr:to>
      <xdr:col>8</xdr:col>
      <xdr:colOff>654422</xdr:colOff>
      <xdr:row>27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  <cell r="R4">
            <v>2926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  <cell r="R4">
            <v>1337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  <cell r="R4">
            <v>201</v>
          </cell>
        </row>
      </sheetData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/>
          <cell r="G4"/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1" totalsRowShown="0" tableBorderDxfId="30">
  <autoFilter ref="B4:T31">
    <filterColumn colId="3">
      <filters>
        <filter val="11151"/>
        <filter val="1337"/>
        <filter val="1354"/>
        <filter val="1584"/>
        <filter val="18967"/>
        <filter val="201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1">
    <sortCondition descending="1" ref="H4:H31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table" Target="../tables/table1.xm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rightToLeft="1" zoomScale="87" zoomScaleNormal="87" workbookViewId="0">
      <pane ySplit="1" topLeftCell="A2" activePane="bottomLeft" state="frozen"/>
      <selection pane="bottomLeft"/>
    </sheetView>
  </sheetViews>
  <sheetFormatPr defaultRowHeight="14.4" x14ac:dyDescent="0.3"/>
  <cols>
    <col min="1" max="1" width="3.77734375" style="1" customWidth="1"/>
    <col min="2" max="2" width="10.33203125" style="1" customWidth="1"/>
    <col min="3" max="3" width="10.77734375" style="1" customWidth="1"/>
    <col min="4" max="4" width="10.88671875" style="1" customWidth="1"/>
    <col min="5" max="6" width="10.77734375" style="1" customWidth="1"/>
    <col min="7" max="7" width="10.6640625" style="1" customWidth="1"/>
    <col min="8" max="8" width="10.77734375" style="1" customWidth="1"/>
    <col min="9" max="9" width="10.88671875" style="1" bestFit="1" customWidth="1"/>
    <col min="10" max="10" width="10.6640625" style="1" customWidth="1"/>
    <col min="11" max="11" width="12.109375" style="1" bestFit="1" customWidth="1"/>
    <col min="12" max="12" width="11.109375" style="1" customWidth="1"/>
    <col min="13" max="13" width="11.33203125" style="1" customWidth="1"/>
    <col min="14" max="14" width="15.88671875" style="1" bestFit="1" customWidth="1"/>
    <col min="15" max="15" width="15.6640625" style="1" bestFit="1" customWidth="1"/>
    <col min="16" max="16" width="13.44140625" style="1" bestFit="1" customWidth="1"/>
    <col min="17" max="17" width="11.33203125" style="1" customWidth="1"/>
    <col min="18" max="18" width="11.44140625" style="30" customWidth="1"/>
    <col min="19" max="19" width="16.44140625" style="1" bestFit="1" customWidth="1"/>
    <col min="20" max="20" width="11.33203125" style="1" customWidth="1"/>
    <col min="21" max="16384" width="8.88671875" style="1"/>
  </cols>
  <sheetData>
    <row r="1" spans="2:20" ht="15" thickBot="1" x14ac:dyDescent="0.35"/>
    <row r="2" spans="2:20" ht="19.2" thickBot="1" x14ac:dyDescent="0.35">
      <c r="B2" s="114" t="s">
        <v>0</v>
      </c>
      <c r="C2" s="121" t="s">
        <v>13</v>
      </c>
      <c r="D2" s="114" t="s">
        <v>16</v>
      </c>
      <c r="E2" s="123" t="s">
        <v>4</v>
      </c>
      <c r="F2" s="125" t="s">
        <v>12</v>
      </c>
      <c r="G2" s="112" t="s">
        <v>18</v>
      </c>
      <c r="H2" s="114" t="s">
        <v>3</v>
      </c>
      <c r="I2" s="116" t="s">
        <v>2</v>
      </c>
      <c r="J2" s="116"/>
      <c r="K2" s="117"/>
      <c r="L2" s="118" t="s">
        <v>1</v>
      </c>
      <c r="M2" s="119"/>
      <c r="N2" s="119"/>
      <c r="O2" s="119"/>
      <c r="P2" s="119"/>
      <c r="Q2" s="119"/>
      <c r="R2" s="119"/>
      <c r="S2" s="119"/>
      <c r="T2" s="120"/>
    </row>
    <row r="3" spans="2:20" ht="19.2" thickBot="1" x14ac:dyDescent="0.35">
      <c r="B3" s="115"/>
      <c r="C3" s="122"/>
      <c r="D3" s="115"/>
      <c r="E3" s="124"/>
      <c r="F3" s="126"/>
      <c r="G3" s="113"/>
      <c r="H3" s="115"/>
      <c r="I3" s="72" t="s">
        <v>10</v>
      </c>
      <c r="J3" s="2" t="s">
        <v>11</v>
      </c>
      <c r="K3" s="56" t="s">
        <v>15</v>
      </c>
      <c r="L3" s="57" t="s">
        <v>5</v>
      </c>
      <c r="M3" s="58" t="s">
        <v>6</v>
      </c>
      <c r="N3" s="57" t="s">
        <v>7</v>
      </c>
      <c r="O3" s="63" t="s">
        <v>8</v>
      </c>
      <c r="P3" s="64" t="s">
        <v>6</v>
      </c>
      <c r="Q3" s="65" t="s">
        <v>7</v>
      </c>
      <c r="R3" s="66" t="s">
        <v>9</v>
      </c>
      <c r="S3" s="67" t="s">
        <v>6</v>
      </c>
      <c r="T3" s="68" t="s">
        <v>7</v>
      </c>
    </row>
    <row r="4" spans="2:20" ht="19.2" hidden="1" thickBot="1" x14ac:dyDescent="0.35">
      <c r="B4" s="54" t="s">
        <v>72</v>
      </c>
      <c r="C4" s="55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9" t="s">
        <v>78</v>
      </c>
      <c r="I4" s="35" t="s">
        <v>79</v>
      </c>
      <c r="J4" s="34" t="s">
        <v>80</v>
      </c>
      <c r="K4" s="36" t="s">
        <v>81</v>
      </c>
      <c r="L4" s="59" t="s">
        <v>82</v>
      </c>
      <c r="M4" s="33" t="s">
        <v>83</v>
      </c>
      <c r="N4" s="60" t="s">
        <v>84</v>
      </c>
      <c r="O4" s="59" t="s">
        <v>85</v>
      </c>
      <c r="P4" s="33" t="s">
        <v>86</v>
      </c>
      <c r="Q4" s="60" t="s">
        <v>87</v>
      </c>
      <c r="R4" s="59" t="s">
        <v>88</v>
      </c>
      <c r="S4" s="33" t="s">
        <v>89</v>
      </c>
      <c r="T4" s="69" t="s">
        <v>99</v>
      </c>
    </row>
    <row r="5" spans="2:20" ht="19.2" thickBot="1" x14ac:dyDescent="0.35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3.5751179534356615E-2</v>
      </c>
      <c r="H5" s="61">
        <f t="shared" ref="H5:H31" si="0">E5*F5</f>
        <v>172491677</v>
      </c>
      <c r="I5" s="6">
        <f>'[1]دارایی فعلی'!$M$4</f>
        <v>48109</v>
      </c>
      <c r="J5" s="5">
        <f t="shared" ref="J5:J31" si="1">IF(1-(I5/F5)&gt;0, 1-(I5/F5), 0)</f>
        <v>0.28627900695753561</v>
      </c>
      <c r="K5" s="7">
        <f t="shared" ref="K5:K31" si="2">IF(J5&gt;0, H5-I5*E5, 0)</f>
        <v>49380746</v>
      </c>
      <c r="L5" s="61">
        <f>'[1]دارایی فعلی'!$J$4</f>
        <v>85410</v>
      </c>
      <c r="M5" s="4">
        <f t="shared" ref="M5:M31" si="3">(L5/F5)-1</f>
        <v>0.2670999192616117</v>
      </c>
      <c r="N5" s="62">
        <f t="shared" ref="N5:N31" si="4">IF(J5&gt;0, M5/J5,"RF")</f>
        <v>0.93300560910926733</v>
      </c>
      <c r="O5" s="61">
        <f>'[1]دارایی فعلی'!$G$4</f>
        <v>0</v>
      </c>
      <c r="P5" s="4">
        <f t="shared" ref="P5:P31" si="5">(O5/F5)-1</f>
        <v>-1</v>
      </c>
      <c r="Q5" s="62">
        <f t="shared" ref="Q5:Q31" si="6">IF(J5&gt;0, P5/J5,"RF")</f>
        <v>-3.4930958110677399</v>
      </c>
      <c r="R5" s="61">
        <f>'[1]دارایی فعلی'!$D$4</f>
        <v>0</v>
      </c>
      <c r="S5" s="71">
        <f t="shared" ref="S5:S31" si="7">(R5/F5)-1</f>
        <v>-1</v>
      </c>
      <c r="T5" s="70" t="str">
        <f>IF(AA4&gt;0,#REF!/ AA4,"RF")</f>
        <v>RF</v>
      </c>
    </row>
    <row r="6" spans="2:20" ht="19.2" thickBot="1" x14ac:dyDescent="0.35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1.252840326040155E-2</v>
      </c>
      <c r="H6" s="61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61">
        <f>'[2]دارایی فعلی'!$J$4</f>
        <v>56000</v>
      </c>
      <c r="M6" s="4">
        <f t="shared" si="3"/>
        <v>1.0457502960348122</v>
      </c>
      <c r="N6" s="62">
        <f t="shared" si="4"/>
        <v>9.3646933308184046</v>
      </c>
      <c r="O6" s="61">
        <f>'[2]دارایی فعلی'!$G$4</f>
        <v>28706</v>
      </c>
      <c r="P6" s="4">
        <f t="shared" si="5"/>
        <v>4.8666214249559303E-2</v>
      </c>
      <c r="Q6" s="62">
        <f t="shared" si="6"/>
        <v>0.4358059220705745</v>
      </c>
      <c r="R6" s="61">
        <f>'[2]دارایی فعلی'!$D$4</f>
        <v>0</v>
      </c>
      <c r="S6" s="71">
        <f t="shared" si="7"/>
        <v>-1</v>
      </c>
      <c r="T6" s="70" t="str">
        <f>IF(AA5&gt;0,#REF!/ AA5,"RF")</f>
        <v>RF</v>
      </c>
    </row>
    <row r="7" spans="2:20" ht="19.2" thickBot="1" x14ac:dyDescent="0.35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2.1037076442272085E-2</v>
      </c>
      <c r="H7" s="61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61">
        <f>'[3]دارایی فعلی'!$J$4</f>
        <v>45250</v>
      </c>
      <c r="M7" s="4">
        <f t="shared" si="3"/>
        <v>0.61922774894004728</v>
      </c>
      <c r="N7" s="62">
        <f t="shared" si="4"/>
        <v>2.5703356209420032</v>
      </c>
      <c r="O7" s="61">
        <f>'[3]دارایی فعلی'!$G$4</f>
        <v>51666</v>
      </c>
      <c r="P7" s="4">
        <f t="shared" si="5"/>
        <v>0.84881814092235319</v>
      </c>
      <c r="Q7" s="62">
        <f t="shared" si="6"/>
        <v>3.5233361344821246</v>
      </c>
      <c r="R7" s="61">
        <f>'[3]دارایی فعلی'!$D$4</f>
        <v>67750</v>
      </c>
      <c r="S7" s="71">
        <f t="shared" si="7"/>
        <v>1.4243686185787445</v>
      </c>
      <c r="T7" s="70" t="str">
        <f>IF(AA6&gt;0,#REF!/ AA6,"RF")</f>
        <v>RF</v>
      </c>
    </row>
    <row r="8" spans="2:20" ht="19.2" thickBot="1" x14ac:dyDescent="0.35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1.3707699424227051E-2</v>
      </c>
      <c r="H8" s="61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61">
        <f>'[4]دارایی فعلی'!$J$4</f>
        <v>51000</v>
      </c>
      <c r="M8" s="4">
        <f t="shared" si="3"/>
        <v>3.3019052081834159</v>
      </c>
      <c r="N8" s="62">
        <f t="shared" si="4"/>
        <v>18.162844393449689</v>
      </c>
      <c r="O8" s="61">
        <f>'[4]دارایی فعلی'!$G$4</f>
        <v>205000</v>
      </c>
      <c r="P8" s="4">
        <f t="shared" si="5"/>
        <v>16.291971915247064</v>
      </c>
      <c r="Q8" s="62">
        <f t="shared" si="6"/>
        <v>89.61751840292311</v>
      </c>
      <c r="R8" s="61">
        <f>'[4]دارایی فعلی'!$D$4</f>
        <v>0</v>
      </c>
      <c r="S8" s="71">
        <f t="shared" si="7"/>
        <v>-1</v>
      </c>
      <c r="T8" s="70" t="str">
        <f>IF(AA7&gt;0,#REF!/ AA7,"RF")</f>
        <v>RF</v>
      </c>
    </row>
    <row r="9" spans="2:20" ht="19.2" thickBot="1" x14ac:dyDescent="0.35">
      <c r="B9" s="32" t="s">
        <v>14</v>
      </c>
      <c r="C9" s="40" t="s">
        <v>141</v>
      </c>
      <c r="D9" s="31" t="s">
        <v>140</v>
      </c>
      <c r="E9" s="9">
        <f>'[5]دارایی فعلی'!$R$4</f>
        <v>8544</v>
      </c>
      <c r="F9" s="8">
        <f>'[5]دارایی فعلی'!$Q$4</f>
        <v>11666</v>
      </c>
      <c r="G9" s="4">
        <f>IF( (F9-I9)*E9/سرمایه!K4&gt;0,(F9-I9)*E9/سرمایه!K4, "Risk free")</f>
        <v>1.7728424989376674E-2</v>
      </c>
      <c r="H9" s="61">
        <f t="shared" si="0"/>
        <v>99674304</v>
      </c>
      <c r="I9" s="6">
        <f>'[5]دارایی فعلی'!$M$4</f>
        <v>8800</v>
      </c>
      <c r="J9" s="5">
        <f t="shared" si="1"/>
        <v>0.24567118121035492</v>
      </c>
      <c r="K9" s="7">
        <f t="shared" si="2"/>
        <v>24487104</v>
      </c>
      <c r="L9" s="61">
        <f>'[5]دارایی فعلی'!$J$4</f>
        <v>14670</v>
      </c>
      <c r="M9" s="4">
        <f t="shared" si="3"/>
        <v>0.25750042859591971</v>
      </c>
      <c r="N9" s="62">
        <f t="shared" si="4"/>
        <v>1.0481507327285411</v>
      </c>
      <c r="O9" s="61">
        <f>'[5]دارایی فعلی'!$G$4</f>
        <v>30340</v>
      </c>
      <c r="P9" s="4">
        <f t="shared" si="5"/>
        <v>1.6007200411452085</v>
      </c>
      <c r="Q9" s="62">
        <f t="shared" si="6"/>
        <v>6.5157013258897418</v>
      </c>
      <c r="R9" s="61">
        <f>'[5]دارایی فعلی'!$D$4</f>
        <v>0</v>
      </c>
      <c r="S9" s="71">
        <f t="shared" si="7"/>
        <v>-1</v>
      </c>
      <c r="T9" s="70" t="str">
        <f>IF(AA8&gt;0,#REF!/ AA8,"RF")</f>
        <v>RF</v>
      </c>
    </row>
    <row r="10" spans="2:20" ht="19.2" thickBot="1" x14ac:dyDescent="0.35">
      <c r="B10" s="32" t="s">
        <v>14</v>
      </c>
      <c r="C10" s="40" t="s">
        <v>139</v>
      </c>
      <c r="D10" s="82" t="s">
        <v>138</v>
      </c>
      <c r="E10" s="9">
        <f>'[6]دارایی فعلی'!$R$4</f>
        <v>1354</v>
      </c>
      <c r="F10" s="8">
        <f>'[6]دارایی فعلی'!$Q$4</f>
        <v>73543</v>
      </c>
      <c r="G10" s="4">
        <f>IF( (F10-I10)*E10/سرمایه!K4&gt;0,(F10-I10)*E10/سرمایه!K4, "Risk free")</f>
        <v>4.1916893510434748E-3</v>
      </c>
      <c r="H10" s="61">
        <f t="shared" si="0"/>
        <v>99577222</v>
      </c>
      <c r="I10" s="6">
        <f>'[6]دارایی فعلی'!$M$4</f>
        <v>69267</v>
      </c>
      <c r="J10" s="5">
        <f t="shared" si="1"/>
        <v>5.8142855200359E-2</v>
      </c>
      <c r="K10" s="7">
        <f t="shared" si="2"/>
        <v>5789704</v>
      </c>
      <c r="L10" s="61">
        <f>'[6]دارایی فعلی'!$J$4</f>
        <v>96800</v>
      </c>
      <c r="M10" s="4">
        <f t="shared" si="3"/>
        <v>0.31623675944685425</v>
      </c>
      <c r="N10" s="62">
        <f t="shared" si="4"/>
        <v>5.4389616463985018</v>
      </c>
      <c r="O10" s="61">
        <f>'[6]دارایی فعلی'!$G$4</f>
        <v>0</v>
      </c>
      <c r="P10" s="4">
        <f t="shared" si="5"/>
        <v>-1</v>
      </c>
      <c r="Q10" s="62">
        <f t="shared" si="6"/>
        <v>-17.199017773620199</v>
      </c>
      <c r="R10" s="61">
        <f>'[6]دارایی فعلی'!$D$4</f>
        <v>0</v>
      </c>
      <c r="S10" s="71">
        <f t="shared" si="7"/>
        <v>-1</v>
      </c>
      <c r="T10" s="70" t="str">
        <f>IF(AA9&gt;0,#REF!/ AA9,"RF")</f>
        <v>RF</v>
      </c>
    </row>
    <row r="11" spans="2:20" ht="19.2" hidden="1" thickBot="1" x14ac:dyDescent="0.35">
      <c r="B11" s="54" t="s">
        <v>14</v>
      </c>
      <c r="C11" s="55" t="s">
        <v>107</v>
      </c>
      <c r="D11" s="39" t="s">
        <v>27</v>
      </c>
      <c r="E11" s="38">
        <f>'[7]دارایی فعلی'!$R$4</f>
        <v>0</v>
      </c>
      <c r="F11" s="37">
        <f>'[7]دارایی فعلی'!$Q$4</f>
        <v>1</v>
      </c>
      <c r="G11" s="33" t="str">
        <f>IF( (F11-I11)*E11/سرمایه!K4&gt;0,(F11-I11)*E11/سرمایه!K4, "Risk free")</f>
        <v>Risk free</v>
      </c>
      <c r="H11" s="59">
        <f t="shared" si="0"/>
        <v>0</v>
      </c>
      <c r="I11" s="35">
        <f>'[7]دارایی فعلی'!$M$4</f>
        <v>5128</v>
      </c>
      <c r="J11" s="34">
        <f t="shared" si="1"/>
        <v>0</v>
      </c>
      <c r="K11" s="36">
        <f t="shared" si="2"/>
        <v>0</v>
      </c>
      <c r="L11" s="59">
        <f>'[7]دارایی فعلی'!$J$4</f>
        <v>0</v>
      </c>
      <c r="M11" s="33">
        <f t="shared" si="3"/>
        <v>-1</v>
      </c>
      <c r="N11" s="60" t="str">
        <f t="shared" si="4"/>
        <v>RF</v>
      </c>
      <c r="O11" s="59">
        <f>'[7]دارایی فعلی'!$G$4</f>
        <v>0</v>
      </c>
      <c r="P11" s="33">
        <f t="shared" si="5"/>
        <v>-1</v>
      </c>
      <c r="Q11" s="60" t="str">
        <f t="shared" si="6"/>
        <v>RF</v>
      </c>
      <c r="R11" s="59">
        <f>'[7]دارایی فعلی'!$D$4</f>
        <v>0</v>
      </c>
      <c r="S11" s="81">
        <f t="shared" si="7"/>
        <v>-1</v>
      </c>
      <c r="T11" s="69" t="str">
        <f>IF(AA10&gt;0,#REF!/ AA10,"RF")</f>
        <v>RF</v>
      </c>
    </row>
    <row r="12" spans="2:20" ht="19.2" thickBot="1" x14ac:dyDescent="0.35">
      <c r="B12" s="32" t="s">
        <v>14</v>
      </c>
      <c r="C12" s="40" t="s">
        <v>108</v>
      </c>
      <c r="D12" s="31" t="s">
        <v>28</v>
      </c>
      <c r="E12" s="9">
        <f>'[8]دارایی فعلی'!$R$4</f>
        <v>11151</v>
      </c>
      <c r="F12" s="8">
        <f>'[8]دارایی فعلی'!$Q$4</f>
        <v>7672.9017128508658</v>
      </c>
      <c r="G12" s="4">
        <f>IF( (F12-I12)*E12/سرمایه!K4&gt;0,(F12-I12)*E12/سرمایه!K4, "Risk free")</f>
        <v>1.2222054742357944E-2</v>
      </c>
      <c r="H12" s="61">
        <f t="shared" si="0"/>
        <v>85560527</v>
      </c>
      <c r="I12" s="6">
        <f>'[8]دارایی فعلی'!$M$4</f>
        <v>6159</v>
      </c>
      <c r="J12" s="5">
        <f t="shared" si="1"/>
        <v>0.19730497919911139</v>
      </c>
      <c r="K12" s="7">
        <f t="shared" si="2"/>
        <v>16881518</v>
      </c>
      <c r="L12" s="61">
        <f>'[8]دارایی فعلی'!$J$4</f>
        <v>9730</v>
      </c>
      <c r="M12" s="4">
        <f t="shared" si="3"/>
        <v>0.268099131740972</v>
      </c>
      <c r="N12" s="62">
        <f t="shared" si="4"/>
        <v>1.3588057069275394</v>
      </c>
      <c r="O12" s="61">
        <f>'[8]دارایی فعلی'!$G$4</f>
        <v>11971</v>
      </c>
      <c r="P12" s="4">
        <f t="shared" si="5"/>
        <v>0.56016595129200164</v>
      </c>
      <c r="Q12" s="62">
        <f t="shared" si="6"/>
        <v>2.8390867456350768</v>
      </c>
      <c r="R12" s="61">
        <f>'[8]دارایی فعلی'!$D$4</f>
        <v>0</v>
      </c>
      <c r="S12" s="71">
        <f t="shared" si="7"/>
        <v>-1</v>
      </c>
      <c r="T12" s="70" t="str">
        <f>IF(AA11&gt;0,#REF!/ AA11,"RF")</f>
        <v>RF</v>
      </c>
    </row>
    <row r="13" spans="2:20" ht="19.2" thickBot="1" x14ac:dyDescent="0.35">
      <c r="B13" s="32" t="s">
        <v>14</v>
      </c>
      <c r="C13" s="40" t="s">
        <v>113</v>
      </c>
      <c r="D13" s="82" t="s">
        <v>31</v>
      </c>
      <c r="E13" s="9">
        <f>'[9]دارایی فعلی'!$R$4</f>
        <v>4894</v>
      </c>
      <c r="F13" s="8">
        <f>'[9]دارایی فعلی'!$Q$4</f>
        <v>13403</v>
      </c>
      <c r="G13" s="4">
        <f>IF( (F13-I13)*E13/سرمایه!K4&gt;0,(F13-I13)*E13/سرمایه!K4, "Risk free")</f>
        <v>5.2156027235343919E-3</v>
      </c>
      <c r="H13" s="61">
        <f t="shared" si="0"/>
        <v>65594282</v>
      </c>
      <c r="I13" s="6">
        <f>'[9]دارایی فعلی'!$M$4</f>
        <v>11931</v>
      </c>
      <c r="J13" s="5">
        <f t="shared" si="1"/>
        <v>0.10982615832276355</v>
      </c>
      <c r="K13" s="7">
        <f t="shared" si="2"/>
        <v>7203968</v>
      </c>
      <c r="L13" s="61">
        <f>'[9]دارایی فعلی'!$J$4</f>
        <v>15866</v>
      </c>
      <c r="M13" s="4">
        <f t="shared" si="3"/>
        <v>0.18376482876967848</v>
      </c>
      <c r="N13" s="62">
        <f t="shared" si="4"/>
        <v>1.6732336956521745</v>
      </c>
      <c r="O13" s="61">
        <f>'[9]دارایی فعلی'!$G$4</f>
        <v>18136</v>
      </c>
      <c r="P13" s="4">
        <f t="shared" si="5"/>
        <v>0.35312989629187497</v>
      </c>
      <c r="Q13" s="62">
        <f t="shared" si="6"/>
        <v>3.2153532608695659</v>
      </c>
      <c r="R13" s="61">
        <f>'[9]دارایی فعلی'!$D$4</f>
        <v>0</v>
      </c>
      <c r="S13" s="71">
        <f t="shared" si="7"/>
        <v>-1</v>
      </c>
      <c r="T13" s="70" t="str">
        <f>IF(AA12&gt;0,#REF!/ AA12,"RF")</f>
        <v>RF</v>
      </c>
    </row>
    <row r="14" spans="2:20" ht="19.2" hidden="1" thickBot="1" x14ac:dyDescent="0.35">
      <c r="B14" s="54" t="s">
        <v>14</v>
      </c>
      <c r="C14" s="55" t="s">
        <v>114</v>
      </c>
      <c r="D14" s="39" t="s">
        <v>32</v>
      </c>
      <c r="E14" s="38">
        <f>'[10]دارایی فعلی'!$R$4</f>
        <v>0</v>
      </c>
      <c r="F14" s="37">
        <f>'[10]دارایی فعلی'!$Q$4</f>
        <v>1</v>
      </c>
      <c r="G14" s="33" t="str">
        <f>IF( (F14-I14)*E14/سرمایه!K4&gt;0,(F14-I14)*E14/سرمایه!K4, "Risk free")</f>
        <v>Risk free</v>
      </c>
      <c r="H14" s="59">
        <f t="shared" si="0"/>
        <v>0</v>
      </c>
      <c r="I14" s="35">
        <f>'[10]دارایی فعلی'!$M$4</f>
        <v>5897</v>
      </c>
      <c r="J14" s="34">
        <f t="shared" si="1"/>
        <v>0</v>
      </c>
      <c r="K14" s="36">
        <f t="shared" si="2"/>
        <v>0</v>
      </c>
      <c r="L14" s="59">
        <f>'[10]دارایی فعلی'!$J$4</f>
        <v>8381</v>
      </c>
      <c r="M14" s="33">
        <f t="shared" si="3"/>
        <v>8380</v>
      </c>
      <c r="N14" s="60" t="str">
        <f t="shared" si="4"/>
        <v>RF</v>
      </c>
      <c r="O14" s="59">
        <f>'[10]دارایی فعلی'!$G$4</f>
        <v>0</v>
      </c>
      <c r="P14" s="33">
        <f t="shared" si="5"/>
        <v>-1</v>
      </c>
      <c r="Q14" s="60" t="str">
        <f t="shared" si="6"/>
        <v>RF</v>
      </c>
      <c r="R14" s="59">
        <f>'[10]دارایی فعلی'!$D$4</f>
        <v>0</v>
      </c>
      <c r="S14" s="81">
        <f t="shared" si="7"/>
        <v>-1</v>
      </c>
      <c r="T14" s="69" t="str">
        <f>IF(AA13&gt;0,#REF!/ AA13,"RF")</f>
        <v>RF</v>
      </c>
    </row>
    <row r="15" spans="2:20" ht="19.2" hidden="1" thickBot="1" x14ac:dyDescent="0.35">
      <c r="B15" s="53" t="s">
        <v>14</v>
      </c>
      <c r="C15" s="40" t="s">
        <v>103</v>
      </c>
      <c r="D15" s="31" t="s">
        <v>25</v>
      </c>
      <c r="E15" s="9">
        <f>'[11]دارایی فعلی'!$R$4</f>
        <v>0</v>
      </c>
      <c r="F15" s="8">
        <f>'[11]دارایی فعلی'!$Q$4</f>
        <v>1</v>
      </c>
      <c r="G15" s="4" t="str">
        <f>IF( (F15-I15)*E15/سرمایه!K4&gt;0,(F15-I15)*E15/سرمایه!K4, "Risk free")</f>
        <v>Risk free</v>
      </c>
      <c r="H15" s="61">
        <f t="shared" si="0"/>
        <v>0</v>
      </c>
      <c r="I15" s="6">
        <f>'[11]دارایی فعلی'!$M$4</f>
        <v>13992</v>
      </c>
      <c r="J15" s="5">
        <f t="shared" si="1"/>
        <v>0</v>
      </c>
      <c r="K15" s="7">
        <f t="shared" si="2"/>
        <v>0</v>
      </c>
      <c r="L15" s="61">
        <f>'[11]دارایی فعلی'!$J$4</f>
        <v>0</v>
      </c>
      <c r="M15" s="4">
        <f t="shared" si="3"/>
        <v>-1</v>
      </c>
      <c r="N15" s="62" t="str">
        <f t="shared" si="4"/>
        <v>RF</v>
      </c>
      <c r="O15" s="61">
        <f>'[11]دارایی فعلی'!$G$4</f>
        <v>0</v>
      </c>
      <c r="P15" s="4">
        <f t="shared" si="5"/>
        <v>-1</v>
      </c>
      <c r="Q15" s="62" t="str">
        <f t="shared" si="6"/>
        <v>RF</v>
      </c>
      <c r="R15" s="61">
        <f>'[11]دارایی فعلی'!$D$4</f>
        <v>0</v>
      </c>
      <c r="S15" s="71">
        <f t="shared" si="7"/>
        <v>-1</v>
      </c>
      <c r="T15" s="70" t="str">
        <f>IF(AA14&gt;0,#REF!/ AA14,"RF")</f>
        <v>RF</v>
      </c>
    </row>
    <row r="16" spans="2:20" ht="19.2" hidden="1" thickBot="1" x14ac:dyDescent="0.35">
      <c r="B16" s="53" t="s">
        <v>14</v>
      </c>
      <c r="C16" s="40" t="s">
        <v>102</v>
      </c>
      <c r="D16" s="31" t="s">
        <v>24</v>
      </c>
      <c r="E16" s="9">
        <f>'[12]دارایی فعلی'!$R$4</f>
        <v>0</v>
      </c>
      <c r="F16" s="8">
        <f>'[12]دارایی فعلی'!$Q$4</f>
        <v>1</v>
      </c>
      <c r="G16" s="4" t="str">
        <f>IF( (F16-I16)*E16/سرمایه!K4&gt;0,(F16-I16)*E16/سرمایه!K4, "Risk free")</f>
        <v>Risk free</v>
      </c>
      <c r="H16" s="61">
        <f t="shared" si="0"/>
        <v>0</v>
      </c>
      <c r="I16" s="6">
        <f>'[12]دارایی فعلی'!$M$4</f>
        <v>36278</v>
      </c>
      <c r="J16" s="5">
        <f t="shared" si="1"/>
        <v>0</v>
      </c>
      <c r="K16" s="7">
        <f t="shared" si="2"/>
        <v>0</v>
      </c>
      <c r="L16" s="61">
        <f>'[12]دارایی فعلی'!$J$4</f>
        <v>0</v>
      </c>
      <c r="M16" s="4">
        <f t="shared" si="3"/>
        <v>-1</v>
      </c>
      <c r="N16" s="62" t="str">
        <f t="shared" si="4"/>
        <v>RF</v>
      </c>
      <c r="O16" s="61">
        <f>'[12]دارایی فعلی'!$G$4</f>
        <v>0</v>
      </c>
      <c r="P16" s="4">
        <f t="shared" si="5"/>
        <v>-1</v>
      </c>
      <c r="Q16" s="62" t="str">
        <f t="shared" si="6"/>
        <v>RF</v>
      </c>
      <c r="R16" s="61">
        <f>'[12]دارایی فعلی'!$D$4</f>
        <v>0</v>
      </c>
      <c r="S16" s="71">
        <f t="shared" si="7"/>
        <v>-1</v>
      </c>
      <c r="T16" s="70" t="str">
        <f>IF(AA15&gt;0,#REF!/ AA15,"RF")</f>
        <v>RF</v>
      </c>
    </row>
    <row r="17" spans="2:20" ht="19.2" thickBot="1" x14ac:dyDescent="0.35">
      <c r="B17" s="32" t="s">
        <v>129</v>
      </c>
      <c r="C17" s="40" t="s">
        <v>130</v>
      </c>
      <c r="D17" s="82" t="s">
        <v>128</v>
      </c>
      <c r="E17" s="9">
        <f>'[13]دارایی فعلی'!$R$4</f>
        <v>18967</v>
      </c>
      <c r="F17" s="8">
        <f>'[13]دارایی فعلی'!$Q$4</f>
        <v>3451</v>
      </c>
      <c r="G17" s="4">
        <f>IF( (F17-I17)*E17/سرمایه!K4&gt;0,(F17-I17)*E17/سرمایه!K4, "Risk free")</f>
        <v>1.3594604180460551E-2</v>
      </c>
      <c r="H17" s="61">
        <f t="shared" si="0"/>
        <v>65455117</v>
      </c>
      <c r="I17" s="6">
        <f>'[13]دارایی فعلی'!$M$4</f>
        <v>2461</v>
      </c>
      <c r="J17" s="5">
        <f t="shared" si="1"/>
        <v>0.28687337003767022</v>
      </c>
      <c r="K17" s="7">
        <f t="shared" si="2"/>
        <v>18777330</v>
      </c>
      <c r="L17" s="61">
        <f>'[13]دارایی فعلی'!$J$4</f>
        <v>4584</v>
      </c>
      <c r="M17" s="4">
        <f t="shared" si="3"/>
        <v>0.32831063459866705</v>
      </c>
      <c r="N17" s="62">
        <f t="shared" si="4"/>
        <v>1.1444444444444446</v>
      </c>
      <c r="O17" s="61">
        <f>'[13]دارایی فعلی'!$G$4</f>
        <v>0</v>
      </c>
      <c r="P17" s="4">
        <f t="shared" si="5"/>
        <v>-1</v>
      </c>
      <c r="Q17" s="62">
        <f t="shared" si="6"/>
        <v>-3.485858585858586</v>
      </c>
      <c r="R17" s="61">
        <f>'[13]دارایی فعلی'!$D$4</f>
        <v>0</v>
      </c>
      <c r="S17" s="71">
        <f t="shared" si="7"/>
        <v>-1</v>
      </c>
      <c r="T17" s="70" t="str">
        <f>IF(AA16&gt;0,#REF!/ AA16,"RF")</f>
        <v>RF</v>
      </c>
    </row>
    <row r="18" spans="2:20" ht="19.2" hidden="1" thickBot="1" x14ac:dyDescent="0.35">
      <c r="B18" s="54" t="s">
        <v>14</v>
      </c>
      <c r="C18" s="55" t="s">
        <v>110</v>
      </c>
      <c r="D18" s="39" t="s">
        <v>30</v>
      </c>
      <c r="E18" s="38">
        <f>'[14]دارایی فعلی'!$R$4</f>
        <v>0</v>
      </c>
      <c r="F18" s="37">
        <f>'[14]دارایی فعلی'!$Q$4</f>
        <v>1</v>
      </c>
      <c r="G18" s="33" t="str">
        <f>IF( (F18-I18)*E18/سرمایه!K4&gt;0,(F18-I18)*E18/سرمایه!K4, "Risk free")</f>
        <v>Risk free</v>
      </c>
      <c r="H18" s="59">
        <f t="shared" si="0"/>
        <v>0</v>
      </c>
      <c r="I18" s="35">
        <f>'[14]دارایی فعلی'!$M$4</f>
        <v>10232</v>
      </c>
      <c r="J18" s="34">
        <f t="shared" si="1"/>
        <v>0</v>
      </c>
      <c r="K18" s="36">
        <f t="shared" si="2"/>
        <v>0</v>
      </c>
      <c r="L18" s="59">
        <f>'[14]دارایی فعلی'!$J$4</f>
        <v>0</v>
      </c>
      <c r="M18" s="33">
        <f t="shared" si="3"/>
        <v>-1</v>
      </c>
      <c r="N18" s="60" t="str">
        <f t="shared" si="4"/>
        <v>RF</v>
      </c>
      <c r="O18" s="59">
        <f>'[14]دارایی فعلی'!$G$4</f>
        <v>0</v>
      </c>
      <c r="P18" s="33">
        <f t="shared" si="5"/>
        <v>-1</v>
      </c>
      <c r="Q18" s="60" t="str">
        <f t="shared" si="6"/>
        <v>RF</v>
      </c>
      <c r="R18" s="59">
        <f>'[14]دارایی فعلی'!$D$4</f>
        <v>0</v>
      </c>
      <c r="S18" s="81">
        <f t="shared" si="7"/>
        <v>-1</v>
      </c>
      <c r="T18" s="69" t="str">
        <f>IF(AA17&gt;0,#REF!/ AA17,"RF")</f>
        <v>RF</v>
      </c>
    </row>
    <row r="19" spans="2:20" ht="19.2" hidden="1" thickBot="1" x14ac:dyDescent="0.35">
      <c r="B19" s="53" t="s">
        <v>14</v>
      </c>
      <c r="C19" s="40" t="s">
        <v>120</v>
      </c>
      <c r="D19" s="31" t="s">
        <v>37</v>
      </c>
      <c r="E19" s="9">
        <f>'[15]دارایی فعلی'!$R$4</f>
        <v>0</v>
      </c>
      <c r="F19" s="8">
        <f>'[15]دارایی فعلی'!$Q$4</f>
        <v>1</v>
      </c>
      <c r="G19" s="4" t="str">
        <f>IF( (F19-I19)*E19/سرمایه!K4&gt;0,(F19-I19)*E19/سرمایه!K4, "Risk free")</f>
        <v>Risk free</v>
      </c>
      <c r="H19" s="61">
        <f t="shared" si="0"/>
        <v>0</v>
      </c>
      <c r="I19" s="6">
        <f>'[15]دارایی فعلی'!$M$4</f>
        <v>4722</v>
      </c>
      <c r="J19" s="5">
        <f t="shared" si="1"/>
        <v>0</v>
      </c>
      <c r="K19" s="7">
        <f t="shared" si="2"/>
        <v>0</v>
      </c>
      <c r="L19" s="61">
        <f>'[15]دارایی فعلی'!$J$4</f>
        <v>0</v>
      </c>
      <c r="M19" s="4">
        <f t="shared" si="3"/>
        <v>-1</v>
      </c>
      <c r="N19" s="62" t="str">
        <f t="shared" si="4"/>
        <v>RF</v>
      </c>
      <c r="O19" s="61">
        <f>'[15]دارایی فعلی'!$G$4</f>
        <v>0</v>
      </c>
      <c r="P19" s="4">
        <f t="shared" si="5"/>
        <v>-1</v>
      </c>
      <c r="Q19" s="62" t="str">
        <f t="shared" si="6"/>
        <v>RF</v>
      </c>
      <c r="R19" s="61">
        <f>'[15]دارایی فعلی'!$D$4</f>
        <v>0</v>
      </c>
      <c r="S19" s="71">
        <f t="shared" si="7"/>
        <v>-1</v>
      </c>
      <c r="T19" s="70" t="str">
        <f>IF(AA18&gt;0,#REF!/ AA18,"RF")</f>
        <v>RF</v>
      </c>
    </row>
    <row r="20" spans="2:20" ht="19.2" hidden="1" thickBot="1" x14ac:dyDescent="0.35">
      <c r="B20" s="53" t="s">
        <v>14</v>
      </c>
      <c r="C20" s="40" t="s">
        <v>109</v>
      </c>
      <c r="D20" s="31" t="s">
        <v>29</v>
      </c>
      <c r="E20" s="9">
        <f>'[16]دارایی فعلی'!$R$4</f>
        <v>0</v>
      </c>
      <c r="F20" s="8">
        <f>'[16]دارایی فعلی'!$Q$4</f>
        <v>1</v>
      </c>
      <c r="G20" s="4" t="str">
        <f>IF( (F20-I20)*E20/سرمایه!K4&gt;0,(F20-I20)*E20/سرمایه!K4, "Risk free")</f>
        <v>Risk free</v>
      </c>
      <c r="H20" s="61">
        <f t="shared" si="0"/>
        <v>0</v>
      </c>
      <c r="I20" s="6">
        <f>'[16]دارایی فعلی'!$M$4</f>
        <v>23065</v>
      </c>
      <c r="J20" s="5">
        <f t="shared" si="1"/>
        <v>0</v>
      </c>
      <c r="K20" s="7">
        <f t="shared" si="2"/>
        <v>0</v>
      </c>
      <c r="L20" s="61">
        <f>'[16]دارایی فعلی'!$J$4</f>
        <v>0</v>
      </c>
      <c r="M20" s="4">
        <f t="shared" si="3"/>
        <v>-1</v>
      </c>
      <c r="N20" s="62" t="str">
        <f t="shared" si="4"/>
        <v>RF</v>
      </c>
      <c r="O20" s="61">
        <f>'[16]دارایی فعلی'!$G$4</f>
        <v>0</v>
      </c>
      <c r="P20" s="4">
        <f t="shared" si="5"/>
        <v>-1</v>
      </c>
      <c r="Q20" s="62" t="str">
        <f t="shared" si="6"/>
        <v>RF</v>
      </c>
      <c r="R20" s="61">
        <f>'[16]دارایی فعلی'!$D$4</f>
        <v>0</v>
      </c>
      <c r="S20" s="71">
        <f t="shared" si="7"/>
        <v>-1</v>
      </c>
      <c r="T20" s="70" t="str">
        <f>IF(AA19&gt;0,#REF!/ AA19,"RF")</f>
        <v>RF</v>
      </c>
    </row>
    <row r="21" spans="2:20" ht="19.2" hidden="1" thickBot="1" x14ac:dyDescent="0.35">
      <c r="B21" s="53" t="s">
        <v>14</v>
      </c>
      <c r="C21" s="40" t="s">
        <v>121</v>
      </c>
      <c r="D21" s="31" t="s">
        <v>45</v>
      </c>
      <c r="E21" s="9">
        <f>'[17]دارایی فعلی'!$R$4</f>
        <v>0</v>
      </c>
      <c r="F21" s="8">
        <f>'[17]دارایی فعلی'!$Q$4</f>
        <v>1</v>
      </c>
      <c r="G21" s="4" t="str">
        <f>IF( (F21-I21)*E21/سرمایه!K4&gt;0,(F21-I21)*E21/سرمایه!K4, "Risk free")</f>
        <v>Risk free</v>
      </c>
      <c r="H21" s="61">
        <f t="shared" si="0"/>
        <v>0</v>
      </c>
      <c r="I21" s="6">
        <f>'[17]دارایی فعلی'!$M$4</f>
        <v>5707</v>
      </c>
      <c r="J21" s="5">
        <f t="shared" si="1"/>
        <v>0</v>
      </c>
      <c r="K21" s="7">
        <f t="shared" si="2"/>
        <v>0</v>
      </c>
      <c r="L21" s="61">
        <f>'[17]دارایی فعلی'!$J$4</f>
        <v>0</v>
      </c>
      <c r="M21" s="4">
        <f t="shared" si="3"/>
        <v>-1</v>
      </c>
      <c r="N21" s="62" t="str">
        <f t="shared" si="4"/>
        <v>RF</v>
      </c>
      <c r="O21" s="61">
        <f>'[17]دارایی فعلی'!$G$4</f>
        <v>0</v>
      </c>
      <c r="P21" s="4">
        <f t="shared" si="5"/>
        <v>-1</v>
      </c>
      <c r="Q21" s="62" t="str">
        <f t="shared" si="6"/>
        <v>RF</v>
      </c>
      <c r="R21" s="61">
        <f>'[17]دارایی فعلی'!$D$4</f>
        <v>0</v>
      </c>
      <c r="S21" s="71">
        <f t="shared" si="7"/>
        <v>-1</v>
      </c>
      <c r="T21" s="70" t="str">
        <f>IF(AA20&gt;0,#REF!/ AA20,"RF")</f>
        <v>RF</v>
      </c>
    </row>
    <row r="22" spans="2:20" ht="19.2" hidden="1" thickBot="1" x14ac:dyDescent="0.35">
      <c r="B22" s="53" t="s">
        <v>14</v>
      </c>
      <c r="C22" s="40" t="s">
        <v>115</v>
      </c>
      <c r="D22" s="31" t="s">
        <v>43</v>
      </c>
      <c r="E22" s="9">
        <f>'[18]دارایی فعلی'!$R$4</f>
        <v>0</v>
      </c>
      <c r="F22" s="8">
        <f>'[18]دارایی فعلی'!$Q$4</f>
        <v>1</v>
      </c>
      <c r="G22" s="4" t="str">
        <f>IF( (F22-I22)*E22/سرمایه!K4&gt;0,(F22-I22)*E22/سرمایه!K4, "Risk free")</f>
        <v>Risk free</v>
      </c>
      <c r="H22" s="61">
        <f t="shared" si="0"/>
        <v>0</v>
      </c>
      <c r="I22" s="6">
        <f>'[18]دارایی فعلی'!$M$4</f>
        <v>17246</v>
      </c>
      <c r="J22" s="5">
        <f t="shared" si="1"/>
        <v>0</v>
      </c>
      <c r="K22" s="7">
        <f t="shared" si="2"/>
        <v>0</v>
      </c>
      <c r="L22" s="61">
        <f>'[18]دارایی فعلی'!$J$4</f>
        <v>0</v>
      </c>
      <c r="M22" s="4">
        <f t="shared" si="3"/>
        <v>-1</v>
      </c>
      <c r="N22" s="62" t="str">
        <f t="shared" si="4"/>
        <v>RF</v>
      </c>
      <c r="O22" s="61">
        <f>'[18]دارایی فعلی'!$G$4</f>
        <v>0</v>
      </c>
      <c r="P22" s="4">
        <f t="shared" si="5"/>
        <v>-1</v>
      </c>
      <c r="Q22" s="62" t="str">
        <f t="shared" si="6"/>
        <v>RF</v>
      </c>
      <c r="R22" s="61">
        <f>'[18]دارایی فعلی'!$D$4</f>
        <v>0</v>
      </c>
      <c r="S22" s="71">
        <f t="shared" si="7"/>
        <v>-1</v>
      </c>
      <c r="T22" s="70" t="str">
        <f>IF(AA21&gt;0,#REF!/ AA21,"RF")</f>
        <v>RF</v>
      </c>
    </row>
    <row r="23" spans="2:20" ht="19.2" hidden="1" thickBot="1" x14ac:dyDescent="0.35">
      <c r="B23" s="53" t="s">
        <v>14</v>
      </c>
      <c r="C23" s="40" t="s">
        <v>118</v>
      </c>
      <c r="D23" s="31" t="s">
        <v>44</v>
      </c>
      <c r="E23" s="9">
        <f>'[19]دارایی فعلی'!$R$4</f>
        <v>0</v>
      </c>
      <c r="F23" s="8">
        <f>'[19]دارایی فعلی'!$Q$4</f>
        <v>1</v>
      </c>
      <c r="G23" s="4" t="str">
        <f>IF( (F23-I23)*E23/سرمایه!K4&gt;0,(F23-I23)*E23/سرمایه!K4, "Risk free")</f>
        <v>Risk free</v>
      </c>
      <c r="H23" s="61">
        <f t="shared" si="0"/>
        <v>0</v>
      </c>
      <c r="I23" s="6">
        <f>'[19]دارایی فعلی'!$M$4</f>
        <v>29923</v>
      </c>
      <c r="J23" s="5">
        <f t="shared" si="1"/>
        <v>0</v>
      </c>
      <c r="K23" s="7">
        <f t="shared" si="2"/>
        <v>0</v>
      </c>
      <c r="L23" s="61">
        <f>'[19]دارایی فعلی'!$J$4</f>
        <v>0</v>
      </c>
      <c r="M23" s="4">
        <f t="shared" si="3"/>
        <v>-1</v>
      </c>
      <c r="N23" s="62" t="str">
        <f t="shared" si="4"/>
        <v>RF</v>
      </c>
      <c r="O23" s="61">
        <f>'[19]دارایی فعلی'!$G$4</f>
        <v>0</v>
      </c>
      <c r="P23" s="4">
        <f t="shared" si="5"/>
        <v>-1</v>
      </c>
      <c r="Q23" s="62" t="str">
        <f t="shared" si="6"/>
        <v>RF</v>
      </c>
      <c r="R23" s="61">
        <f>'[19]دارایی فعلی'!$D$4</f>
        <v>0</v>
      </c>
      <c r="S23" s="71">
        <f t="shared" si="7"/>
        <v>-1</v>
      </c>
      <c r="T23" s="70" t="str">
        <f>IF(AA22&gt;0,#REF!/ AA22,"RF")</f>
        <v>RF</v>
      </c>
    </row>
    <row r="24" spans="2:20" ht="19.2" thickBot="1" x14ac:dyDescent="0.35">
      <c r="B24" s="32" t="s">
        <v>14</v>
      </c>
      <c r="C24" s="40" t="s">
        <v>116</v>
      </c>
      <c r="D24" s="31" t="s">
        <v>34</v>
      </c>
      <c r="E24" s="9">
        <f>'[20]دارایی فعلی'!$R$4</f>
        <v>1584</v>
      </c>
      <c r="F24" s="8">
        <f>'[20]دارایی فعلی'!$Q$4</f>
        <v>38204</v>
      </c>
      <c r="G24" s="4">
        <f>IF( (F24-I24)*E24/سرمایه!K4&gt;0,(F24-I24)*E24/سرمایه!K4, "Risk free")</f>
        <v>1.0926715970384616E-2</v>
      </c>
      <c r="H24" s="61">
        <f t="shared" si="0"/>
        <v>60515136</v>
      </c>
      <c r="I24" s="6">
        <f>'[20]دارایی فعلی'!$M$4</f>
        <v>28676</v>
      </c>
      <c r="J24" s="5">
        <f t="shared" si="1"/>
        <v>0.24939796879907861</v>
      </c>
      <c r="K24" s="7">
        <f t="shared" si="2"/>
        <v>15092352</v>
      </c>
      <c r="L24" s="61">
        <f>'[20]دارایی فعلی'!$J$4</f>
        <v>45154</v>
      </c>
      <c r="M24" s="4">
        <f t="shared" si="3"/>
        <v>0.18191812375667471</v>
      </c>
      <c r="N24" s="62">
        <f t="shared" si="4"/>
        <v>0.72942905121746449</v>
      </c>
      <c r="O24" s="61">
        <f>'[20]دارایی فعلی'!$G$4</f>
        <v>0</v>
      </c>
      <c r="P24" s="4">
        <f t="shared" si="5"/>
        <v>-1</v>
      </c>
      <c r="Q24" s="62">
        <f t="shared" si="6"/>
        <v>-4.0096557514693538</v>
      </c>
      <c r="R24" s="61">
        <f>'[20]دارایی فعلی'!$D$4</f>
        <v>0</v>
      </c>
      <c r="S24" s="71">
        <f t="shared" si="7"/>
        <v>-1</v>
      </c>
      <c r="T24" s="70" t="str">
        <f>IF(AA23&gt;0,#REF!/ AA23,"RF")</f>
        <v>RF</v>
      </c>
    </row>
    <row r="25" spans="2:20" ht="19.2" thickBot="1" x14ac:dyDescent="0.35">
      <c r="B25" s="32" t="s">
        <v>14</v>
      </c>
      <c r="C25" s="40" t="s">
        <v>135</v>
      </c>
      <c r="D25" s="31" t="s">
        <v>134</v>
      </c>
      <c r="E25" s="9">
        <f>'[21]دارایی فعلی'!$R$4</f>
        <v>3636</v>
      </c>
      <c r="F25" s="8">
        <f>'[21]دارایی فعلی'!$Q$4</f>
        <v>8725</v>
      </c>
      <c r="G25" s="4" t="str">
        <f>IF( (F25-I25)*E25/سرمایه!K4&gt;0,(F25-I25)*E25/سرمایه!K4, "Risk free")</f>
        <v>Risk free</v>
      </c>
      <c r="H25" s="61">
        <f t="shared" si="0"/>
        <v>31724100</v>
      </c>
      <c r="I25" s="6">
        <f>'[21]دارایی فعلی'!$M$4</f>
        <v>8725</v>
      </c>
      <c r="J25" s="5">
        <f t="shared" si="1"/>
        <v>0</v>
      </c>
      <c r="K25" s="7">
        <f t="shared" si="2"/>
        <v>0</v>
      </c>
      <c r="L25" s="61">
        <f>'[21]دارایی فعلی'!$J$4</f>
        <v>0</v>
      </c>
      <c r="M25" s="4">
        <f t="shared" si="3"/>
        <v>-1</v>
      </c>
      <c r="N25" s="62" t="str">
        <f t="shared" si="4"/>
        <v>RF</v>
      </c>
      <c r="O25" s="61">
        <f>'[21]دارایی فعلی'!$G$4</f>
        <v>0</v>
      </c>
      <c r="P25" s="4">
        <f t="shared" si="5"/>
        <v>-1</v>
      </c>
      <c r="Q25" s="62" t="str">
        <f t="shared" si="6"/>
        <v>RF</v>
      </c>
      <c r="R25" s="61">
        <f>'[21]دارایی فعلی'!$D$4</f>
        <v>0</v>
      </c>
      <c r="S25" s="71">
        <f t="shared" si="7"/>
        <v>-1</v>
      </c>
      <c r="T25" s="70" t="str">
        <f>IF(AA24&gt;0,#REF!/ AA24,"RF")</f>
        <v>RF</v>
      </c>
    </row>
    <row r="26" spans="2:20" ht="19.2" thickBot="1" x14ac:dyDescent="0.35">
      <c r="B26" s="32" t="s">
        <v>14</v>
      </c>
      <c r="C26" s="40" t="s">
        <v>106</v>
      </c>
      <c r="D26" s="31" t="s">
        <v>26</v>
      </c>
      <c r="E26" s="9">
        <f>'[22]دارایی فعلی'!$R$4</f>
        <v>2926</v>
      </c>
      <c r="F26" s="8">
        <f>'[22]دارایی فعلی'!$Q$4</f>
        <v>9614</v>
      </c>
      <c r="G26" s="4">
        <f>IF( (F26-I26)*E26/سرمایه!K4&gt;0,(F26-I26)*E26/سرمایه!K4, "Risk free")</f>
        <v>2.5187722785018308E-3</v>
      </c>
      <c r="H26" s="61">
        <f t="shared" si="0"/>
        <v>28130564</v>
      </c>
      <c r="I26" s="6">
        <f>'[22]دارایی فعلی'!$M$4</f>
        <v>8425</v>
      </c>
      <c r="J26" s="5">
        <f t="shared" si="1"/>
        <v>0.12367380902850011</v>
      </c>
      <c r="K26" s="7">
        <f t="shared" si="2"/>
        <v>3479014</v>
      </c>
      <c r="L26" s="61">
        <f>'[22]دارایی فعلی'!$J$4</f>
        <v>11642</v>
      </c>
      <c r="M26" s="4">
        <f t="shared" si="3"/>
        <v>0.21094237570210117</v>
      </c>
      <c r="N26" s="62">
        <f t="shared" si="4"/>
        <v>1.705634987384357</v>
      </c>
      <c r="O26" s="61">
        <f>'[22]دارایی فعلی'!$G$4</f>
        <v>0</v>
      </c>
      <c r="P26" s="4">
        <f t="shared" si="5"/>
        <v>-1</v>
      </c>
      <c r="Q26" s="62">
        <f t="shared" si="6"/>
        <v>-8.0857863751051298</v>
      </c>
      <c r="R26" s="61">
        <f>'[22]دارایی فعلی'!$D$4</f>
        <v>0</v>
      </c>
      <c r="S26" s="71">
        <f t="shared" si="7"/>
        <v>-1</v>
      </c>
      <c r="T26" s="70" t="str">
        <f>IF(AA25&gt;0,#REF!/ AA25,"RF")</f>
        <v>RF</v>
      </c>
    </row>
    <row r="27" spans="2:20" ht="19.2" thickBot="1" x14ac:dyDescent="0.35">
      <c r="B27" s="32" t="s">
        <v>14</v>
      </c>
      <c r="C27" s="40" t="s">
        <v>112</v>
      </c>
      <c r="D27" s="31" t="s">
        <v>38</v>
      </c>
      <c r="E27" s="9">
        <f>'[23]دارایی فعلی'!$R$4</f>
        <v>1337</v>
      </c>
      <c r="F27" s="8">
        <f>'[23]دارایی فعلی'!$Q$4</f>
        <v>4443</v>
      </c>
      <c r="G27" s="4" t="str">
        <f>IF( (F27-I27)*E27/سرمایه!K4&gt;0,(F27-I27)*E27/سرمایه!K4, "Risk free")</f>
        <v>Risk free</v>
      </c>
      <c r="H27" s="61">
        <f t="shared" si="0"/>
        <v>5940291</v>
      </c>
      <c r="I27" s="6">
        <f>'[23]دارایی فعلی'!$M$4</f>
        <v>4443</v>
      </c>
      <c r="J27" s="5">
        <f t="shared" si="1"/>
        <v>0</v>
      </c>
      <c r="K27" s="7">
        <f t="shared" si="2"/>
        <v>0</v>
      </c>
      <c r="L27" s="61">
        <f>'[23]دارایی فعلی'!$J$4</f>
        <v>0</v>
      </c>
      <c r="M27" s="4">
        <f t="shared" si="3"/>
        <v>-1</v>
      </c>
      <c r="N27" s="62" t="str">
        <f t="shared" si="4"/>
        <v>RF</v>
      </c>
      <c r="O27" s="61">
        <f>'[23]دارایی فعلی'!$G$4</f>
        <v>0</v>
      </c>
      <c r="P27" s="4">
        <f t="shared" si="5"/>
        <v>-1</v>
      </c>
      <c r="Q27" s="62" t="str">
        <f t="shared" si="6"/>
        <v>RF</v>
      </c>
      <c r="R27" s="61">
        <f>'[23]دارایی فعلی'!$D$4</f>
        <v>0</v>
      </c>
      <c r="S27" s="71">
        <f t="shared" si="7"/>
        <v>-1</v>
      </c>
      <c r="T27" s="70" t="str">
        <f>IF(AA26&gt;0,#REF!/ AA26,"RF")</f>
        <v>RF</v>
      </c>
    </row>
    <row r="28" spans="2:20" ht="19.2" thickBot="1" x14ac:dyDescent="0.35">
      <c r="B28" s="32" t="s">
        <v>14</v>
      </c>
      <c r="C28" s="40" t="s">
        <v>104</v>
      </c>
      <c r="D28" s="31" t="s">
        <v>40</v>
      </c>
      <c r="E28" s="9">
        <f>'[24]دارایی فعلی'!$R$4</f>
        <v>201</v>
      </c>
      <c r="F28" s="8">
        <f>'[24]دارایی فعلی'!$Q$4</f>
        <v>13310</v>
      </c>
      <c r="G28" s="4" t="str">
        <f>IF( (F28-I28)*E28/سرمایه!K4&gt;0,(F28-I28)*E28/سرمایه!K4, "Risk free")</f>
        <v>Risk free</v>
      </c>
      <c r="H28" s="61">
        <f t="shared" si="0"/>
        <v>2675310</v>
      </c>
      <c r="I28" s="6">
        <f>'[24]دارایی فعلی'!$M$4</f>
        <v>13310</v>
      </c>
      <c r="J28" s="5">
        <f t="shared" si="1"/>
        <v>0</v>
      </c>
      <c r="K28" s="7">
        <f t="shared" si="2"/>
        <v>0</v>
      </c>
      <c r="L28" s="61">
        <f>'[24]دارایی فعلی'!$J$4</f>
        <v>0</v>
      </c>
      <c r="M28" s="4">
        <f t="shared" si="3"/>
        <v>-1</v>
      </c>
      <c r="N28" s="62" t="str">
        <f t="shared" si="4"/>
        <v>RF</v>
      </c>
      <c r="O28" s="61">
        <f>'[24]دارایی فعلی'!$G$4</f>
        <v>0</v>
      </c>
      <c r="P28" s="4">
        <f t="shared" si="5"/>
        <v>-1</v>
      </c>
      <c r="Q28" s="62" t="str">
        <f t="shared" si="6"/>
        <v>RF</v>
      </c>
      <c r="R28" s="61">
        <f>'[24]دارایی فعلی'!$D$4</f>
        <v>0</v>
      </c>
      <c r="S28" s="71">
        <f t="shared" si="7"/>
        <v>-1</v>
      </c>
      <c r="T28" s="70" t="str">
        <f>IF(AA27&gt;0,#REF!/ AA27,"RF")</f>
        <v>RF</v>
      </c>
    </row>
    <row r="29" spans="2:20" ht="19.2" thickBot="1" x14ac:dyDescent="0.35">
      <c r="B29" s="32" t="s">
        <v>14</v>
      </c>
      <c r="C29" s="40" t="s">
        <v>101</v>
      </c>
      <c r="D29" s="31" t="s">
        <v>39</v>
      </c>
      <c r="E29" s="9">
        <f>'[25]دارایی فعلی'!$R$4</f>
        <v>420</v>
      </c>
      <c r="F29" s="8">
        <f>'[25]دارایی فعلی'!$Q$4</f>
        <v>3450</v>
      </c>
      <c r="G29" s="4" t="str">
        <f>IF( (F29-I29)*E29/سرمایه!K4&gt;0,(F29-I29)*E29/سرمایه!K4, "Risk free")</f>
        <v>Risk free</v>
      </c>
      <c r="H29" s="61">
        <f t="shared" si="0"/>
        <v>1449000</v>
      </c>
      <c r="I29" s="6">
        <f>'[25]دارایی فعلی'!$M$4</f>
        <v>3450</v>
      </c>
      <c r="J29" s="5">
        <f t="shared" si="1"/>
        <v>0</v>
      </c>
      <c r="K29" s="7">
        <f t="shared" si="2"/>
        <v>0</v>
      </c>
      <c r="L29" s="61">
        <f>'[25]دارایی فعلی'!$J$4</f>
        <v>0</v>
      </c>
      <c r="M29" s="4">
        <f t="shared" si="3"/>
        <v>-1</v>
      </c>
      <c r="N29" s="62" t="str">
        <f t="shared" si="4"/>
        <v>RF</v>
      </c>
      <c r="O29" s="61">
        <f>'[25]دارایی فعلی'!$G$4</f>
        <v>0</v>
      </c>
      <c r="P29" s="4">
        <f t="shared" si="5"/>
        <v>-1</v>
      </c>
      <c r="Q29" s="62" t="str">
        <f t="shared" si="6"/>
        <v>RF</v>
      </c>
      <c r="R29" s="61">
        <f>'[25]دارایی فعلی'!$D$4</f>
        <v>0</v>
      </c>
      <c r="S29" s="71">
        <f t="shared" si="7"/>
        <v>-1</v>
      </c>
      <c r="T29" s="70" t="str">
        <f>IF(AA28&gt;0,#REF!/ AA28,"RF")</f>
        <v>RF</v>
      </c>
    </row>
    <row r="30" spans="2:20" ht="19.2" thickBot="1" x14ac:dyDescent="0.35">
      <c r="B30" s="32" t="s">
        <v>14</v>
      </c>
      <c r="C30" s="40" t="s">
        <v>105</v>
      </c>
      <c r="D30" s="31" t="s">
        <v>41</v>
      </c>
      <c r="E30" s="9">
        <f>'[26]دارایی فعلی'!$R$4</f>
        <v>37</v>
      </c>
      <c r="F30" s="8">
        <f>'[26]دارایی فعلی'!$Q$4</f>
        <v>23838</v>
      </c>
      <c r="G30" s="4" t="str">
        <f>IF( (F30-I30)*E30/سرمایه!K4&gt;0,(F30-I30)*E30/سرمایه!K4, "Risk free")</f>
        <v>Risk free</v>
      </c>
      <c r="H30" s="61">
        <f t="shared" si="0"/>
        <v>882006</v>
      </c>
      <c r="I30" s="6">
        <f>'[26]دارایی فعلی'!$M$4</f>
        <v>23838</v>
      </c>
      <c r="J30" s="5">
        <f t="shared" si="1"/>
        <v>0</v>
      </c>
      <c r="K30" s="7">
        <f t="shared" si="2"/>
        <v>0</v>
      </c>
      <c r="L30" s="61">
        <f>'[26]دارایی فعلی'!$J$4</f>
        <v>0</v>
      </c>
      <c r="M30" s="4">
        <f t="shared" si="3"/>
        <v>-1</v>
      </c>
      <c r="N30" s="62" t="str">
        <f t="shared" si="4"/>
        <v>RF</v>
      </c>
      <c r="O30" s="61">
        <f>'[26]دارایی فعلی'!$G$4</f>
        <v>0</v>
      </c>
      <c r="P30" s="4">
        <f t="shared" si="5"/>
        <v>-1</v>
      </c>
      <c r="Q30" s="62" t="str">
        <f t="shared" si="6"/>
        <v>RF</v>
      </c>
      <c r="R30" s="61">
        <f>'[26]دارایی فعلی'!$D$4</f>
        <v>0</v>
      </c>
      <c r="S30" s="71">
        <f t="shared" si="7"/>
        <v>-1</v>
      </c>
      <c r="T30" s="70" t="str">
        <f>IF(AA29&gt;0,#REF!/ AA29,"RF")</f>
        <v>RF</v>
      </c>
    </row>
    <row r="31" spans="2:20" ht="19.2" thickBot="1" x14ac:dyDescent="0.35">
      <c r="B31" s="32" t="s">
        <v>14</v>
      </c>
      <c r="C31" s="40" t="s">
        <v>111</v>
      </c>
      <c r="D31" s="82" t="s">
        <v>42</v>
      </c>
      <c r="E31" s="9">
        <f>'[27]دارایی فعلی'!$R$4</f>
        <v>21</v>
      </c>
      <c r="F31" s="8">
        <f>'[27]دارایی فعلی'!$Q$4</f>
        <v>20185</v>
      </c>
      <c r="G31" s="4" t="str">
        <f>IF( (F31-I31)*E31/سرمایه!K4&gt;0,(F31-I31)*E31/سرمایه!K4, "Risk free")</f>
        <v>Risk free</v>
      </c>
      <c r="H31" s="61">
        <f t="shared" si="0"/>
        <v>423885</v>
      </c>
      <c r="I31" s="6">
        <f>'[27]دارایی فعلی'!$M$4</f>
        <v>20185</v>
      </c>
      <c r="J31" s="5">
        <f t="shared" si="1"/>
        <v>0</v>
      </c>
      <c r="K31" s="7">
        <f t="shared" si="2"/>
        <v>0</v>
      </c>
      <c r="L31" s="61">
        <f>'[27]دارایی فعلی'!$J$4</f>
        <v>0</v>
      </c>
      <c r="M31" s="4">
        <f t="shared" si="3"/>
        <v>-1</v>
      </c>
      <c r="N31" s="62" t="str">
        <f t="shared" si="4"/>
        <v>RF</v>
      </c>
      <c r="O31" s="61">
        <f>'[27]دارایی فعلی'!$G$4</f>
        <v>0</v>
      </c>
      <c r="P31" s="4">
        <f t="shared" si="5"/>
        <v>-1</v>
      </c>
      <c r="Q31" s="62" t="str">
        <f t="shared" si="6"/>
        <v>RF</v>
      </c>
      <c r="R31" s="61">
        <f>'[27]دارایی فعلی'!$D$4</f>
        <v>0</v>
      </c>
      <c r="S31" s="71">
        <f t="shared" si="7"/>
        <v>-1</v>
      </c>
      <c r="T31" s="70" t="str">
        <f>IF(AA30&gt;0,#REF!/ AA30,"RF")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29" r:id="rId2"/>
    <hyperlink ref="C16" r:id="rId3"/>
    <hyperlink ref="C15" r:id="rId4"/>
    <hyperlink ref="C28" r:id="rId5"/>
    <hyperlink ref="C30" r:id="rId6"/>
    <hyperlink ref="C26" r:id="rId7"/>
    <hyperlink ref="C11" r:id="rId8"/>
    <hyperlink ref="C12" r:id="rId9"/>
    <hyperlink ref="C20" r:id="rId10"/>
    <hyperlink ref="C18" r:id="rId11"/>
    <hyperlink ref="C31" r:id="rId12"/>
    <hyperlink ref="C27" r:id="rId13"/>
    <hyperlink ref="C13" r:id="rId14"/>
    <hyperlink ref="C14" r:id="rId15"/>
    <hyperlink ref="C8" r:id="rId16"/>
    <hyperlink ref="C22" r:id="rId17"/>
    <hyperlink ref="C24" r:id="rId18"/>
    <hyperlink ref="C5" r:id="rId19"/>
    <hyperlink ref="C23" r:id="rId20"/>
    <hyperlink ref="C7" r:id="rId21"/>
    <hyperlink ref="C19" r:id="rId22"/>
    <hyperlink ref="C21" r:id="rId23"/>
    <hyperlink ref="C17" r:id="rId24"/>
    <hyperlink ref="C25" r:id="rId25"/>
    <hyperlink ref="C10" r:id="rId26"/>
    <hyperlink ref="C9" r:id="rId27"/>
  </hyperlinks>
  <pageMargins left="0.7" right="0.7" top="0.75" bottom="0.75" header="0.3" footer="0.3"/>
  <pageSetup orientation="portrait" horizontalDpi="300" verticalDpi="0" copies="0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rightToLeft="1" zoomScaleNormal="100" workbookViewId="0"/>
  </sheetViews>
  <sheetFormatPr defaultRowHeight="16.2" x14ac:dyDescent="0.3"/>
  <cols>
    <col min="1" max="1" width="4.109375" style="73" customWidth="1"/>
    <col min="2" max="2" width="11.21875" style="73" customWidth="1"/>
    <col min="3" max="3" width="14.109375" style="73" customWidth="1"/>
    <col min="4" max="4" width="14.6640625" style="73" bestFit="1" customWidth="1"/>
    <col min="5" max="5" width="13.44140625" style="73" customWidth="1"/>
    <col min="6" max="6" width="14.5546875" style="73" customWidth="1"/>
    <col min="7" max="7" width="10.6640625" style="73" bestFit="1" customWidth="1"/>
    <col min="8" max="8" width="18.5546875" style="73" bestFit="1" customWidth="1"/>
    <col min="9" max="9" width="11.6640625" style="73" customWidth="1"/>
    <col min="10" max="10" width="7" style="73" customWidth="1"/>
    <col min="11" max="11" width="25.6640625" style="73" bestFit="1" customWidth="1"/>
    <col min="12" max="12" width="11.77734375" style="73" customWidth="1"/>
    <col min="13" max="13" width="8.109375" style="73" customWidth="1"/>
    <col min="14" max="14" width="11.5546875" style="73" customWidth="1"/>
    <col min="15" max="15" width="7.109375" style="73" customWidth="1"/>
    <col min="16" max="16384" width="8.88671875" style="73"/>
  </cols>
  <sheetData>
    <row r="1" spans="2:15" ht="16.8" thickBot="1" x14ac:dyDescent="0.35"/>
    <row r="2" spans="2:15" ht="17.399999999999999" x14ac:dyDescent="0.3">
      <c r="B2" s="129" t="s">
        <v>19</v>
      </c>
      <c r="C2" s="127" t="s">
        <v>68</v>
      </c>
      <c r="D2" s="135" t="s">
        <v>92</v>
      </c>
      <c r="E2" s="136"/>
      <c r="F2" s="136"/>
      <c r="G2" s="137"/>
      <c r="H2" s="144" t="s">
        <v>20</v>
      </c>
      <c r="I2" s="148" t="s">
        <v>71</v>
      </c>
      <c r="J2" s="149"/>
      <c r="K2" s="160" t="s">
        <v>96</v>
      </c>
      <c r="L2" s="164" t="s">
        <v>67</v>
      </c>
      <c r="M2" s="165"/>
      <c r="N2" s="154" t="s">
        <v>97</v>
      </c>
      <c r="O2" s="155"/>
    </row>
    <row r="3" spans="2:15" ht="17.399999999999999" x14ac:dyDescent="0.3">
      <c r="B3" s="130"/>
      <c r="C3" s="128"/>
      <c r="D3" s="80" t="s">
        <v>93</v>
      </c>
      <c r="E3" s="74" t="s">
        <v>91</v>
      </c>
      <c r="F3" s="74" t="s">
        <v>94</v>
      </c>
      <c r="G3" s="80" t="s">
        <v>95</v>
      </c>
      <c r="H3" s="145"/>
      <c r="I3" s="75" t="s">
        <v>70</v>
      </c>
      <c r="J3" s="76" t="s">
        <v>69</v>
      </c>
      <c r="K3" s="161"/>
      <c r="L3" s="79" t="s">
        <v>70</v>
      </c>
      <c r="M3" s="79" t="s">
        <v>69</v>
      </c>
      <c r="N3" s="78" t="s">
        <v>70</v>
      </c>
      <c r="O3" s="77" t="s">
        <v>69</v>
      </c>
    </row>
    <row r="4" spans="2:15" ht="16.8" customHeight="1" x14ac:dyDescent="0.3">
      <c r="B4" s="133">
        <v>281416946</v>
      </c>
      <c r="C4" s="131">
        <v>1579512000</v>
      </c>
      <c r="D4" s="138">
        <f>SUMPRODUCT(پرتفوی!E5:E31*پرتفوی!F5:F31)</f>
        <v>1099817090</v>
      </c>
      <c r="E4" s="140">
        <f>C4-B4</f>
        <v>1298095054</v>
      </c>
      <c r="F4" s="140">
        <f>E4-D4</f>
        <v>198277964</v>
      </c>
      <c r="G4" s="142">
        <f>F4/D4</f>
        <v>0.18028267227598727</v>
      </c>
      <c r="H4" s="146">
        <f>B4+D4-SUM(پرتفوی!K5:K37)</f>
        <v>1174846976</v>
      </c>
      <c r="I4" s="150">
        <f>SUM(پرتفوی!K5:K31)</f>
        <v>206387060</v>
      </c>
      <c r="J4" s="152">
        <f>(K4-H4)/K4*100</f>
        <v>14.942222289691678</v>
      </c>
      <c r="K4" s="162">
        <f>D4+B4</f>
        <v>1381234036</v>
      </c>
      <c r="L4" s="166">
        <f>K4-'واریز و برداشت'!C36</f>
        <v>22059427</v>
      </c>
      <c r="M4" s="168">
        <f>L4/'واریز و برداشت'!C36</f>
        <v>1.6230016992614376E-2</v>
      </c>
      <c r="N4" s="156">
        <f>C4-'واریز و برداشت'!C36</f>
        <v>220337391</v>
      </c>
      <c r="O4" s="158">
        <f>N4/'واریز و برداشت'!C36</f>
        <v>0.16211117360565702</v>
      </c>
    </row>
    <row r="5" spans="2:15" ht="17.399999999999999" customHeight="1" thickBot="1" x14ac:dyDescent="0.35">
      <c r="B5" s="134"/>
      <c r="C5" s="132"/>
      <c r="D5" s="139"/>
      <c r="E5" s="141"/>
      <c r="F5" s="141"/>
      <c r="G5" s="143"/>
      <c r="H5" s="147"/>
      <c r="I5" s="151"/>
      <c r="J5" s="153"/>
      <c r="K5" s="163"/>
      <c r="L5" s="167"/>
      <c r="M5" s="169"/>
      <c r="N5" s="157"/>
      <c r="O5" s="159"/>
    </row>
  </sheetData>
  <mergeCells count="22">
    <mergeCell ref="N2:O2"/>
    <mergeCell ref="N4:N5"/>
    <mergeCell ref="O4:O5"/>
    <mergeCell ref="K2:K3"/>
    <mergeCell ref="K4:K5"/>
    <mergeCell ref="L2:M2"/>
    <mergeCell ref="L4:L5"/>
    <mergeCell ref="M4:M5"/>
    <mergeCell ref="H2:H3"/>
    <mergeCell ref="H4:H5"/>
    <mergeCell ref="I2:J2"/>
    <mergeCell ref="I4:I5"/>
    <mergeCell ref="J4:J5"/>
    <mergeCell ref="C2:C3"/>
    <mergeCell ref="B2:B3"/>
    <mergeCell ref="C4:C5"/>
    <mergeCell ref="B4:B5"/>
    <mergeCell ref="D2:G2"/>
    <mergeCell ref="D4:D5"/>
    <mergeCell ref="E4:E5"/>
    <mergeCell ref="F4:F5"/>
    <mergeCell ref="G4:G5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rightToLeft="1" zoomScaleNormal="100" workbookViewId="0"/>
  </sheetViews>
  <sheetFormatPr defaultRowHeight="16.8" x14ac:dyDescent="0.3"/>
  <cols>
    <col min="1" max="1" width="8.88671875" style="3"/>
    <col min="2" max="2" width="13.44140625" style="3" bestFit="1" customWidth="1"/>
    <col min="3" max="3" width="11.88671875" style="3" bestFit="1" customWidth="1"/>
    <col min="4" max="4" width="9.88671875" style="3" customWidth="1"/>
    <col min="5" max="5" width="10.109375" style="3" customWidth="1"/>
    <col min="6" max="6" width="13.6640625" style="3" bestFit="1" customWidth="1"/>
    <col min="7" max="7" width="12.44140625" style="3" bestFit="1" customWidth="1"/>
    <col min="8" max="8" width="11.109375" style="3" customWidth="1"/>
    <col min="9" max="9" width="5.109375" style="3" customWidth="1"/>
    <col min="10" max="10" width="13.44140625" style="3" bestFit="1" customWidth="1"/>
    <col min="11" max="11" width="11" style="3" bestFit="1" customWidth="1"/>
    <col min="12" max="15" width="8.88671875" style="3"/>
    <col min="16" max="16" width="11" style="3" bestFit="1" customWidth="1"/>
    <col min="17" max="16384" width="8.88671875" style="3"/>
  </cols>
  <sheetData>
    <row r="1" spans="2:11" ht="17.399999999999999" thickBot="1" x14ac:dyDescent="0.35"/>
    <row r="2" spans="2:11" ht="18.600000000000001" x14ac:dyDescent="0.3">
      <c r="B2" s="171" t="s">
        <v>0</v>
      </c>
      <c r="C2" s="121" t="s">
        <v>124</v>
      </c>
      <c r="D2" s="174" t="s">
        <v>125</v>
      </c>
      <c r="E2" s="174"/>
      <c r="F2" s="174"/>
      <c r="G2" s="175" t="s">
        <v>56</v>
      </c>
      <c r="H2" s="176"/>
      <c r="J2" s="47" t="s">
        <v>144</v>
      </c>
      <c r="K2" s="46" t="s">
        <v>145</v>
      </c>
    </row>
    <row r="3" spans="2:11" ht="19.2" thickBot="1" x14ac:dyDescent="0.35">
      <c r="B3" s="172"/>
      <c r="C3" s="173"/>
      <c r="D3" s="104" t="s">
        <v>48</v>
      </c>
      <c r="E3" s="44" t="s">
        <v>50</v>
      </c>
      <c r="F3" s="43" t="s">
        <v>66</v>
      </c>
      <c r="G3" s="88" t="s">
        <v>70</v>
      </c>
      <c r="H3" s="88" t="s">
        <v>69</v>
      </c>
      <c r="J3" s="87">
        <v>1538405834</v>
      </c>
      <c r="K3" s="87">
        <f>C7-J3</f>
        <v>41106166</v>
      </c>
    </row>
    <row r="4" spans="2:11" ht="18.600000000000001" hidden="1" x14ac:dyDescent="0.3">
      <c r="B4" s="111" t="s">
        <v>122</v>
      </c>
      <c r="C4" s="101" t="s">
        <v>72</v>
      </c>
      <c r="D4" s="105" t="s">
        <v>73</v>
      </c>
      <c r="E4" s="83" t="s">
        <v>74</v>
      </c>
      <c r="F4" s="84" t="s">
        <v>75</v>
      </c>
      <c r="G4" s="101" t="s">
        <v>76</v>
      </c>
      <c r="H4" s="89" t="s">
        <v>77</v>
      </c>
    </row>
    <row r="5" spans="2:11" ht="18.600000000000001" x14ac:dyDescent="0.3">
      <c r="B5" s="51" t="s">
        <v>122</v>
      </c>
      <c r="C5" s="102">
        <v>630000000</v>
      </c>
      <c r="D5" s="106">
        <v>624453760</v>
      </c>
      <c r="E5" s="28">
        <v>2030000</v>
      </c>
      <c r="F5" s="45">
        <f>Table6910[[#This Row],[Column2]]-Table6910[[#This Row],[Column3]]</f>
        <v>622423760</v>
      </c>
      <c r="G5" s="102">
        <f>Table6910[[#This Row],[Column1]]-(Table6910[[#This Row],[Column2]]-Table6910[[#This Row],[Column3]])</f>
        <v>7576240</v>
      </c>
      <c r="H5" s="90">
        <f>Table6910[[#This Row],[Column5]]/(Table6910[[#This Row],[Column2]]-Table6910[[#This Row],[Column3]])</f>
        <v>1.2172157438205764E-2</v>
      </c>
    </row>
    <row r="6" spans="2:11" ht="18.600000000000001" x14ac:dyDescent="0.3">
      <c r="B6" s="51" t="s">
        <v>123</v>
      </c>
      <c r="C6" s="102">
        <v>681833000</v>
      </c>
      <c r="D6" s="106">
        <v>104500000</v>
      </c>
      <c r="E6" s="41">
        <v>169500000</v>
      </c>
      <c r="F6" s="45">
        <f>Table6910[[#This Row],[Column2]]-Table6910[[#This Row],[Column3]]</f>
        <v>-65000000</v>
      </c>
      <c r="G6" s="102">
        <f>Table6910[[#This Row],[Column1]]-(C5+Table6910[[#This Row],[Column4]])</f>
        <v>116833000</v>
      </c>
      <c r="H6" s="90">
        <f>Table6910[[#This Row],[Column5]]/(C5+Table6910[[#This Row],[Column4]])</f>
        <v>0.20678407079646019</v>
      </c>
    </row>
    <row r="7" spans="2:11" ht="18.600000000000001" x14ac:dyDescent="0.3">
      <c r="B7" s="51" t="s">
        <v>136</v>
      </c>
      <c r="C7" s="102">
        <v>1579512000</v>
      </c>
      <c r="D7" s="106">
        <v>801750849</v>
      </c>
      <c r="E7" s="41"/>
      <c r="F7" s="45">
        <f>Table6910[[#This Row],[Column2]]-Table6910[[#This Row],[Column3]]</f>
        <v>801750849</v>
      </c>
      <c r="G7" s="102">
        <f>Table6910[[#This Row],[Column1]]-(C6+Table6910[[#This Row],[Column4]])</f>
        <v>95928151</v>
      </c>
      <c r="H7" s="90">
        <f>Table6910[[#This Row],[Column5]]/(C6+Table6910[[#This Row],[Column4]])</f>
        <v>6.4659743407600279E-2</v>
      </c>
    </row>
    <row r="8" spans="2:11" ht="18.600000000000001" x14ac:dyDescent="0.3">
      <c r="B8" s="51" t="s">
        <v>146</v>
      </c>
      <c r="C8" s="102"/>
      <c r="D8" s="106"/>
      <c r="E8" s="41"/>
      <c r="F8" s="45"/>
      <c r="G8" s="102"/>
      <c r="H8" s="90"/>
    </row>
    <row r="9" spans="2:11" ht="18.600000000000001" x14ac:dyDescent="0.3">
      <c r="B9" s="51" t="s">
        <v>147</v>
      </c>
      <c r="C9" s="102"/>
      <c r="D9" s="106"/>
      <c r="E9" s="41"/>
      <c r="F9" s="45"/>
      <c r="G9" s="102"/>
      <c r="H9" s="90"/>
    </row>
    <row r="10" spans="2:11" ht="18.600000000000001" x14ac:dyDescent="0.3">
      <c r="B10" s="51" t="s">
        <v>148</v>
      </c>
      <c r="C10" s="102"/>
      <c r="D10" s="106"/>
      <c r="E10" s="41"/>
      <c r="F10" s="45"/>
      <c r="G10" s="102"/>
      <c r="H10" s="90"/>
    </row>
    <row r="11" spans="2:11" ht="18.600000000000001" x14ac:dyDescent="0.3">
      <c r="B11" s="51" t="s">
        <v>149</v>
      </c>
      <c r="C11" s="102"/>
      <c r="D11" s="106"/>
      <c r="E11" s="41"/>
      <c r="F11" s="45"/>
      <c r="G11" s="102"/>
      <c r="H11" s="90"/>
    </row>
    <row r="12" spans="2:11" ht="18.600000000000001" x14ac:dyDescent="0.3">
      <c r="B12" s="51" t="s">
        <v>150</v>
      </c>
      <c r="C12" s="102"/>
      <c r="D12" s="106"/>
      <c r="E12" s="41"/>
      <c r="F12" s="45"/>
      <c r="G12" s="102"/>
      <c r="H12" s="90"/>
    </row>
    <row r="13" spans="2:11" ht="18.600000000000001" x14ac:dyDescent="0.3">
      <c r="B13" s="51" t="s">
        <v>151</v>
      </c>
      <c r="C13" s="102"/>
      <c r="D13" s="106"/>
      <c r="E13" s="41"/>
      <c r="F13" s="45"/>
      <c r="G13" s="102"/>
      <c r="H13" s="90"/>
    </row>
    <row r="14" spans="2:11" ht="18.600000000000001" x14ac:dyDescent="0.3">
      <c r="B14" s="51" t="s">
        <v>152</v>
      </c>
      <c r="C14" s="102"/>
      <c r="D14" s="106"/>
      <c r="E14" s="41"/>
      <c r="F14" s="45"/>
      <c r="G14" s="102"/>
      <c r="H14" s="90"/>
    </row>
    <row r="15" spans="2:11" ht="18.600000000000001" x14ac:dyDescent="0.3">
      <c r="B15" s="51" t="s">
        <v>153</v>
      </c>
      <c r="C15" s="102"/>
      <c r="D15" s="106"/>
      <c r="E15" s="41"/>
      <c r="F15" s="45"/>
      <c r="G15" s="102"/>
      <c r="H15" s="90"/>
    </row>
    <row r="16" spans="2:11" ht="18.600000000000001" x14ac:dyDescent="0.3">
      <c r="B16" s="92" t="s">
        <v>154</v>
      </c>
      <c r="C16" s="108"/>
      <c r="D16" s="93"/>
      <c r="E16" s="94"/>
      <c r="F16" s="99"/>
      <c r="G16" s="103"/>
      <c r="H16" s="98"/>
    </row>
    <row r="17" spans="2:13" ht="19.2" thickBot="1" x14ac:dyDescent="0.35">
      <c r="B17" s="52" t="s">
        <v>155</v>
      </c>
      <c r="C17" s="87"/>
      <c r="D17" s="107"/>
      <c r="E17" s="42"/>
      <c r="F17" s="100"/>
      <c r="G17" s="87"/>
      <c r="H17" s="91"/>
    </row>
    <row r="18" spans="2:13" ht="19.2" thickBot="1" x14ac:dyDescent="0.35">
      <c r="B18" s="95"/>
      <c r="C18" s="85"/>
      <c r="D18" s="85"/>
      <c r="E18" s="85"/>
      <c r="F18" s="96"/>
      <c r="G18" s="97"/>
      <c r="H18" s="86"/>
    </row>
    <row r="19" spans="2:13" ht="19.2" thickBot="1" x14ac:dyDescent="0.35">
      <c r="F19" s="110" t="s">
        <v>126</v>
      </c>
      <c r="G19" s="109">
        <f>SUM(Table6910[Column5])</f>
        <v>220337391</v>
      </c>
      <c r="J19" s="170" t="s">
        <v>157</v>
      </c>
      <c r="K19" s="170"/>
      <c r="L19" s="170"/>
      <c r="M19" s="170"/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"/>
  <sheetViews>
    <sheetView rightToLeft="1" zoomScale="85" zoomScaleNormal="85" workbookViewId="0"/>
  </sheetViews>
  <sheetFormatPr defaultRowHeight="14.4" x14ac:dyDescent="0.3"/>
  <cols>
    <col min="2" max="2" width="13.88671875" bestFit="1" customWidth="1"/>
    <col min="3" max="3" width="10" bestFit="1" customWidth="1"/>
    <col min="4" max="4" width="9" bestFit="1" customWidth="1"/>
    <col min="5" max="5" width="10" bestFit="1" customWidth="1"/>
    <col min="6" max="6" width="9.77734375" bestFit="1" customWidth="1"/>
    <col min="8" max="8" width="10" bestFit="1" customWidth="1"/>
    <col min="9" max="9" width="9.77734375" bestFit="1" customWidth="1"/>
    <col min="10" max="10" width="10" bestFit="1" customWidth="1"/>
    <col min="11" max="11" width="9.88671875" bestFit="1" customWidth="1"/>
  </cols>
  <sheetData>
    <row r="2" spans="2:25" ht="16.8" customHeight="1" x14ac:dyDescent="0.3">
      <c r="B2" s="50" t="s">
        <v>142</v>
      </c>
      <c r="C2" s="49">
        <v>1</v>
      </c>
      <c r="D2" s="49">
        <v>2</v>
      </c>
      <c r="E2" s="49">
        <v>3</v>
      </c>
      <c r="F2" s="49">
        <v>6</v>
      </c>
      <c r="G2" s="49">
        <v>7</v>
      </c>
      <c r="H2" s="49">
        <v>8</v>
      </c>
      <c r="I2" s="49">
        <v>9</v>
      </c>
      <c r="J2" s="49">
        <v>10</v>
      </c>
      <c r="K2" s="49">
        <v>13</v>
      </c>
      <c r="L2" s="49">
        <v>14</v>
      </c>
      <c r="M2" s="49">
        <v>15</v>
      </c>
      <c r="N2" s="49">
        <v>16</v>
      </c>
      <c r="O2" s="49">
        <v>17</v>
      </c>
      <c r="P2" s="49">
        <v>20</v>
      </c>
      <c r="Q2" s="49">
        <v>21</v>
      </c>
      <c r="R2" s="49">
        <v>22</v>
      </c>
      <c r="S2" s="49">
        <v>23</v>
      </c>
      <c r="T2" s="49">
        <v>24</v>
      </c>
      <c r="U2" s="49">
        <v>27</v>
      </c>
      <c r="V2" s="49">
        <v>28</v>
      </c>
      <c r="W2" s="49">
        <v>29</v>
      </c>
      <c r="X2" s="49">
        <v>30</v>
      </c>
      <c r="Y2" s="49">
        <v>31</v>
      </c>
    </row>
    <row r="3" spans="2:25" ht="16.8" customHeight="1" x14ac:dyDescent="0.3">
      <c r="B3" s="50" t="s">
        <v>156</v>
      </c>
      <c r="C3" s="28">
        <v>49441151</v>
      </c>
      <c r="D3" s="28">
        <v>5380834</v>
      </c>
      <c r="E3" s="28">
        <v>41106166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rightToLeft="1" topLeftCell="A10" workbookViewId="0">
      <selection activeCell="B32" sqref="B32"/>
    </sheetView>
  </sheetViews>
  <sheetFormatPr defaultRowHeight="14.4" x14ac:dyDescent="0.3"/>
  <cols>
    <col min="1" max="2" width="8.88671875" style="1"/>
    <col min="3" max="3" width="11" style="1" bestFit="1" customWidth="1"/>
    <col min="4" max="4" width="10" style="1" bestFit="1" customWidth="1"/>
    <col min="5" max="16384" width="8.88671875" style="1"/>
  </cols>
  <sheetData>
    <row r="2" spans="2:4" ht="15" customHeight="1" x14ac:dyDescent="0.3">
      <c r="B2" s="177" t="s">
        <v>0</v>
      </c>
      <c r="C2" s="177" t="s">
        <v>47</v>
      </c>
      <c r="D2" s="177" t="s">
        <v>46</v>
      </c>
    </row>
    <row r="3" spans="2:4" ht="15" customHeight="1" x14ac:dyDescent="0.3">
      <c r="B3" s="177"/>
      <c r="C3" s="177"/>
      <c r="D3" s="177"/>
    </row>
    <row r="4" spans="2:4" ht="15" customHeight="1" x14ac:dyDescent="0.3">
      <c r="B4" s="28" t="s">
        <v>49</v>
      </c>
      <c r="C4" s="29">
        <v>2400000</v>
      </c>
      <c r="D4" s="28" t="s">
        <v>48</v>
      </c>
    </row>
    <row r="5" spans="2:4" ht="15" customHeight="1" x14ac:dyDescent="0.3">
      <c r="B5" s="28" t="s">
        <v>51</v>
      </c>
      <c r="C5" s="29">
        <v>-1270000</v>
      </c>
      <c r="D5" s="28" t="s">
        <v>50</v>
      </c>
    </row>
    <row r="6" spans="2:4" ht="15" customHeight="1" x14ac:dyDescent="0.3">
      <c r="B6" s="28" t="s">
        <v>52</v>
      </c>
      <c r="C6" s="29">
        <v>2820000</v>
      </c>
      <c r="D6" s="28" t="s">
        <v>48</v>
      </c>
    </row>
    <row r="7" spans="2:4" ht="15" customHeight="1" x14ac:dyDescent="0.3">
      <c r="B7" s="28" t="s">
        <v>52</v>
      </c>
      <c r="C7" s="29">
        <v>27000</v>
      </c>
      <c r="D7" s="28" t="s">
        <v>48</v>
      </c>
    </row>
    <row r="8" spans="2:4" ht="15" customHeight="1" x14ac:dyDescent="0.3">
      <c r="B8" s="28" t="s">
        <v>53</v>
      </c>
      <c r="C8" s="29">
        <v>-760000</v>
      </c>
      <c r="D8" s="28" t="s">
        <v>50</v>
      </c>
    </row>
    <row r="9" spans="2:4" ht="15" customHeight="1" x14ac:dyDescent="0.3">
      <c r="B9" s="28" t="s">
        <v>54</v>
      </c>
      <c r="C9" s="29">
        <v>30000000</v>
      </c>
      <c r="D9" s="28" t="s">
        <v>48</v>
      </c>
    </row>
    <row r="10" spans="2:4" ht="15" customHeight="1" x14ac:dyDescent="0.3">
      <c r="B10" s="28" t="s">
        <v>55</v>
      </c>
      <c r="C10" s="29">
        <v>3000000</v>
      </c>
      <c r="D10" s="28" t="s">
        <v>48</v>
      </c>
    </row>
    <row r="11" spans="2:4" ht="15" customHeight="1" x14ac:dyDescent="0.3">
      <c r="B11" s="28" t="s">
        <v>57</v>
      </c>
      <c r="C11" s="29">
        <v>2465204</v>
      </c>
      <c r="D11" s="28" t="s">
        <v>56</v>
      </c>
    </row>
    <row r="12" spans="2:4" ht="15" customHeight="1" x14ac:dyDescent="0.3">
      <c r="B12" s="28" t="s">
        <v>58</v>
      </c>
      <c r="C12" s="29">
        <v>20000000</v>
      </c>
      <c r="D12" s="28" t="s">
        <v>48</v>
      </c>
    </row>
    <row r="13" spans="2:4" ht="15" customHeight="1" x14ac:dyDescent="0.3">
      <c r="B13" s="28" t="s">
        <v>59</v>
      </c>
      <c r="C13" s="29">
        <v>4000000</v>
      </c>
      <c r="D13" s="28" t="s">
        <v>48</v>
      </c>
    </row>
    <row r="14" spans="2:4" ht="15" customHeight="1" x14ac:dyDescent="0.3">
      <c r="B14" s="28" t="s">
        <v>60</v>
      </c>
      <c r="C14" s="29">
        <v>18700000</v>
      </c>
      <c r="D14" s="28" t="s">
        <v>48</v>
      </c>
    </row>
    <row r="15" spans="2:4" ht="15" customHeight="1" x14ac:dyDescent="0.3">
      <c r="B15" s="28" t="s">
        <v>61</v>
      </c>
      <c r="C15" s="29">
        <v>323000000</v>
      </c>
      <c r="D15" s="28" t="s">
        <v>48</v>
      </c>
    </row>
    <row r="16" spans="2:4" ht="15" customHeight="1" x14ac:dyDescent="0.3">
      <c r="B16" s="28" t="s">
        <v>61</v>
      </c>
      <c r="C16" s="29">
        <v>2000000</v>
      </c>
      <c r="D16" s="28" t="s">
        <v>48</v>
      </c>
    </row>
    <row r="17" spans="2:4" ht="15" customHeight="1" x14ac:dyDescent="0.3">
      <c r="B17" s="28" t="s">
        <v>62</v>
      </c>
      <c r="C17" s="29">
        <v>33966647</v>
      </c>
      <c r="D17" s="28" t="s">
        <v>48</v>
      </c>
    </row>
    <row r="18" spans="2:4" ht="15" customHeight="1" x14ac:dyDescent="0.3">
      <c r="B18" s="28" t="s">
        <v>62</v>
      </c>
      <c r="C18" s="29">
        <v>10000000</v>
      </c>
      <c r="D18" s="28" t="s">
        <v>48</v>
      </c>
    </row>
    <row r="19" spans="2:4" ht="15" customHeight="1" x14ac:dyDescent="0.3">
      <c r="B19" s="28" t="s">
        <v>62</v>
      </c>
      <c r="C19" s="29">
        <v>48800000</v>
      </c>
      <c r="D19" s="28" t="s">
        <v>48</v>
      </c>
    </row>
    <row r="20" spans="2:4" ht="15" customHeight="1" x14ac:dyDescent="0.3">
      <c r="B20" s="28" t="s">
        <v>62</v>
      </c>
      <c r="C20" s="29">
        <v>70000000</v>
      </c>
      <c r="D20" s="28" t="s">
        <v>48</v>
      </c>
    </row>
    <row r="21" spans="2:4" ht="15" customHeight="1" x14ac:dyDescent="0.3">
      <c r="B21" s="28" t="s">
        <v>63</v>
      </c>
      <c r="C21" s="29">
        <v>3274909</v>
      </c>
      <c r="D21" s="28" t="s">
        <v>56</v>
      </c>
    </row>
    <row r="22" spans="2:4" ht="15" customHeight="1" x14ac:dyDescent="0.3">
      <c r="B22" s="28" t="s">
        <v>64</v>
      </c>
      <c r="C22" s="29">
        <v>50000000</v>
      </c>
      <c r="D22" s="28" t="s">
        <v>48</v>
      </c>
    </row>
    <row r="23" spans="2:4" ht="15" customHeight="1" x14ac:dyDescent="0.3">
      <c r="B23" s="28" t="s">
        <v>65</v>
      </c>
      <c r="C23" s="29">
        <v>-10000000</v>
      </c>
      <c r="D23" s="28" t="s">
        <v>50</v>
      </c>
    </row>
    <row r="24" spans="2:4" ht="15" customHeight="1" x14ac:dyDescent="0.3">
      <c r="B24" s="28" t="s">
        <v>127</v>
      </c>
      <c r="C24" s="29">
        <v>46500000</v>
      </c>
      <c r="D24" s="28" t="s">
        <v>48</v>
      </c>
    </row>
    <row r="25" spans="2:4" ht="15" customHeight="1" x14ac:dyDescent="0.3">
      <c r="B25" s="28" t="s">
        <v>131</v>
      </c>
      <c r="C25" s="29">
        <v>-56500000</v>
      </c>
      <c r="D25" s="28" t="s">
        <v>50</v>
      </c>
    </row>
    <row r="26" spans="2:4" ht="15" customHeight="1" x14ac:dyDescent="0.3">
      <c r="B26" s="28" t="s">
        <v>132</v>
      </c>
      <c r="C26" s="29">
        <v>-80000000</v>
      </c>
      <c r="D26" s="28" t="s">
        <v>50</v>
      </c>
    </row>
    <row r="27" spans="2:4" ht="15" customHeight="1" x14ac:dyDescent="0.3">
      <c r="B27" s="28" t="s">
        <v>132</v>
      </c>
      <c r="C27" s="29">
        <v>50000000</v>
      </c>
      <c r="D27" s="28" t="s">
        <v>48</v>
      </c>
    </row>
    <row r="28" spans="2:4" ht="15" customHeight="1" x14ac:dyDescent="0.3">
      <c r="B28" s="28" t="s">
        <v>133</v>
      </c>
      <c r="C28" s="29">
        <v>-23000000</v>
      </c>
      <c r="D28" s="28" t="s">
        <v>50</v>
      </c>
    </row>
    <row r="29" spans="2:4" ht="15" customHeight="1" x14ac:dyDescent="0.3">
      <c r="B29" s="28" t="s">
        <v>133</v>
      </c>
      <c r="C29" s="29">
        <v>8000000</v>
      </c>
      <c r="D29" s="28" t="s">
        <v>48</v>
      </c>
    </row>
    <row r="30" spans="2:4" ht="15" customHeight="1" x14ac:dyDescent="0.3">
      <c r="B30" s="28" t="s">
        <v>137</v>
      </c>
      <c r="C30" s="29">
        <v>800060000</v>
      </c>
      <c r="D30" s="28" t="s">
        <v>48</v>
      </c>
    </row>
    <row r="31" spans="2:4" ht="15" customHeight="1" x14ac:dyDescent="0.3">
      <c r="B31" s="28" t="s">
        <v>143</v>
      </c>
      <c r="C31" s="29">
        <v>1690849</v>
      </c>
      <c r="D31" s="28" t="s">
        <v>56</v>
      </c>
    </row>
    <row r="32" spans="2:4" ht="15" customHeight="1" x14ac:dyDescent="0.3">
      <c r="B32" s="28"/>
      <c r="C32" s="29"/>
      <c r="D32" s="28"/>
    </row>
    <row r="33" spans="2:4" ht="15" customHeight="1" x14ac:dyDescent="0.3">
      <c r="B33" s="28"/>
      <c r="C33" s="29"/>
      <c r="D33" s="28"/>
    </row>
    <row r="34" spans="2:4" ht="15" customHeight="1" x14ac:dyDescent="0.3">
      <c r="B34" s="28"/>
      <c r="C34" s="29"/>
      <c r="D34" s="28"/>
    </row>
    <row r="35" spans="2:4" ht="15" customHeight="1" x14ac:dyDescent="0.3">
      <c r="B35" s="28"/>
      <c r="C35" s="29"/>
      <c r="D35" s="28"/>
    </row>
    <row r="36" spans="2:4" ht="15" customHeight="1" x14ac:dyDescent="0.3">
      <c r="B36" s="48" t="s">
        <v>66</v>
      </c>
      <c r="C36" s="29">
        <f>SUM(C4:C31)</f>
        <v>1359174609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tabSelected="1" zoomScale="87" zoomScaleNormal="87" workbookViewId="0"/>
  </sheetViews>
  <sheetFormatPr defaultRowHeight="14.4" x14ac:dyDescent="0.3"/>
  <cols>
    <col min="1" max="1" width="3.21875" customWidth="1"/>
    <col min="2" max="2" width="11.88671875" bestFit="1" customWidth="1"/>
    <col min="3" max="3" width="8.6640625" bestFit="1" customWidth="1"/>
    <col min="4" max="4" width="11.6640625" bestFit="1" customWidth="1"/>
    <col min="5" max="5" width="8.6640625" bestFit="1" customWidth="1"/>
    <col min="6" max="6" width="11.88671875" bestFit="1" customWidth="1"/>
    <col min="7" max="7" width="8.6640625" bestFit="1" customWidth="1"/>
    <col min="8" max="8" width="13.109375" bestFit="1" customWidth="1"/>
    <col min="9" max="9" width="8.6640625" bestFit="1" customWidth="1"/>
    <col min="10" max="10" width="13" bestFit="1" customWidth="1"/>
    <col min="11" max="11" width="8.6640625" bestFit="1" customWidth="1"/>
    <col min="12" max="12" width="12.77734375" bestFit="1" customWidth="1"/>
    <col min="13" max="13" width="8.6640625" bestFit="1" customWidth="1"/>
    <col min="14" max="14" width="12.21875" bestFit="1" customWidth="1"/>
    <col min="15" max="15" width="8.6640625" bestFit="1" customWidth="1"/>
    <col min="16" max="16" width="13.5546875" bestFit="1" customWidth="1"/>
    <col min="17" max="17" width="8.6640625" bestFit="1" customWidth="1"/>
    <col min="18" max="18" width="13" bestFit="1" customWidth="1"/>
    <col min="19" max="19" width="8.6640625" bestFit="1" customWidth="1"/>
    <col min="20" max="20" width="12.44140625" bestFit="1" customWidth="1"/>
    <col min="21" max="21" width="8.6640625" bestFit="1" customWidth="1"/>
    <col min="22" max="22" width="13" bestFit="1" customWidth="1"/>
    <col min="23" max="23" width="8.6640625" bestFit="1" customWidth="1"/>
    <col min="24" max="24" width="12.5546875" bestFit="1" customWidth="1"/>
  </cols>
  <sheetData>
    <row r="1" spans="2:24" ht="15" thickBot="1" x14ac:dyDescent="0.35"/>
    <row r="2" spans="2:24" ht="18.600000000000001" x14ac:dyDescent="0.3">
      <c r="B2" s="171" t="s">
        <v>21</v>
      </c>
      <c r="C2" s="171" t="s">
        <v>90</v>
      </c>
      <c r="D2" s="171" t="s">
        <v>2</v>
      </c>
      <c r="E2" s="185">
        <v>5.0000000000000001E-3</v>
      </c>
      <c r="F2" s="186"/>
      <c r="G2" s="188">
        <v>0.01</v>
      </c>
      <c r="H2" s="189"/>
      <c r="I2" s="190">
        <v>1.4999999999999999E-2</v>
      </c>
      <c r="J2" s="191"/>
      <c r="K2" s="178">
        <v>0.02</v>
      </c>
      <c r="L2" s="179"/>
      <c r="M2" s="182">
        <v>2.5000000000000001E-2</v>
      </c>
      <c r="N2" s="183"/>
      <c r="O2" s="180">
        <v>0.03</v>
      </c>
      <c r="P2" s="181"/>
      <c r="Q2" s="198">
        <v>3.5000000000000003E-2</v>
      </c>
      <c r="R2" s="199"/>
      <c r="S2" s="196">
        <v>0.04</v>
      </c>
      <c r="T2" s="197"/>
      <c r="U2" s="194">
        <v>4.4999999999999998E-2</v>
      </c>
      <c r="V2" s="195"/>
      <c r="W2" s="192">
        <v>0.05</v>
      </c>
      <c r="X2" s="193"/>
    </row>
    <row r="3" spans="2:24" ht="18.600000000000001" x14ac:dyDescent="0.3">
      <c r="B3" s="200"/>
      <c r="C3" s="200"/>
      <c r="D3" s="200"/>
      <c r="E3" s="203" t="s">
        <v>22</v>
      </c>
      <c r="F3" s="203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" customHeight="1" x14ac:dyDescent="0.3">
      <c r="B4" s="201">
        <v>20000</v>
      </c>
      <c r="C4" s="202">
        <f>B4*1.0144</f>
        <v>20288</v>
      </c>
      <c r="D4" s="201">
        <v>18000</v>
      </c>
      <c r="E4" s="202">
        <f>سرمایه!H4*0.5/((C4-D4)*100)</f>
        <v>2567.4103496503499</v>
      </c>
      <c r="F4" s="202">
        <f>E4*C4</f>
        <v>52087621.173706301</v>
      </c>
      <c r="G4" s="202">
        <f>سرمایه!H4*1/((C4-D4)*100)</f>
        <v>5134.8206993006997</v>
      </c>
      <c r="H4" s="202">
        <f>G4*C4</f>
        <v>104175242.3474126</v>
      </c>
      <c r="I4" s="202">
        <f>سرمایه!H4*1.5/((C4-D4)*100)</f>
        <v>7702.2310489510492</v>
      </c>
      <c r="J4" s="202">
        <f>I4*C4</f>
        <v>156262863.52111888</v>
      </c>
      <c r="K4" s="202">
        <f>سرمایه!H4*2/((C4-D4)*100)</f>
        <v>10269.641398601399</v>
      </c>
      <c r="L4" s="202">
        <f>K4*C4</f>
        <v>208350484.6948252</v>
      </c>
      <c r="M4" s="202">
        <f>سرمایه!H4*2.5/((C4-D4)*100)</f>
        <v>12837.051748251748</v>
      </c>
      <c r="N4" s="202">
        <f>M4*C4</f>
        <v>260438105.86853147</v>
      </c>
      <c r="O4" s="202">
        <f>سرمایه!H4*3/((C4-D4)*100)</f>
        <v>15404.462097902098</v>
      </c>
      <c r="P4" s="202">
        <f>O4*C4</f>
        <v>312525727.04223776</v>
      </c>
      <c r="Q4" s="202">
        <f>سرمایه!H4*3.5/((C4-D4)*100)</f>
        <v>17971.872447552447</v>
      </c>
      <c r="R4" s="202">
        <f>Q4*C4</f>
        <v>364613348.21594405</v>
      </c>
      <c r="S4" s="202">
        <f>سرمایه!H4*4/((C4-D4)*100)</f>
        <v>20539.282797202799</v>
      </c>
      <c r="T4" s="202">
        <f>S4*C4</f>
        <v>416700969.3896504</v>
      </c>
      <c r="U4" s="202">
        <f>سرمایه!H4*4.5/((C4-D4)*100)</f>
        <v>23106.693146853147</v>
      </c>
      <c r="V4" s="202">
        <f>U4*C4</f>
        <v>468788590.56335664</v>
      </c>
      <c r="W4" s="202">
        <f>سرمایه!H4*5/((C4-D4)*100)</f>
        <v>25674.103496503496</v>
      </c>
      <c r="X4" s="202">
        <f>W4*C4</f>
        <v>520876211.73706293</v>
      </c>
    </row>
    <row r="5" spans="2:24" ht="15" customHeight="1" thickBot="1" x14ac:dyDescent="0.35">
      <c r="B5" s="184"/>
      <c r="C5" s="187"/>
      <c r="D5" s="184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</row>
  </sheetData>
  <mergeCells count="36">
    <mergeCell ref="V4:V5"/>
    <mergeCell ref="W2:X2"/>
    <mergeCell ref="W4:W5"/>
    <mergeCell ref="X4:X5"/>
    <mergeCell ref="U2:V2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K2:L2"/>
    <mergeCell ref="M2:N2"/>
    <mergeCell ref="O2:P2"/>
    <mergeCell ref="Q2:R2"/>
    <mergeCell ref="S2:T2"/>
    <mergeCell ref="E2:F2"/>
    <mergeCell ref="E4:E5"/>
    <mergeCell ref="F4:F5"/>
    <mergeCell ref="G2:H2"/>
    <mergeCell ref="I2:J2"/>
    <mergeCell ref="B2:B3"/>
    <mergeCell ref="B4:B5"/>
    <mergeCell ref="C2:C3"/>
    <mergeCell ref="C4:C5"/>
    <mergeCell ref="D2:D3"/>
    <mergeCell ref="D4:D5"/>
  </mergeCells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پرتفوی</vt:lpstr>
      <vt:lpstr>سرمایه</vt:lpstr>
      <vt:lpstr>بازدهی ماهانه</vt:lpstr>
      <vt:lpstr>سود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2020-04-24T21:13:28Z</dcterms:modified>
</cp:coreProperties>
</file>