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activeTab="1"/>
  </bookViews>
  <sheets>
    <sheet name="پرتفوی" sheetId="3" r:id="rId1"/>
    <sheet name="سرمایه" sheetId="7" r:id="rId2"/>
    <sheet name="مجموع واریز" sheetId="9" r:id="rId3"/>
    <sheet name="مدیریت سرمایه" sheetId="8" r:id="rId4"/>
    <sheet name="تحلیل" sheetId="2" r:id="rId5"/>
    <sheet name="تاریخچه خرید" sheetId="6" r:id="rId6"/>
    <sheet name="تاریخچه فروش" sheetId="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calcPr calcId="152511"/>
</workbook>
</file>

<file path=xl/calcChain.xml><?xml version="1.0" encoding="utf-8"?>
<calcChain xmlns="http://schemas.openxmlformats.org/spreadsheetml/2006/main">
  <c r="L4" i="7" l="1"/>
  <c r="W5" i="8"/>
  <c r="C4" i="7" l="1"/>
  <c r="B4" i="7" s="1"/>
  <c r="C26" i="9"/>
  <c r="D12" i="3" l="1"/>
  <c r="G12" i="3"/>
  <c r="J12" i="3"/>
  <c r="M12" i="3"/>
  <c r="P12" i="3"/>
  <c r="Q12" i="3"/>
  <c r="D22" i="3" l="1"/>
  <c r="G22" i="3"/>
  <c r="J22" i="3"/>
  <c r="M22" i="3"/>
  <c r="P22" i="3"/>
  <c r="Q22" i="3"/>
  <c r="D25" i="3"/>
  <c r="G25" i="3"/>
  <c r="J25" i="3"/>
  <c r="M25" i="3"/>
  <c r="P25" i="3"/>
  <c r="Q25" i="3"/>
  <c r="D24" i="3"/>
  <c r="G24" i="3"/>
  <c r="J24" i="3"/>
  <c r="M24" i="3"/>
  <c r="P24" i="3"/>
  <c r="Q24" i="3"/>
  <c r="D17" i="3"/>
  <c r="G17" i="3"/>
  <c r="J17" i="3"/>
  <c r="M17" i="3"/>
  <c r="P17" i="3"/>
  <c r="Q17" i="3"/>
  <c r="D27" i="3"/>
  <c r="G27" i="3"/>
  <c r="J27" i="3"/>
  <c r="M27" i="3"/>
  <c r="P27" i="3"/>
  <c r="Q27" i="3"/>
  <c r="D26" i="3"/>
  <c r="G26" i="3"/>
  <c r="J26" i="3"/>
  <c r="M26" i="3"/>
  <c r="P26" i="3"/>
  <c r="Q26" i="3"/>
  <c r="D21" i="3"/>
  <c r="G21" i="3"/>
  <c r="P21" i="3"/>
  <c r="J21" i="3"/>
  <c r="M21" i="3"/>
  <c r="Q21" i="3"/>
  <c r="D23" i="3"/>
  <c r="G23" i="3"/>
  <c r="J23" i="3"/>
  <c r="M23" i="3"/>
  <c r="P23" i="3"/>
  <c r="Q23" i="3"/>
  <c r="N23" i="3" s="1"/>
  <c r="F23" i="3" l="1"/>
  <c r="L23" i="3"/>
  <c r="K23" i="3" s="1"/>
  <c r="I23" i="3"/>
  <c r="H23" i="3" l="1"/>
  <c r="D19" i="3"/>
  <c r="G19" i="3"/>
  <c r="J19" i="3"/>
  <c r="M19" i="3"/>
  <c r="P19" i="3"/>
  <c r="Q19" i="3"/>
  <c r="I19" i="3" l="1"/>
  <c r="D13" i="3"/>
  <c r="G13" i="3"/>
  <c r="J13" i="3"/>
  <c r="M13" i="3"/>
  <c r="P13" i="3"/>
  <c r="Q13" i="3"/>
  <c r="D7" i="3" l="1"/>
  <c r="G7" i="3"/>
  <c r="J7" i="3"/>
  <c r="M7" i="3"/>
  <c r="P7" i="3"/>
  <c r="Q7" i="3"/>
  <c r="D5" i="3"/>
  <c r="G5" i="3"/>
  <c r="J5" i="3"/>
  <c r="M5" i="3"/>
  <c r="P5" i="3"/>
  <c r="Q5" i="3"/>
  <c r="D14" i="3"/>
  <c r="G14" i="3"/>
  <c r="D6" i="3"/>
  <c r="G6" i="3"/>
  <c r="J14" i="3"/>
  <c r="M14" i="3"/>
  <c r="P14" i="3"/>
  <c r="P6" i="3"/>
  <c r="Q14" i="3"/>
  <c r="J6" i="3"/>
  <c r="M6" i="3"/>
  <c r="Q6" i="3"/>
  <c r="D18" i="3"/>
  <c r="G18" i="3"/>
  <c r="J18" i="3"/>
  <c r="M18" i="3"/>
  <c r="P18" i="3"/>
  <c r="Q18" i="3"/>
  <c r="D20" i="3"/>
  <c r="G20" i="3"/>
  <c r="J20" i="3"/>
  <c r="M20" i="3"/>
  <c r="P20" i="3"/>
  <c r="Q8" i="3"/>
  <c r="Q20" i="3"/>
  <c r="D9" i="3"/>
  <c r="G9" i="3"/>
  <c r="J9" i="3"/>
  <c r="M9" i="3"/>
  <c r="P9" i="3"/>
  <c r="Q9" i="3"/>
  <c r="D10" i="3"/>
  <c r="G10" i="3"/>
  <c r="J10" i="3"/>
  <c r="M10" i="3"/>
  <c r="P10" i="3"/>
  <c r="Q10" i="3"/>
  <c r="D11" i="3"/>
  <c r="G11" i="3"/>
  <c r="J11" i="3"/>
  <c r="M11" i="3"/>
  <c r="P11" i="3"/>
  <c r="Q11" i="3"/>
  <c r="I24" i="3" l="1"/>
  <c r="L24" i="3"/>
  <c r="C25" i="3"/>
  <c r="I25" i="3"/>
  <c r="L25" i="3"/>
  <c r="N25" i="3"/>
  <c r="I22" i="3"/>
  <c r="C11" i="3"/>
  <c r="I11" i="3"/>
  <c r="L11" i="3"/>
  <c r="N11" i="3"/>
  <c r="I10" i="3"/>
  <c r="C9" i="3"/>
  <c r="I9" i="3"/>
  <c r="N9" i="3"/>
  <c r="I20" i="3"/>
  <c r="C20" i="3"/>
  <c r="I18" i="3"/>
  <c r="N18" i="3"/>
  <c r="C6" i="3"/>
  <c r="I6" i="3"/>
  <c r="N6" i="3"/>
  <c r="C14" i="3"/>
  <c r="I14" i="3"/>
  <c r="N14" i="3"/>
  <c r="C5" i="3"/>
  <c r="I5" i="3"/>
  <c r="N5" i="3"/>
  <c r="C7" i="3"/>
  <c r="I7" i="3"/>
  <c r="N7" i="3"/>
  <c r="C13" i="3"/>
  <c r="I13" i="3"/>
  <c r="N13" i="3"/>
  <c r="C12" i="3"/>
  <c r="I12" i="3"/>
  <c r="N12" i="3"/>
  <c r="C19" i="3"/>
  <c r="N19" i="3"/>
  <c r="C23" i="3"/>
  <c r="C21" i="3"/>
  <c r="I21" i="3"/>
  <c r="N21" i="3"/>
  <c r="C26" i="3"/>
  <c r="I26" i="3"/>
  <c r="N26" i="3"/>
  <c r="C27" i="3"/>
  <c r="I27" i="3"/>
  <c r="N27" i="3"/>
  <c r="C17" i="3"/>
  <c r="I17" i="3"/>
  <c r="N17" i="3"/>
  <c r="D15" i="3"/>
  <c r="G15" i="3"/>
  <c r="J15" i="3"/>
  <c r="M15" i="3"/>
  <c r="P15" i="3"/>
  <c r="Q15" i="3"/>
  <c r="I15" i="3" l="1"/>
  <c r="F15" i="3"/>
  <c r="L15" i="3"/>
  <c r="E15" i="3" s="1"/>
  <c r="F22" i="3"/>
  <c r="F17" i="3"/>
  <c r="F27" i="3"/>
  <c r="F26" i="3"/>
  <c r="F21" i="3"/>
  <c r="F19" i="3"/>
  <c r="F12" i="3"/>
  <c r="F13" i="3"/>
  <c r="F7" i="3"/>
  <c r="F5" i="3"/>
  <c r="F14" i="3"/>
  <c r="F6" i="3"/>
  <c r="C18" i="3"/>
  <c r="F18" i="3"/>
  <c r="N10" i="3"/>
  <c r="F11" i="3"/>
  <c r="E11" i="3" s="1"/>
  <c r="L22" i="3"/>
  <c r="E22" i="3" s="1"/>
  <c r="C22" i="3"/>
  <c r="N24" i="3"/>
  <c r="K24" i="3" s="1"/>
  <c r="F10" i="3"/>
  <c r="F24" i="3"/>
  <c r="F20" i="3"/>
  <c r="C15" i="3"/>
  <c r="N20" i="3"/>
  <c r="F9" i="3"/>
  <c r="L10" i="3"/>
  <c r="C10" i="3"/>
  <c r="N22" i="3"/>
  <c r="F25" i="3"/>
  <c r="E25" i="3" s="1"/>
  <c r="C24" i="3"/>
  <c r="B24" i="3" s="1"/>
  <c r="B25" i="3"/>
  <c r="K25" i="3"/>
  <c r="H25" i="3"/>
  <c r="H24" i="3"/>
  <c r="E24" i="3"/>
  <c r="B11" i="3"/>
  <c r="K11" i="3"/>
  <c r="H11" i="3"/>
  <c r="L17" i="3"/>
  <c r="L27" i="3"/>
  <c r="L26" i="3"/>
  <c r="L21" i="3"/>
  <c r="L19" i="3"/>
  <c r="L12" i="3"/>
  <c r="L13" i="3"/>
  <c r="L7" i="3"/>
  <c r="L5" i="3"/>
  <c r="L14" i="3"/>
  <c r="L6" i="3"/>
  <c r="L18" i="3"/>
  <c r="L20" i="3"/>
  <c r="L9" i="3"/>
  <c r="N15" i="3"/>
  <c r="D16" i="3"/>
  <c r="G16" i="3"/>
  <c r="J16" i="3"/>
  <c r="P16" i="3"/>
  <c r="M16" i="3"/>
  <c r="Q16" i="3"/>
  <c r="D8" i="3"/>
  <c r="G8" i="3"/>
  <c r="J8" i="3"/>
  <c r="M8" i="3"/>
  <c r="H15" i="3" l="1"/>
  <c r="K15" i="3"/>
  <c r="B15" i="3"/>
  <c r="E10" i="3"/>
  <c r="B22" i="3"/>
  <c r="B10" i="3"/>
  <c r="K10" i="3"/>
  <c r="L16" i="3"/>
  <c r="H10" i="3"/>
  <c r="H22" i="3"/>
  <c r="K22" i="3"/>
  <c r="B6" i="3"/>
  <c r="K6" i="3"/>
  <c r="H6" i="3"/>
  <c r="E6" i="3"/>
  <c r="B21" i="3"/>
  <c r="K21" i="3"/>
  <c r="E21" i="3"/>
  <c r="H21" i="3"/>
  <c r="B9" i="3"/>
  <c r="E9" i="3"/>
  <c r="K9" i="3"/>
  <c r="H9" i="3"/>
  <c r="B14" i="3"/>
  <c r="E14" i="3"/>
  <c r="K14" i="3"/>
  <c r="H14" i="3"/>
  <c r="B12" i="3"/>
  <c r="K12" i="3"/>
  <c r="E12" i="3"/>
  <c r="H12" i="3"/>
  <c r="B26" i="3"/>
  <c r="K26" i="3"/>
  <c r="H26" i="3"/>
  <c r="E26" i="3"/>
  <c r="B5" i="3"/>
  <c r="K5" i="3"/>
  <c r="H5" i="3"/>
  <c r="E5" i="3"/>
  <c r="B27" i="3"/>
  <c r="K27" i="3"/>
  <c r="E27" i="3"/>
  <c r="H27" i="3"/>
  <c r="B13" i="3"/>
  <c r="K13" i="3"/>
  <c r="H13" i="3"/>
  <c r="E13" i="3"/>
  <c r="B20" i="3"/>
  <c r="E20" i="3"/>
  <c r="K20" i="3"/>
  <c r="H20" i="3"/>
  <c r="B19" i="3"/>
  <c r="E19" i="3"/>
  <c r="K19" i="3"/>
  <c r="H19" i="3"/>
  <c r="B18" i="3"/>
  <c r="K18" i="3"/>
  <c r="H18" i="3"/>
  <c r="E18" i="3"/>
  <c r="B7" i="3"/>
  <c r="E7" i="3"/>
  <c r="K7" i="3"/>
  <c r="H7" i="3"/>
  <c r="B23" i="3"/>
  <c r="E23" i="3"/>
  <c r="B17" i="3"/>
  <c r="K17" i="3"/>
  <c r="H17" i="3"/>
  <c r="E17" i="3"/>
  <c r="N16" i="3"/>
  <c r="F16" i="3"/>
  <c r="C16" i="3"/>
  <c r="B16" i="3" s="1"/>
  <c r="I16" i="3"/>
  <c r="K16" i="3" l="1"/>
  <c r="H16" i="3"/>
  <c r="E16" i="3"/>
  <c r="P8" i="3"/>
  <c r="N4" i="6" l="1"/>
  <c r="M4" i="6"/>
  <c r="K4" i="6"/>
  <c r="I4" i="6"/>
  <c r="F4" i="6"/>
  <c r="C4" i="6"/>
  <c r="B4" i="6" l="1"/>
  <c r="N8" i="3"/>
  <c r="H4" i="6"/>
  <c r="E4" i="6"/>
  <c r="L8" i="3"/>
  <c r="K8" i="3" l="1"/>
  <c r="H4" i="7" s="1"/>
  <c r="C4" i="4"/>
  <c r="D4" i="4"/>
  <c r="B4" i="4" s="1"/>
  <c r="C8" i="3"/>
  <c r="B8" i="3" s="1"/>
  <c r="F8" i="3"/>
  <c r="E8" i="3" s="1"/>
  <c r="I8" i="3"/>
  <c r="H8" i="3" s="1"/>
  <c r="M4" i="7" l="1"/>
  <c r="K4" i="7" l="1"/>
  <c r="J4" i="7" s="1"/>
  <c r="F4" i="7"/>
  <c r="I4" i="7"/>
  <c r="G5" i="8" s="1"/>
  <c r="F5" i="8" s="1"/>
  <c r="E4" i="7"/>
  <c r="D4" i="7" s="1"/>
  <c r="C5" i="8" l="1"/>
  <c r="B5" i="8" s="1"/>
  <c r="M5" i="8"/>
  <c r="L5" i="8" s="1"/>
  <c r="U5" i="8"/>
  <c r="R5" i="8" s="1"/>
  <c r="O5" i="8"/>
  <c r="N5" i="8" s="1"/>
  <c r="I5" i="8"/>
  <c r="H5" i="8" s="1"/>
  <c r="S5" i="8"/>
  <c r="Q5" i="8"/>
  <c r="P5" i="8" s="1"/>
  <c r="E5" i="8"/>
  <c r="D5" i="8" s="1"/>
  <c r="K5" i="8"/>
  <c r="J5" i="8" s="1"/>
  <c r="O12" i="3"/>
  <c r="O25" i="3"/>
  <c r="O22" i="3"/>
  <c r="O17" i="3"/>
  <c r="O24" i="3"/>
  <c r="O26" i="3"/>
  <c r="O27" i="3"/>
  <c r="O23" i="3"/>
  <c r="O21" i="3"/>
  <c r="O13" i="3"/>
  <c r="O19" i="3"/>
  <c r="O5" i="3"/>
  <c r="O7" i="3"/>
  <c r="O6" i="3"/>
  <c r="O14" i="3"/>
  <c r="O9" i="3"/>
  <c r="O18" i="3"/>
  <c r="O20" i="3"/>
  <c r="O11" i="3"/>
  <c r="O10" i="3"/>
  <c r="O16" i="3"/>
  <c r="O15" i="3"/>
  <c r="O8" i="3"/>
  <c r="G4" i="7"/>
  <c r="T5" i="8" l="1"/>
</calcChain>
</file>

<file path=xl/sharedStrings.xml><?xml version="1.0" encoding="utf-8"?>
<sst xmlns="http://schemas.openxmlformats.org/spreadsheetml/2006/main" count="260" uniqueCount="150">
  <si>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</si>
  <si>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</si>
  <si>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</si>
  <si>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</si>
  <si>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</si>
  <si>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</si>
  <si>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</si>
  <si>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</si>
  <si>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</si>
  <si>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</si>
  <si>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</si>
  <si>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</si>
  <si>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</si>
  <si>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</si>
  <si>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</si>
  <si>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</si>
  <si>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</si>
  <si>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</si>
  <si>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</si>
  <si>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</si>
  <si>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</si>
  <si>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</si>
  <si>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</si>
  <si>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</si>
  <si>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</si>
  <si>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</si>
  <si>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</si>
  <si>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</si>
  <si>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</si>
  <si>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</si>
  <si>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</si>
  <si>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</si>
  <si>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</si>
  <si>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</si>
  <si>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</si>
  <si>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</si>
  <si>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</si>
  <si>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</si>
  <si>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</si>
  <si>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</si>
  <si>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</si>
  <si>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</si>
  <si>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</si>
  <si>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tot_990106.png</t>
  </si>
  <si>
    <t>sig_990106.png</t>
  </si>
  <si>
    <t>*</t>
  </si>
  <si>
    <t>Bullish</t>
  </si>
  <si>
    <t>خرید قبلی</t>
  </si>
  <si>
    <t>99/01/11</t>
  </si>
  <si>
    <t>99/01/12</t>
  </si>
  <si>
    <t>tot_990112.png</t>
  </si>
  <si>
    <t>tech_990112.png</t>
  </si>
  <si>
    <t>OB</t>
  </si>
  <si>
    <t>HD-</t>
  </si>
  <si>
    <t>خروج</t>
  </si>
  <si>
    <t>HD+</t>
  </si>
  <si>
    <t>middle</t>
  </si>
  <si>
    <t>abc?</t>
  </si>
  <si>
    <t>18929
15623</t>
  </si>
  <si>
    <t>احتمالا آغاز موج b، در صورت شکست سقف آغاز موج 5</t>
  </si>
  <si>
    <t>شکست سقف چنگال بلند مدت، پولبک و صعود مجدد</t>
  </si>
  <si>
    <t>عبور از خط میدلاین، حرکت به سمت بالا</t>
  </si>
  <si>
    <t>برخورد به خط روند و برگشت</t>
  </si>
  <si>
    <t>~28000</t>
  </si>
  <si>
    <t>قیمت در نزدیکی سقف کانال</t>
  </si>
  <si>
    <t>بسته شدن کندل بالای خط روند</t>
  </si>
  <si>
    <t>سیو سود به دلیل نزدیکی شاخص به مقاومت تاریخی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</si>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</sst>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10" fontId="2" fillId="0" borderId="23" xfId="0" applyNumberFormat="1" applyFont="1" applyBorder="1" applyAlignment="1">
      <alignment horizontal="center" vertical="center"/>
    </xf>
    <xf numFmtId="3" fontId="2" fillId="0" borderId="22" xfId="0" applyNumberFormat="1" applyFont="1" applyBorder="1" applyAlignment="1">
      <alignment horizontal="center" vertical="center"/>
    </xf>
    <xf numFmtId="3" fontId="2" fillId="0" borderId="25" xfId="0" applyNumberFormat="1" applyFont="1" applyBorder="1" applyAlignment="1">
      <alignment horizontal="center" vertical="center"/>
    </xf>
    <xf numFmtId="10" fontId="2" fillId="0" borderId="44" xfId="0" applyNumberFormat="1" applyFont="1" applyBorder="1" applyAlignment="1">
      <alignment horizontal="center" vertical="center"/>
    </xf>
    <xf numFmtId="3" fontId="2" fillId="0" borderId="19" xfId="0" applyNumberFormat="1" applyFont="1" applyBorder="1" applyAlignment="1">
      <alignment horizontal="center" vertical="center"/>
    </xf>
    <xf numFmtId="3" fontId="2" fillId="0" borderId="18" xfId="0" applyNumberFormat="1" applyFont="1" applyBorder="1" applyAlignment="1">
      <alignment horizontal="center" vertical="center"/>
    </xf>
    <xf numFmtId="3" fontId="2" fillId="0" borderId="23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0" fontId="3" fillId="9" borderId="3" xfId="0" applyNumberFormat="1" applyFont="1" applyFill="1" applyBorder="1" applyAlignment="1">
      <alignment vertical="center"/>
    </xf>
    <xf numFmtId="10" fontId="3" fillId="9" borderId="7" xfId="0" applyNumberFormat="1" applyFont="1" applyFill="1" applyBorder="1" applyAlignment="1">
      <alignment vertical="center"/>
    </xf>
    <xf numFmtId="10" fontId="3" fillId="10" borderId="3" xfId="0" applyNumberFormat="1" applyFont="1" applyFill="1" applyBorder="1" applyAlignment="1">
      <alignment vertical="center"/>
    </xf>
    <xf numFmtId="10" fontId="3" fillId="10" borderId="7" xfId="0" applyNumberFormat="1" applyFont="1" applyFill="1" applyBorder="1" applyAlignment="1">
      <alignment vertical="center"/>
    </xf>
    <xf numFmtId="10" fontId="3" fillId="11" borderId="3" xfId="0" applyNumberFormat="1" applyFont="1" applyFill="1" applyBorder="1" applyAlignment="1">
      <alignment vertical="center"/>
    </xf>
    <xf numFmtId="10" fontId="3" fillId="11" borderId="7" xfId="0" applyNumberFormat="1" applyFont="1" applyFill="1" applyBorder="1" applyAlignment="1">
      <alignment vertical="center"/>
    </xf>
    <xf numFmtId="10" fontId="3" fillId="12" borderId="3" xfId="0" applyNumberFormat="1" applyFont="1" applyFill="1" applyBorder="1" applyAlignment="1">
      <alignment vertical="center"/>
    </xf>
    <xf numFmtId="10" fontId="3" fillId="12" borderId="7" xfId="0" applyNumberFormat="1" applyFont="1" applyFill="1" applyBorder="1" applyAlignment="1">
      <alignment vertical="center"/>
    </xf>
    <xf numFmtId="10" fontId="3" fillId="13" borderId="3" xfId="0" applyNumberFormat="1" applyFont="1" applyFill="1" applyBorder="1" applyAlignment="1">
      <alignment vertical="center"/>
    </xf>
    <xf numFmtId="10" fontId="3" fillId="13" borderId="7" xfId="0" applyNumberFormat="1" applyFont="1" applyFill="1" applyBorder="1" applyAlignment="1">
      <alignment vertical="center"/>
    </xf>
    <xf numFmtId="10" fontId="3" fillId="14" borderId="3" xfId="0" applyNumberFormat="1" applyFont="1" applyFill="1" applyBorder="1" applyAlignment="1">
      <alignment vertical="center"/>
    </xf>
    <xf numFmtId="10" fontId="3" fillId="14" borderId="7" xfId="0" applyNumberFormat="1" applyFont="1" applyFill="1" applyBorder="1" applyAlignment="1">
      <alignment vertical="center"/>
    </xf>
    <xf numFmtId="10" fontId="3" fillId="15" borderId="3" xfId="0" applyNumberFormat="1" applyFont="1" applyFill="1" applyBorder="1" applyAlignment="1">
      <alignment vertical="center"/>
    </xf>
    <xf numFmtId="10" fontId="3" fillId="15" borderId="7" xfId="0" applyNumberFormat="1" applyFont="1" applyFill="1" applyBorder="1" applyAlignment="1">
      <alignment vertical="center"/>
    </xf>
    <xf numFmtId="10" fontId="3" fillId="16" borderId="3" xfId="0" applyNumberFormat="1" applyFont="1" applyFill="1" applyBorder="1" applyAlignment="1">
      <alignment vertical="center"/>
    </xf>
    <xf numFmtId="10" fontId="3" fillId="16" borderId="7" xfId="0" applyNumberFormat="1" applyFont="1" applyFill="1" applyBorder="1" applyAlignment="1">
      <alignment vertical="center"/>
    </xf>
    <xf numFmtId="10" fontId="3" fillId="17" borderId="3" xfId="0" applyNumberFormat="1" applyFont="1" applyFill="1" applyBorder="1" applyAlignment="1">
      <alignment vertical="center"/>
    </xf>
    <xf numFmtId="10" fontId="3" fillId="17" borderId="7" xfId="0" applyNumberFormat="1" applyFont="1" applyFill="1" applyBorder="1" applyAlignment="1">
      <alignment vertical="center"/>
    </xf>
    <xf numFmtId="10" fontId="3" fillId="18" borderId="3" xfId="0" applyNumberFormat="1" applyFont="1" applyFill="1" applyBorder="1" applyAlignment="1">
      <alignment vertical="center"/>
    </xf>
    <xf numFmtId="10" fontId="3" fillId="18" borderId="7" xfId="0" applyNumberFormat="1" applyFont="1" applyFill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0" fontId="3" fillId="22" borderId="4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2" fillId="19" borderId="46" xfId="0" applyFont="1" applyFill="1" applyBorder="1" applyAlignment="1">
      <alignment horizontal="center" vertical="center"/>
    </xf>
    <xf numFmtId="0" fontId="2" fillId="19" borderId="47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center" vertical="center"/>
    </xf>
    <xf numFmtId="10" fontId="3" fillId="15" borderId="6" xfId="0" applyNumberFormat="1" applyFont="1" applyFill="1" applyBorder="1" applyAlignment="1">
      <alignment horizontal="center" vertical="center"/>
    </xf>
    <xf numFmtId="10" fontId="3" fillId="15" borderId="5" xfId="0" applyNumberFormat="1" applyFont="1" applyFill="1" applyBorder="1" applyAlignment="1">
      <alignment horizontal="center" vertical="center"/>
    </xf>
    <xf numFmtId="10" fontId="3" fillId="13" borderId="6" xfId="0" applyNumberFormat="1" applyFont="1" applyFill="1" applyBorder="1" applyAlignment="1">
      <alignment horizontal="center" vertical="center"/>
    </xf>
    <xf numFmtId="10" fontId="3" fillId="13" borderId="5" xfId="0" applyNumberFormat="1" applyFont="1" applyFill="1" applyBorder="1" applyAlignment="1">
      <alignment horizontal="center" vertical="center"/>
    </xf>
    <xf numFmtId="10" fontId="3" fillId="14" borderId="6" xfId="0" applyNumberFormat="1" applyFont="1" applyFill="1" applyBorder="1" applyAlignment="1">
      <alignment horizontal="center" vertical="center"/>
    </xf>
    <xf numFmtId="10" fontId="3" fillId="14" borderId="5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0" fontId="3" fillId="18" borderId="6" xfId="0" applyNumberFormat="1" applyFont="1" applyFill="1" applyBorder="1" applyAlignment="1">
      <alignment horizontal="center" vertical="center"/>
    </xf>
    <xf numFmtId="10" fontId="3" fillId="18" borderId="5" xfId="0" applyNumberFormat="1" applyFont="1" applyFill="1" applyBorder="1" applyAlignment="1">
      <alignment horizontal="center" vertical="center"/>
    </xf>
    <xf numFmtId="10" fontId="3" fillId="17" borderId="6" xfId="0" applyNumberFormat="1" applyFont="1" applyFill="1" applyBorder="1" applyAlignment="1">
      <alignment horizontal="center" vertical="center"/>
    </xf>
    <xf numFmtId="10" fontId="3" fillId="17" borderId="5" xfId="0" applyNumberFormat="1" applyFont="1" applyFill="1" applyBorder="1" applyAlignment="1">
      <alignment horizontal="center" vertical="center"/>
    </xf>
    <xf numFmtId="10" fontId="3" fillId="16" borderId="6" xfId="0" applyNumberFormat="1" applyFont="1" applyFill="1" applyBorder="1" applyAlignment="1">
      <alignment horizontal="center" vertical="center"/>
    </xf>
    <xf numFmtId="10" fontId="3" fillId="16" borderId="5" xfId="0" applyNumberFormat="1" applyFont="1" applyFill="1" applyBorder="1" applyAlignment="1">
      <alignment horizontal="center" vertical="center"/>
    </xf>
    <xf numFmtId="10" fontId="3" fillId="9" borderId="6" xfId="0" applyNumberFormat="1" applyFont="1" applyFill="1" applyBorder="1" applyAlignment="1">
      <alignment horizontal="center" vertical="center"/>
    </xf>
    <xf numFmtId="10" fontId="3" fillId="9" borderId="5" xfId="0" applyNumberFormat="1" applyFont="1" applyFill="1" applyBorder="1" applyAlignment="1">
      <alignment horizontal="center" vertical="center"/>
    </xf>
    <xf numFmtId="10" fontId="3" fillId="10" borderId="6" xfId="0" applyNumberFormat="1" applyFont="1" applyFill="1" applyBorder="1" applyAlignment="1">
      <alignment horizontal="center" vertical="center"/>
    </xf>
    <xf numFmtId="10" fontId="3" fillId="10" borderId="5" xfId="0" applyNumberFormat="1" applyFont="1" applyFill="1" applyBorder="1" applyAlignment="1">
      <alignment horizontal="center" vertical="center"/>
    </xf>
    <xf numFmtId="10" fontId="3" fillId="11" borderId="6" xfId="0" applyNumberFormat="1" applyFont="1" applyFill="1" applyBorder="1" applyAlignment="1">
      <alignment horizontal="center" vertical="center"/>
    </xf>
    <xf numFmtId="10" fontId="3" fillId="11" borderId="5" xfId="0" applyNumberFormat="1" applyFont="1" applyFill="1" applyBorder="1" applyAlignment="1">
      <alignment horizontal="center" vertical="center"/>
    </xf>
    <xf numFmtId="10" fontId="3" fillId="12" borderId="6" xfId="0" applyNumberFormat="1" applyFont="1" applyFill="1" applyBorder="1" applyAlignment="1">
      <alignment horizontal="center" vertical="center"/>
    </xf>
    <xf numFmtId="10" fontId="3" fillId="12" borderId="5" xfId="0" applyNumberFormat="1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10" fontId="2" fillId="0" borderId="49" xfId="0" applyNumberFormat="1" applyFont="1" applyBorder="1" applyAlignment="1">
      <alignment horizontal="center" vertical="center"/>
    </xf>
    <xf numFmtId="3" fontId="2" fillId="0" borderId="39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10" fontId="2" fillId="0" borderId="48" xfId="0" applyNumberFormat="1" applyFont="1" applyBorder="1" applyAlignment="1">
      <alignment horizontal="center" vertical="center"/>
    </xf>
    <xf numFmtId="3" fontId="2" fillId="0" borderId="41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2" fillId="0" borderId="49" xfId="0" applyNumberFormat="1" applyFont="1" applyBorder="1" applyAlignment="1">
      <alignment horizontal="center" vertical="center"/>
    </xf>
    <xf numFmtId="1" fontId="2" fillId="0" borderId="39" xfId="0" applyNumberFormat="1" applyFont="1" applyBorder="1" applyAlignment="1">
      <alignment horizontal="center" vertical="center"/>
    </xf>
    <xf numFmtId="1" fontId="3" fillId="0" borderId="51" xfId="0" applyNumberFormat="1" applyFont="1" applyBorder="1" applyAlignment="1">
      <alignment horizontal="center" vertical="center"/>
    </xf>
    <xf numFmtId="2" fontId="2" fillId="0" borderId="52" xfId="0" applyNumberFormat="1" applyFont="1" applyBorder="1" applyAlignment="1">
      <alignment horizontal="center" vertical="center"/>
    </xf>
    <xf numFmtId="10" fontId="2" fillId="0" borderId="53" xfId="0" applyNumberFormat="1" applyFont="1" applyBorder="1" applyAlignment="1">
      <alignment horizontal="center" vertical="center"/>
    </xf>
    <xf numFmtId="3" fontId="2" fillId="0" borderId="38" xfId="0" applyNumberFormat="1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3" fontId="2" fillId="0" borderId="32" xfId="0" applyNumberFormat="1" applyFont="1" applyBorder="1" applyAlignment="1">
      <alignment horizontal="center" vertical="center"/>
    </xf>
    <xf numFmtId="10" fontId="2" fillId="0" borderId="52" xfId="0" applyNumberFormat="1" applyFont="1" applyBorder="1" applyAlignment="1">
      <alignment horizontal="center" vertical="center"/>
    </xf>
    <xf numFmtId="3" fontId="2" fillId="0" borderId="40" xfId="0" applyNumberFormat="1" applyFont="1" applyBorder="1" applyAlignment="1">
      <alignment horizontal="center" vertical="center"/>
    </xf>
    <xf numFmtId="3" fontId="2" fillId="0" borderId="24" xfId="0" applyNumberFormat="1" applyFont="1" applyBorder="1" applyAlignment="1">
      <alignment horizontal="center" vertical="center"/>
    </xf>
    <xf numFmtId="3" fontId="2" fillId="0" borderId="53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3" fillId="22" borderId="35" xfId="0" applyFont="1" applyFill="1" applyBorder="1" applyAlignment="1">
      <alignment horizontal="center" vertical="center"/>
    </xf>
    <xf numFmtId="0" fontId="3" fillId="22" borderId="42" xfId="0" applyFont="1" applyFill="1" applyBorder="1" applyAlignment="1">
      <alignment horizontal="center" vertical="center"/>
    </xf>
    <xf numFmtId="0" fontId="3" fillId="22" borderId="27" xfId="0" applyFont="1" applyFill="1" applyBorder="1" applyAlignment="1">
      <alignment horizontal="center" vertical="center"/>
    </xf>
    <xf numFmtId="0" fontId="3" fillId="22" borderId="54" xfId="0" applyFont="1" applyFill="1" applyBorder="1" applyAlignment="1">
      <alignment horizontal="center" vertical="center"/>
    </xf>
    <xf numFmtId="0" fontId="3" fillId="22" borderId="55" xfId="0" applyFont="1" applyFill="1" applyBorder="1" applyAlignment="1">
      <alignment horizontal="center" vertical="center"/>
    </xf>
    <xf numFmtId="10" fontId="3" fillId="2" borderId="3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10" fontId="3" fillId="2" borderId="8" xfId="0" applyNumberFormat="1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3" fontId="3" fillId="2" borderId="10" xfId="0" applyNumberFormat="1" applyFont="1" applyFill="1" applyBorder="1" applyAlignment="1">
      <alignment horizontal="center" vertical="center"/>
    </xf>
    <xf numFmtId="0" fontId="3" fillId="21" borderId="11" xfId="0" applyFont="1" applyFill="1" applyBorder="1" applyAlignment="1">
      <alignment horizontal="center" vertical="center"/>
    </xf>
    <xf numFmtId="0" fontId="3" fillId="21" borderId="12" xfId="0" applyFont="1" applyFill="1" applyBorder="1" applyAlignment="1">
      <alignment horizontal="center" vertical="center"/>
    </xf>
    <xf numFmtId="3" fontId="3" fillId="20" borderId="12" xfId="0" applyNumberFormat="1" applyFont="1" applyFill="1" applyBorder="1" applyAlignment="1">
      <alignment horizontal="center" vertical="center"/>
    </xf>
    <xf numFmtId="3" fontId="3" fillId="20" borderId="13" xfId="0" applyNumberFormat="1" applyFont="1" applyFill="1" applyBorder="1" applyAlignment="1">
      <alignment horizontal="center" vertical="center"/>
    </xf>
    <xf numFmtId="0" fontId="3" fillId="12" borderId="35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4" fontId="3" fillId="14" borderId="3" xfId="0" applyNumberFormat="1" applyFont="1" applyFill="1" applyBorder="1" applyAlignment="1">
      <alignment horizontal="center" vertical="center"/>
    </xf>
    <xf numFmtId="3" fontId="3" fillId="14" borderId="7" xfId="0" applyNumberFormat="1" applyFont="1" applyFill="1" applyBorder="1" applyAlignment="1">
      <alignment horizontal="center" vertical="center"/>
    </xf>
    <xf numFmtId="4" fontId="3" fillId="14" borderId="8" xfId="0" applyNumberFormat="1" applyFont="1" applyFill="1" applyBorder="1" applyAlignment="1">
      <alignment horizontal="center" vertical="center"/>
    </xf>
    <xf numFmtId="3" fontId="3" fillId="14" borderId="10" xfId="0" applyNumberFormat="1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/>
    </xf>
    <xf numFmtId="0" fontId="3" fillId="6" borderId="55" xfId="0" applyFont="1" applyFill="1" applyBorder="1" applyAlignment="1">
      <alignment horizontal="center" vertical="center"/>
    </xf>
    <xf numFmtId="10" fontId="3" fillId="23" borderId="3" xfId="0" applyNumberFormat="1" applyFont="1" applyFill="1" applyBorder="1" applyAlignment="1">
      <alignment horizontal="center" vertical="center"/>
    </xf>
    <xf numFmtId="3" fontId="3" fillId="23" borderId="7" xfId="0" applyNumberFormat="1" applyFont="1" applyFill="1" applyBorder="1" applyAlignment="1">
      <alignment horizontal="center" vertical="center"/>
    </xf>
    <xf numFmtId="10" fontId="3" fillId="23" borderId="8" xfId="0" applyNumberFormat="1" applyFont="1" applyFill="1" applyBorder="1" applyAlignment="1">
      <alignment horizontal="center" vertical="center"/>
    </xf>
    <xf numFmtId="3" fontId="3" fillId="23" borderId="10" xfId="0" applyNumberFormat="1" applyFont="1" applyFill="1" applyBorder="1" applyAlignment="1">
      <alignment horizontal="center" vertical="center"/>
    </xf>
    <xf numFmtId="0" fontId="3" fillId="25" borderId="35" xfId="0" applyFont="1" applyFill="1" applyBorder="1" applyAlignment="1">
      <alignment horizontal="center" vertical="center"/>
    </xf>
    <xf numFmtId="0" fontId="3" fillId="25" borderId="27" xfId="0" applyFont="1" applyFill="1" applyBorder="1" applyAlignment="1">
      <alignment horizontal="center" vertical="center"/>
    </xf>
    <xf numFmtId="0" fontId="3" fillId="25" borderId="3" xfId="0" applyFont="1" applyFill="1" applyBorder="1" applyAlignment="1">
      <alignment horizontal="center" vertical="center"/>
    </xf>
    <xf numFmtId="0" fontId="3" fillId="25" borderId="7" xfId="0" applyFont="1" applyFill="1" applyBorder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10" fontId="3" fillId="3" borderId="8" xfId="0" applyNumberFormat="1" applyFont="1" applyFill="1" applyBorder="1" applyAlignment="1">
      <alignment horizontal="center" vertical="center"/>
    </xf>
    <xf numFmtId="3" fontId="3" fillId="3" borderId="10" xfId="0" applyNumberFormat="1" applyFont="1" applyFill="1" applyBorder="1" applyAlignment="1">
      <alignment horizontal="center" vertical="center"/>
    </xf>
    <xf numFmtId="3" fontId="3" fillId="19" borderId="56" xfId="0" applyNumberFormat="1" applyFont="1" applyFill="1" applyBorder="1" applyAlignment="1">
      <alignment horizontal="center" vertical="center"/>
    </xf>
    <xf numFmtId="3" fontId="3" fillId="19" borderId="26" xfId="0" applyNumberFormat="1" applyFont="1" applyFill="1" applyBorder="1" applyAlignment="1">
      <alignment horizontal="center" vertical="center"/>
    </xf>
    <xf numFmtId="0" fontId="3" fillId="24" borderId="14" xfId="0" applyFont="1" applyFill="1" applyBorder="1" applyAlignment="1">
      <alignment horizontal="center" vertical="center"/>
    </xf>
    <xf numFmtId="0" fontId="3" fillId="24" borderId="57" xfId="0" applyFont="1" applyFill="1" applyBorder="1" applyAlignment="1">
      <alignment horizontal="center" vertical="center"/>
    </xf>
    <xf numFmtId="3" fontId="3" fillId="26" borderId="3" xfId="0" applyNumberFormat="1" applyFont="1" applyFill="1" applyBorder="1" applyAlignment="1">
      <alignment horizontal="center" vertical="center"/>
    </xf>
    <xf numFmtId="3" fontId="3" fillId="26" borderId="7" xfId="0" applyNumberFormat="1" applyFont="1" applyFill="1" applyBorder="1" applyAlignment="1">
      <alignment horizontal="center" vertical="center"/>
    </xf>
    <xf numFmtId="3" fontId="3" fillId="26" borderId="8" xfId="0" applyNumberFormat="1" applyFont="1" applyFill="1" applyBorder="1" applyAlignment="1">
      <alignment horizontal="center" vertical="center"/>
    </xf>
    <xf numFmtId="3" fontId="3" fillId="26" borderId="10" xfId="0" applyNumberFormat="1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Medium9"/>
  <colors>
    <mruColors>
      <color rgb="FFFD6F6F"/>
      <color rgb="FFFD3D3D"/>
      <color rgb="FFFED2D2"/>
      <color rgb="FFFDB5B5"/>
      <color rgb="FFFDA1A1"/>
      <color rgb="FFFD8D8D"/>
      <color rgb="FFFD5959"/>
      <color rgb="FFFD1313"/>
      <color rgb="FFF00202"/>
      <color rgb="FFDC02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23129</v>
          </cell>
          <cell r="M4">
            <v>18361</v>
          </cell>
          <cell r="Q4">
            <v>20418</v>
          </cell>
          <cell r="R4">
            <v>2645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7489</v>
          </cell>
          <cell r="R4">
            <v>1348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14900</v>
          </cell>
          <cell r="J4">
            <v>13080</v>
          </cell>
          <cell r="M4">
            <v>9700</v>
          </cell>
          <cell r="Q4">
            <v>11317</v>
          </cell>
          <cell r="R4">
            <v>6527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38246</v>
          </cell>
          <cell r="Q4">
            <v>45968</v>
          </cell>
          <cell r="R4">
            <v>365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23129</v>
          </cell>
          <cell r="M4">
            <v>17800</v>
          </cell>
          <cell r="Q4">
            <v>18674</v>
          </cell>
          <cell r="R4">
            <v>1273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6228</v>
          </cell>
          <cell r="M4">
            <v>4722</v>
          </cell>
          <cell r="Q4">
            <v>5833</v>
          </cell>
          <cell r="R4">
            <v>531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  <cell r="R4">
            <v>201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52000</v>
          </cell>
          <cell r="J4">
            <v>47242</v>
          </cell>
          <cell r="M4">
            <v>36278</v>
          </cell>
          <cell r="Q4">
            <v>41268</v>
          </cell>
          <cell r="R4">
            <v>244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  <cell r="R4">
            <v>1337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17246</v>
          </cell>
          <cell r="R4">
            <v>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29923</v>
          </cell>
          <cell r="R4">
            <v>38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5707</v>
          </cell>
          <cell r="R4">
            <v>369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19485</v>
          </cell>
          <cell r="J4">
            <v>17073</v>
          </cell>
          <cell r="M4">
            <v>13992</v>
          </cell>
          <cell r="Q4">
            <v>15010</v>
          </cell>
          <cell r="R4">
            <v>672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  <cell r="R4">
            <v>2926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7537</v>
          </cell>
          <cell r="G4">
            <v>7166</v>
          </cell>
          <cell r="J4">
            <v>6171</v>
          </cell>
          <cell r="M4">
            <v>5128</v>
          </cell>
          <cell r="Q4">
            <v>5679</v>
          </cell>
          <cell r="R4">
            <v>7110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7254</v>
          </cell>
          <cell r="R4">
            <v>5788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30268</v>
          </cell>
          <cell r="M4">
            <v>23065</v>
          </cell>
          <cell r="Q4">
            <v>28698</v>
          </cell>
          <cell r="R4">
            <v>107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17664</v>
          </cell>
          <cell r="M4">
            <v>10232</v>
          </cell>
          <cell r="Q4">
            <v>11764</v>
          </cell>
          <cell r="R4">
            <v>429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B4:S29" totalsRowShown="0" tableBorderDxfId="18">
  <autoFilter ref="B4:S29"/>
  <sortState ref="B5:T29">
    <sortCondition descending="1" ref="N4:N29"/>
  </sortState>
  <tableColumns count="18">
    <tableColumn id="1" name="Column1" dataDxfId="17"/>
    <tableColumn id="2" name="Column2" dataDxfId="16"/>
    <tableColumn id="3" name="Column3" dataDxfId="15"/>
    <tableColumn id="4" name="Column4" dataDxfId="14"/>
    <tableColumn id="5" name="Column5" dataDxfId="13"/>
    <tableColumn id="6" name="Column6" dataDxfId="12"/>
    <tableColumn id="7" name="Column7" dataDxfId="11"/>
    <tableColumn id="8" name="Column8" dataDxfId="10"/>
    <tableColumn id="9" name="Column9" dataDxfId="9"/>
    <tableColumn id="10" name="Column10" dataDxfId="8"/>
    <tableColumn id="11" name="Column11" dataDxfId="7"/>
    <tableColumn id="12" name="Column12" dataDxfId="6"/>
    <tableColumn id="13" name="Column13" dataDxfId="5"/>
    <tableColumn id="14" name="Column14" dataDxfId="4"/>
    <tableColumn id="15" name="Column15" dataDxfId="3"/>
    <tableColumn id="16" name="Column16" dataDxfId="2"/>
    <tableColumn id="17" name="Column17" dataDxfId="1"/>
    <tableColumn id="18" name="Column18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2" Type="http://schemas.openxmlformats.org/officeDocument/2006/relationships/hyperlink" Target="sig_990106.png" TargetMode="External"/><Relationship Id="rId1" Type="http://schemas.openxmlformats.org/officeDocument/2006/relationships/hyperlink" Target="tot_990106.png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tech_990112.p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zoomScale="90" zoomScaleNormal="90" workbookViewId="0">
      <pane ySplit="3" topLeftCell="A5" activePane="bottomLeft" state="frozen"/>
      <selection pane="bottomLeft" activeCell="T7" sqref="T7"/>
    </sheetView>
  </sheetViews>
  <sheetFormatPr defaultRowHeight="14.4" x14ac:dyDescent="0.3"/>
  <cols>
    <col min="1" max="1" width="8.88671875" style="27"/>
    <col min="2" max="8" width="9.77734375" style="27" customWidth="1"/>
    <col min="9" max="9" width="10.88671875" style="27" bestFit="1" customWidth="1"/>
    <col min="10" max="10" width="9.77734375" style="27" customWidth="1"/>
    <col min="11" max="11" width="12.109375" style="27" bestFit="1" customWidth="1"/>
    <col min="12" max="13" width="10.6640625" style="27" customWidth="1"/>
    <col min="14" max="14" width="15.88671875" style="27" bestFit="1" customWidth="1"/>
    <col min="15" max="15" width="15.6640625" style="27" bestFit="1" customWidth="1"/>
    <col min="16" max="16" width="13.44140625" style="27" bestFit="1" customWidth="1"/>
    <col min="17" max="17" width="10.6640625" style="27" customWidth="1"/>
    <col min="18" max="18" width="10.6640625" style="74" customWidth="1"/>
    <col min="19" max="19" width="10.6640625" style="27" customWidth="1"/>
    <col min="20" max="16384" width="8.88671875" style="27"/>
  </cols>
  <sheetData>
    <row r="1" spans="2:19" ht="15" thickBot="1" x14ac:dyDescent="0.35"/>
    <row r="2" spans="2:19" ht="18.600000000000001" x14ac:dyDescent="0.3">
      <c r="B2" s="79" t="s">
        <v>18</v>
      </c>
      <c r="C2" s="80"/>
      <c r="D2" s="80"/>
      <c r="E2" s="80"/>
      <c r="F2" s="80"/>
      <c r="G2" s="80"/>
      <c r="H2" s="80"/>
      <c r="I2" s="80"/>
      <c r="J2" s="81"/>
      <c r="K2" s="76" t="s">
        <v>19</v>
      </c>
      <c r="L2" s="77"/>
      <c r="M2" s="78"/>
      <c r="N2" s="86" t="s">
        <v>20</v>
      </c>
      <c r="O2" s="88" t="s">
        <v>70</v>
      </c>
      <c r="P2" s="315" t="s">
        <v>32</v>
      </c>
      <c r="Q2" s="313" t="s">
        <v>23</v>
      </c>
      <c r="R2" s="84" t="s">
        <v>68</v>
      </c>
      <c r="S2" s="82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67</v>
      </c>
      <c r="L3" s="33" t="s">
        <v>30</v>
      </c>
      <c r="M3" s="13" t="s">
        <v>29</v>
      </c>
      <c r="N3" s="87"/>
      <c r="O3" s="89"/>
      <c r="P3" s="316"/>
      <c r="Q3" s="314"/>
      <c r="R3" s="85"/>
      <c r="S3" s="83"/>
    </row>
    <row r="4" spans="2:19" ht="19.2" hidden="1" thickBot="1" x14ac:dyDescent="0.35">
      <c r="B4" s="238" t="s">
        <v>124</v>
      </c>
      <c r="C4" s="239" t="s">
        <v>125</v>
      </c>
      <c r="D4" s="240" t="s">
        <v>126</v>
      </c>
      <c r="E4" s="241" t="s">
        <v>127</v>
      </c>
      <c r="F4" s="239" t="s">
        <v>128</v>
      </c>
      <c r="G4" s="240" t="s">
        <v>129</v>
      </c>
      <c r="H4" s="241" t="s">
        <v>130</v>
      </c>
      <c r="I4" s="239" t="s">
        <v>131</v>
      </c>
      <c r="J4" s="240" t="s">
        <v>132</v>
      </c>
      <c r="K4" s="242" t="s">
        <v>133</v>
      </c>
      <c r="L4" s="243" t="s">
        <v>134</v>
      </c>
      <c r="M4" s="244" t="s">
        <v>135</v>
      </c>
      <c r="N4" s="245" t="s">
        <v>136</v>
      </c>
      <c r="O4" s="239" t="s">
        <v>137</v>
      </c>
      <c r="P4" s="246" t="s">
        <v>138</v>
      </c>
      <c r="Q4" s="247" t="s">
        <v>139</v>
      </c>
      <c r="R4" s="248" t="s">
        <v>140</v>
      </c>
      <c r="S4" s="67" t="s">
        <v>141</v>
      </c>
    </row>
    <row r="5" spans="2:19" ht="15" customHeight="1" thickBot="1" x14ac:dyDescent="0.35">
      <c r="B5" s="237">
        <f>IF(L5&gt;0, C5/L5,"RF")</f>
        <v>-6.9987631416202873</v>
      </c>
      <c r="C5" s="36">
        <f>(D5/P5)-1</f>
        <v>-1</v>
      </c>
      <c r="D5" s="37">
        <f>'[11]دارایی فعلی'!$D$4</f>
        <v>0</v>
      </c>
      <c r="E5" s="35">
        <f>IF(L5&gt;0, F5/L5,"RF")</f>
        <v>2.2158317872603588</v>
      </c>
      <c r="F5" s="36">
        <f>(G5/P5)-1</f>
        <v>0.31660334010780233</v>
      </c>
      <c r="G5" s="37">
        <f>'[11]دارایی فعلی'!$G$4</f>
        <v>14900</v>
      </c>
      <c r="H5" s="35">
        <f>IF(L5&gt;0, I5/L5,"RF")</f>
        <v>1.0902906617192336</v>
      </c>
      <c r="I5" s="36">
        <f>(J5/P5)-1</f>
        <v>0.155783334806044</v>
      </c>
      <c r="J5" s="37">
        <f>'[11]دارایی فعلی'!$J$4</f>
        <v>13080</v>
      </c>
      <c r="K5" s="38">
        <f>IF(L5&gt;0, N5-M5*Q5, 0)</f>
        <v>10554159</v>
      </c>
      <c r="L5" s="39">
        <f>IF(1-(M5/P5)&gt;0, 1-(M5/P5), 0)</f>
        <v>0.142882389325793</v>
      </c>
      <c r="M5" s="40">
        <f>'[11]دارایی فعلی'!$M$4</f>
        <v>9700</v>
      </c>
      <c r="N5" s="41">
        <f>Q5*P5</f>
        <v>73866059</v>
      </c>
      <c r="O5" s="36">
        <f>IF( (P5-M5)*Q5/سرمایه!F4&gt;0, (P5-M5)*Q5/سرمایه!F4, "Risk free")</f>
        <v>1.6942030878163119E-2</v>
      </c>
      <c r="P5" s="42">
        <f>'[11]دارایی فعلی'!$Q$4</f>
        <v>11317</v>
      </c>
      <c r="Q5" s="43">
        <f>'[11]دارایی فعلی'!$R$4</f>
        <v>6527</v>
      </c>
      <c r="R5" s="75" t="s">
        <v>85</v>
      </c>
      <c r="S5" s="64" t="s">
        <v>42</v>
      </c>
    </row>
    <row r="6" spans="2:19" ht="19.2" thickBot="1" x14ac:dyDescent="0.35">
      <c r="B6" s="237">
        <f>IF(L6&gt;0, C6/L6,"RF")</f>
        <v>-9.1052989130434803</v>
      </c>
      <c r="C6" s="36">
        <f>(D6/P6)-1</f>
        <v>-1</v>
      </c>
      <c r="D6" s="37">
        <f>'[9]دارایی فعلی'!$D$4</f>
        <v>0</v>
      </c>
      <c r="E6" s="35">
        <f>IF(L6&gt;0, F6/L6,"RF")</f>
        <v>3.2153532608695659</v>
      </c>
      <c r="F6" s="36">
        <f>(G6/P6)-1</f>
        <v>0.35312989629187497</v>
      </c>
      <c r="G6" s="37">
        <f>'[9]دارایی فعلی'!$G$4</f>
        <v>18136</v>
      </c>
      <c r="H6" s="35">
        <f>IF(L6&gt;0, I6/L6,"RF")</f>
        <v>1.6732336956521745</v>
      </c>
      <c r="I6" s="36">
        <f>(J6/P6)-1</f>
        <v>0.18376482876967848</v>
      </c>
      <c r="J6" s="37">
        <f>'[9]دارایی فعلی'!$J$4</f>
        <v>15866</v>
      </c>
      <c r="K6" s="38">
        <f>IF(L6&gt;0, N6-M6*Q6, 0)</f>
        <v>7203968</v>
      </c>
      <c r="L6" s="39">
        <f>IF(1-(M6/P6)&gt;0, 1-(M6/P6), 0)</f>
        <v>0.10982615832276355</v>
      </c>
      <c r="M6" s="40">
        <f>'[9]دارایی فعلی'!$M$4</f>
        <v>11931</v>
      </c>
      <c r="N6" s="41">
        <f>Q6*P6</f>
        <v>65594282</v>
      </c>
      <c r="O6" s="36">
        <f>IF( (P6-M6)*Q6/سرمایه!F4&gt;0, (P6-M6)*Q6/سرمایه!F4, "Risk free")</f>
        <v>1.1564147205030644E-2</v>
      </c>
      <c r="P6" s="42">
        <f>'[9]دارایی فعلی'!$Q$4</f>
        <v>13403</v>
      </c>
      <c r="Q6" s="43">
        <f>'[9]دارایی فعلی'!$R$4</f>
        <v>4894</v>
      </c>
      <c r="R6" s="75" t="s">
        <v>83</v>
      </c>
      <c r="S6" s="65" t="s">
        <v>42</v>
      </c>
    </row>
    <row r="7" spans="2:19" ht="19.2" thickBot="1" x14ac:dyDescent="0.35">
      <c r="B7" s="237">
        <f>IF(L7&gt;0, C7/L7,"RF")</f>
        <v>-4.0096557514693538</v>
      </c>
      <c r="C7" s="36">
        <f>(D7/P7)-1</f>
        <v>-1</v>
      </c>
      <c r="D7" s="37">
        <f>'[12]دارایی فعلی'!$D$4</f>
        <v>0</v>
      </c>
      <c r="E7" s="35">
        <f>IF(L7&gt;0, F7/L7,"RF")</f>
        <v>-4.0096557514693538</v>
      </c>
      <c r="F7" s="36">
        <f>(G7/P7)-1</f>
        <v>-1</v>
      </c>
      <c r="G7" s="37">
        <f>'[12]دارایی فعلی'!$G$4</f>
        <v>0</v>
      </c>
      <c r="H7" s="35">
        <f>IF(L7&gt;0, I7/L7,"RF")</f>
        <v>0.72942905121746449</v>
      </c>
      <c r="I7" s="36">
        <f>(J7/P7)-1</f>
        <v>0.18191812375667471</v>
      </c>
      <c r="J7" s="37">
        <f>'[12]دارایی فعلی'!$J$4</f>
        <v>45154</v>
      </c>
      <c r="K7" s="38">
        <f>IF(L7&gt;0, N7-M7*Q7, 0)</f>
        <v>15092352</v>
      </c>
      <c r="L7" s="39">
        <f>IF(1-(M7/P7)&gt;0, 1-(M7/P7), 0)</f>
        <v>0.24939796879907861</v>
      </c>
      <c r="M7" s="40">
        <f>'[12]دارایی فعلی'!$M$4</f>
        <v>28676</v>
      </c>
      <c r="N7" s="41">
        <f>Q7*P7</f>
        <v>60515136</v>
      </c>
      <c r="O7" s="36">
        <f>IF( (P7-M7)*Q7/سرمایه!F4&gt;0, (P7-M7)*Q7/سرمایه!F4, "Risk free")</f>
        <v>2.4226951063377661E-2</v>
      </c>
      <c r="P7" s="42">
        <f>'[12]دارایی فعلی'!$Q$4</f>
        <v>38204</v>
      </c>
      <c r="Q7" s="43">
        <f>'[12]دارایی فعلی'!$R$4</f>
        <v>1584</v>
      </c>
      <c r="R7" s="75" t="s">
        <v>86</v>
      </c>
      <c r="S7" s="65" t="s">
        <v>42</v>
      </c>
    </row>
    <row r="8" spans="2:19" ht="19.2" thickBot="1" x14ac:dyDescent="0.35">
      <c r="B8" s="237">
        <f>IF(L8&gt;0, C8/L8,"RF")</f>
        <v>-9.9261059795819158</v>
      </c>
      <c r="C8" s="36">
        <f>(D8/P8)-1</f>
        <v>-1</v>
      </c>
      <c r="D8" s="37">
        <f>'[1]دارایی فعلی'!$D$4</f>
        <v>0</v>
      </c>
      <c r="E8" s="35">
        <f>IF(L8&gt;0, F8/L8,"RF")</f>
        <v>4.0291686922702974</v>
      </c>
      <c r="F8" s="36">
        <f>(G8/P8)-1</f>
        <v>0.40591634832010981</v>
      </c>
      <c r="G8" s="37">
        <f>'[1]دارایی فعلی'!$G$4</f>
        <v>28706</v>
      </c>
      <c r="H8" s="35">
        <f>IF(L8&gt;0, I8/L8,"RF")</f>
        <v>1.3179387457462326</v>
      </c>
      <c r="I8" s="36">
        <f>(J8/P8)-1</f>
        <v>0.13277500244881968</v>
      </c>
      <c r="J8" s="37">
        <f>'[1]دارایی فعلی'!$J$4</f>
        <v>23129</v>
      </c>
      <c r="K8" s="38">
        <f>IF(L8&gt;0, N8-M8*Q8, 0)</f>
        <v>5440765</v>
      </c>
      <c r="L8" s="39">
        <f>IF(1-(M8/P8)&gt;0, 1-(M8/P8), 0)</f>
        <v>0.10074444117935155</v>
      </c>
      <c r="M8" s="40">
        <f>'[1]دارایی فعلی'!$M$4</f>
        <v>18361</v>
      </c>
      <c r="N8" s="41">
        <f>Q8*P8</f>
        <v>54005610</v>
      </c>
      <c r="O8" s="36">
        <f>IF( (P8-M8)*Q8/سرمایه!F4&gt;0, (P8-M8)*Q8/سرمایه!F4, "Risk free")</f>
        <v>8.7337710783804909E-3</v>
      </c>
      <c r="P8" s="42">
        <f>'[1]دارایی فعلی'!$Q$4</f>
        <v>20418</v>
      </c>
      <c r="Q8" s="43">
        <f>'[1]دارایی فعلی'!$R$4</f>
        <v>2645</v>
      </c>
      <c r="R8" s="75" t="s">
        <v>69</v>
      </c>
      <c r="S8" s="65" t="s">
        <v>42</v>
      </c>
    </row>
    <row r="9" spans="2:19" ht="19.2" thickBot="1" x14ac:dyDescent="0.35">
      <c r="B9" s="237">
        <f>IF(L9&gt;0, C9/L9,"RF")</f>
        <v>-6.6246575342465741</v>
      </c>
      <c r="C9" s="36">
        <f>(D9/P9)-1</f>
        <v>-1</v>
      </c>
      <c r="D9" s="37">
        <f>'[6]دارایی فعلی'!$D$4</f>
        <v>0</v>
      </c>
      <c r="E9" s="35">
        <f>IF(L9&gt;0, F9/L9,"RF")</f>
        <v>4.3077625570776243</v>
      </c>
      <c r="F9" s="36">
        <f>(G9/P9)-1</f>
        <v>0.65026192445547282</v>
      </c>
      <c r="G9" s="37">
        <f>'[6]دارایی فعلی'!$G$4</f>
        <v>11971</v>
      </c>
      <c r="H9" s="35">
        <f>IF(L9&gt;0, I9/L9,"RF")</f>
        <v>2.261187214611871</v>
      </c>
      <c r="I9" s="36">
        <f>(J9/P9)-1</f>
        <v>0.34132892197408315</v>
      </c>
      <c r="J9" s="37">
        <f>'[6]دارایی فعلی'!$J$4</f>
        <v>9730</v>
      </c>
      <c r="K9" s="38">
        <f>IF(L9&gt;0, N9-M9*Q9, 0)</f>
        <v>6337860</v>
      </c>
      <c r="L9" s="39">
        <f>IF(1-(M9/P9)&gt;0, 1-(M9/P9), 0)</f>
        <v>0.15095119933829615</v>
      </c>
      <c r="M9" s="40">
        <f>'[6]دارایی فعلی'!$M$4</f>
        <v>6159</v>
      </c>
      <c r="N9" s="41">
        <f>Q9*P9</f>
        <v>41986152</v>
      </c>
      <c r="O9" s="36">
        <f>IF( (P9-M9)*Q9/سرمایه!F4&gt;0, (P9-M9)*Q9/سرمایه!F4, "Risk free")</f>
        <v>1.0173830034347114E-2</v>
      </c>
      <c r="P9" s="42">
        <f>'[6]دارایی فعلی'!$Q$4</f>
        <v>7254</v>
      </c>
      <c r="Q9" s="43">
        <f>'[6]دارایی فعلی'!$R$4</f>
        <v>5788</v>
      </c>
      <c r="R9" s="75" t="s">
        <v>80</v>
      </c>
      <c r="S9" s="65" t="s">
        <v>42</v>
      </c>
    </row>
    <row r="10" spans="2:19" ht="19.2" thickBot="1" x14ac:dyDescent="0.35">
      <c r="B10" s="237">
        <f>IF(L10&gt;0, C10/L10,"RF")</f>
        <v>3.3720508166969148</v>
      </c>
      <c r="C10" s="36">
        <f>(D10/P10)-1</f>
        <v>0.32717027645712271</v>
      </c>
      <c r="D10" s="37">
        <f>'[5]دارایی فعلی'!$D$4</f>
        <v>7537</v>
      </c>
      <c r="E10" s="35">
        <f>IF(L10&gt;0, F10/L10,"RF")</f>
        <v>2.6987295825771334</v>
      </c>
      <c r="F10" s="36">
        <f>(G10/P10)-1</f>
        <v>0.26184187356929045</v>
      </c>
      <c r="G10" s="37">
        <f>'[5]دارایی فعلی'!$G$4</f>
        <v>7166</v>
      </c>
      <c r="H10" s="35">
        <f>IF(L10&gt;0, I10/L10,"RF")</f>
        <v>0.89292196007259439</v>
      </c>
      <c r="I10" s="36">
        <f>(J10/P10)-1</f>
        <v>8.6634970945588918E-2</v>
      </c>
      <c r="J10" s="37">
        <f>'[5]دارایی فعلی'!$J$4</f>
        <v>6171</v>
      </c>
      <c r="K10" s="38">
        <f>IF(L10&gt;0, N10-M10*Q10, 0)</f>
        <v>3917610</v>
      </c>
      <c r="L10" s="39">
        <f>IF(1-(M10/P10)&gt;0, 1-(M10/P10), 0)</f>
        <v>9.7024123965486875E-2</v>
      </c>
      <c r="M10" s="40">
        <f>'[5]دارایی فعلی'!$M$4</f>
        <v>5128</v>
      </c>
      <c r="N10" s="41">
        <f>Q10*P10</f>
        <v>40377690</v>
      </c>
      <c r="O10" s="36">
        <f>IF( (P10-M10)*Q10/سرمایه!F4&gt;0, (P10-M10)*Q10/سرمایه!F4, "Risk free")</f>
        <v>6.2887312564270277E-3</v>
      </c>
      <c r="P10" s="42">
        <f>'[5]دارایی فعلی'!$Q$4</f>
        <v>5679</v>
      </c>
      <c r="Q10" s="43">
        <f>'[5]دارایی فعلی'!$R$4</f>
        <v>7110</v>
      </c>
      <c r="R10" s="75" t="s">
        <v>79</v>
      </c>
      <c r="S10" s="65" t="s">
        <v>42</v>
      </c>
    </row>
    <row r="11" spans="2:19" ht="19.2" thickBot="1" x14ac:dyDescent="0.35">
      <c r="B11" s="237">
        <f>IF(L11&gt;0, C11/L11,"RF")</f>
        <v>-8.0857863751051298</v>
      </c>
      <c r="C11" s="36">
        <f>(D11/P11)-1</f>
        <v>-1</v>
      </c>
      <c r="D11" s="37">
        <f>'[4]دارایی فعلی'!$D$4</f>
        <v>0</v>
      </c>
      <c r="E11" s="35">
        <f>IF(L11&gt;0, F11/L11,"RF")</f>
        <v>-8.0857863751051298</v>
      </c>
      <c r="F11" s="36">
        <f>(G11/P11)-1</f>
        <v>-1</v>
      </c>
      <c r="G11" s="37">
        <f>'[4]دارایی فعلی'!$G$4</f>
        <v>0</v>
      </c>
      <c r="H11" s="35">
        <f>IF(L11&gt;0, I11/L11,"RF")</f>
        <v>1.705634987384357</v>
      </c>
      <c r="I11" s="36">
        <f>(J11/P11)-1</f>
        <v>0.21094237570210117</v>
      </c>
      <c r="J11" s="37">
        <f>'[4]دارایی فعلی'!$J$4</f>
        <v>11642</v>
      </c>
      <c r="K11" s="38">
        <f>IF(L11&gt;0, N11-M11*Q11, 0)</f>
        <v>3479014</v>
      </c>
      <c r="L11" s="39">
        <f>IF(1-(M11/P11)&gt;0, 1-(M11/P11), 0)</f>
        <v>0.12367380902850011</v>
      </c>
      <c r="M11" s="40">
        <f>'[4]دارایی فعلی'!$M$4</f>
        <v>8425</v>
      </c>
      <c r="N11" s="41">
        <f>Q11*P11</f>
        <v>28130564</v>
      </c>
      <c r="O11" s="36">
        <f>IF( (P11-M11)*Q11/سرمایه!F4&gt;0, (P11-M11)*Q11/سرمایه!F4, "Risk free")</f>
        <v>5.5846763928382908E-3</v>
      </c>
      <c r="P11" s="42">
        <f>'[4]دارایی فعلی'!$Q$4</f>
        <v>9614</v>
      </c>
      <c r="Q11" s="43">
        <f>'[4]دارایی فعلی'!$R$4</f>
        <v>2926</v>
      </c>
      <c r="R11" s="75" t="s">
        <v>78</v>
      </c>
      <c r="S11" s="65" t="s">
        <v>42</v>
      </c>
    </row>
    <row r="12" spans="2:19" ht="19.2" thickBot="1" x14ac:dyDescent="0.35">
      <c r="B12" s="237">
        <f>IF(L12&gt;0, C12/L12,"RF")</f>
        <v>-21.366132723112113</v>
      </c>
      <c r="C12" s="36">
        <f>(D12/P12)-1</f>
        <v>-1</v>
      </c>
      <c r="D12" s="37">
        <f>'[14]دارایی فعلی'!$D$4</f>
        <v>0</v>
      </c>
      <c r="E12" s="35">
        <f>IF(L12&gt;0, F12/L12,"RF")</f>
        <v>11.478260869565208</v>
      </c>
      <c r="F12" s="36">
        <f>(G12/P12)-1</f>
        <v>0.53721752168790826</v>
      </c>
      <c r="G12" s="37">
        <f>'[14]دارایی فعلی'!$G$4</f>
        <v>28706</v>
      </c>
      <c r="H12" s="35">
        <f>IF(L12&gt;0, I12/L12,"RF")</f>
        <v>5.0972540045766559</v>
      </c>
      <c r="I12" s="36">
        <f>(J12/P12)-1</f>
        <v>0.23856699153903826</v>
      </c>
      <c r="J12" s="37">
        <f>'[14]دارایی فعلی'!$J$4</f>
        <v>23129</v>
      </c>
      <c r="K12" s="38">
        <f>IF(L12&gt;0, N12-M12*Q12, 0)</f>
        <v>1112602</v>
      </c>
      <c r="L12" s="39">
        <f>IF(1-(M12/P12)&gt;0, 1-(M12/P12), 0)</f>
        <v>4.680304166220417E-2</v>
      </c>
      <c r="M12" s="40">
        <f>'[14]دارایی فعلی'!$M$4</f>
        <v>17800</v>
      </c>
      <c r="N12" s="41">
        <f>Q12*P12</f>
        <v>23772002</v>
      </c>
      <c r="O12" s="36">
        <f>IF( (P12-M12)*Q12/سرمایه!F4&gt;0, (P12-M12)*Q12/سرمایه!F4, "Risk free")</f>
        <v>1.7860008968129098E-3</v>
      </c>
      <c r="P12" s="42">
        <f>'[14]دارایی فعلی'!$Q$4</f>
        <v>18674</v>
      </c>
      <c r="Q12" s="43">
        <f>'[14]دارایی فعلی'!$R$4</f>
        <v>1273</v>
      </c>
      <c r="R12" s="75" t="s">
        <v>88</v>
      </c>
      <c r="S12" s="65" t="s">
        <v>42</v>
      </c>
    </row>
    <row r="13" spans="2:19" ht="19.2" thickBot="1" x14ac:dyDescent="0.35">
      <c r="B13" s="237">
        <f>IF(L13&gt;0, C13/L13,"RF")</f>
        <v>-5.9528619528619542</v>
      </c>
      <c r="C13" s="36">
        <f>(D13/P13)-1</f>
        <v>-1</v>
      </c>
      <c r="D13" s="37">
        <f>'[13]دارایی فعلی'!$D$4</f>
        <v>0</v>
      </c>
      <c r="E13" s="35">
        <f>IF(L13&gt;0, F13/L13,"RF")</f>
        <v>-5.9528619528619542</v>
      </c>
      <c r="F13" s="36">
        <f>(G13/P13)-1</f>
        <v>-1</v>
      </c>
      <c r="G13" s="37">
        <f>'[13]دارایی فعلی'!$G$4</f>
        <v>0</v>
      </c>
      <c r="H13" s="35">
        <f>IF(L13&gt;0, I13/L13,"RF")</f>
        <v>5.107744107744109</v>
      </c>
      <c r="I13" s="36">
        <f>(J13/P13)-1</f>
        <v>0.85803167420814486</v>
      </c>
      <c r="J13" s="37">
        <f>'[13]دارایی فعلی'!$J$4</f>
        <v>85410</v>
      </c>
      <c r="K13" s="38">
        <f>IF(L13&gt;0, N13-M13*Q13, 0)</f>
        <v>2818530</v>
      </c>
      <c r="L13" s="39">
        <f>IF(1-(M13/P13)&gt;0, 1-(M13/P13), 0)</f>
        <v>0.16798642533936647</v>
      </c>
      <c r="M13" s="40">
        <f>'[13]دارایی فعلی'!$M$4</f>
        <v>38246</v>
      </c>
      <c r="N13" s="41">
        <f>Q13*P13</f>
        <v>16778320</v>
      </c>
      <c r="O13" s="36">
        <f>IF( (P13-M13)*Q13/سرمایه!F4&gt;0, (P13-M13)*Q13/سرمایه!F4, "Risk free")</f>
        <v>4.5244365080182227E-3</v>
      </c>
      <c r="P13" s="42">
        <f>'[13]دارایی فعلی'!$Q$4</f>
        <v>45968</v>
      </c>
      <c r="Q13" s="43">
        <f>'[13]دارایی فعلی'!$R$4</f>
        <v>365</v>
      </c>
      <c r="R13" s="75" t="s">
        <v>87</v>
      </c>
      <c r="S13" s="65" t="s">
        <v>42</v>
      </c>
    </row>
    <row r="14" spans="2:19" ht="19.2" thickBot="1" x14ac:dyDescent="0.35">
      <c r="B14" s="237">
        <f>IF(L14&gt;0, C14/L14,"RF")</f>
        <v>-4.7041457286432165</v>
      </c>
      <c r="C14" s="36">
        <f>(D14/P14)-1</f>
        <v>-1</v>
      </c>
      <c r="D14" s="37">
        <f>'[10]دارایی فعلی'!$D$4</f>
        <v>0</v>
      </c>
      <c r="E14" s="35">
        <f>IF(L14&gt;0, F14/L14,"RF")</f>
        <v>-4.7041457286432165</v>
      </c>
      <c r="F14" s="36">
        <f>(G14/P14)-1</f>
        <v>-1</v>
      </c>
      <c r="G14" s="37">
        <f>'[10]دارایی فعلی'!$G$4</f>
        <v>0</v>
      </c>
      <c r="H14" s="35">
        <f>IF(L14&gt;0, I14/L14,"RF")</f>
        <v>0.56030150753768826</v>
      </c>
      <c r="I14" s="36">
        <f>(J14/P14)-1</f>
        <v>0.11910802510348506</v>
      </c>
      <c r="J14" s="37">
        <f>'[10]دارایی فعلی'!$J$4</f>
        <v>8381</v>
      </c>
      <c r="K14" s="38">
        <f>IF(L14&gt;0, N14-M14*Q14, 0)</f>
        <v>2146016</v>
      </c>
      <c r="L14" s="39">
        <f>IF(1-(M14/P14)&gt;0, 1-(M14/P14), 0)</f>
        <v>0.2125784483909734</v>
      </c>
      <c r="M14" s="40">
        <f>'[10]دارایی فعلی'!$M$4</f>
        <v>5897</v>
      </c>
      <c r="N14" s="41">
        <f>Q14*P14</f>
        <v>10095172</v>
      </c>
      <c r="O14" s="36">
        <f>IF( (P14-M14)*Q14/سرمایه!F4&gt;0, (P14-M14)*Q14/سرمایه!F4, "Risk free")</f>
        <v>3.4448855031492423E-3</v>
      </c>
      <c r="P14" s="42">
        <f>'[10]دارایی فعلی'!$Q$4</f>
        <v>7489</v>
      </c>
      <c r="Q14" s="43">
        <f>'[10]دارایی فعلی'!$R$4</f>
        <v>1348</v>
      </c>
      <c r="R14" s="75" t="s">
        <v>84</v>
      </c>
      <c r="S14" s="65" t="s">
        <v>42</v>
      </c>
    </row>
    <row r="15" spans="2:19" ht="19.2" thickBot="1" x14ac:dyDescent="0.35">
      <c r="B15" s="237">
        <f>IF(L15&gt;0, C15/L15,"RF")</f>
        <v>-14.744597249508836</v>
      </c>
      <c r="C15" s="36">
        <f>(D15/P15)-1</f>
        <v>-1</v>
      </c>
      <c r="D15" s="37">
        <f>'[3]دارایی فعلی'!$D$4</f>
        <v>0</v>
      </c>
      <c r="E15" s="35">
        <f>IF(L15&gt;0, F15/L15,"RF")</f>
        <v>4.3958742632612964</v>
      </c>
      <c r="F15" s="36">
        <f>(G15/P15)-1</f>
        <v>0.29813457694870094</v>
      </c>
      <c r="G15" s="37">
        <f>'[3]دارایی فعلی'!$G$4</f>
        <v>19485</v>
      </c>
      <c r="H15" s="35">
        <f>IF(L15&gt;0, I15/L15,"RF")</f>
        <v>2.0265225933202342</v>
      </c>
      <c r="I15" s="36">
        <f>(J15/P15)-1</f>
        <v>0.13744170552964685</v>
      </c>
      <c r="J15" s="37">
        <f>'[3]دارایی فعلی'!$J$4</f>
        <v>17073</v>
      </c>
      <c r="K15" s="38">
        <f>IF(L15&gt;0, N15-M15*Q15, 0)</f>
        <v>684096</v>
      </c>
      <c r="L15" s="39">
        <f>IF(1-(M15/P15)&gt;0, 1-(M15/P15), 0)</f>
        <v>6.7821452365089963E-2</v>
      </c>
      <c r="M15" s="40">
        <f>'[3]دارایی فعلی'!$M$4</f>
        <v>13992</v>
      </c>
      <c r="N15" s="41">
        <f>Q15*P15</f>
        <v>10086720</v>
      </c>
      <c r="O15" s="36">
        <f>IF( (P15-M15)*Q15/سرمایه!F4&gt;0, (P15-M15)*Q15/سرمایه!F4, "Risk free")</f>
        <v>1.0981429743125793E-3</v>
      </c>
      <c r="P15" s="42">
        <f>'[3]دارایی فعلی'!$Q$4</f>
        <v>15010</v>
      </c>
      <c r="Q15" s="43">
        <f>'[3]دارایی فعلی'!$R$4</f>
        <v>672</v>
      </c>
      <c r="R15" s="75" t="s">
        <v>77</v>
      </c>
      <c r="S15" s="65" t="s">
        <v>42</v>
      </c>
    </row>
    <row r="16" spans="2:19" ht="19.2" thickBot="1" x14ac:dyDescent="0.35">
      <c r="B16" s="237">
        <f>IF(L16&gt;0, C16/L16,"RF")</f>
        <v>-8.2701402805611224</v>
      </c>
      <c r="C16" s="36">
        <f>(D16/P16)-1</f>
        <v>-1</v>
      </c>
      <c r="D16" s="37">
        <f>'[2]دارایی فعلی'!$D$4</f>
        <v>0</v>
      </c>
      <c r="E16" s="35">
        <f>IF(L16&gt;0, F16/L16,"RF")</f>
        <v>2.1507014028056113</v>
      </c>
      <c r="F16" s="36">
        <f>(G16/P16)-1</f>
        <v>0.26005621789279831</v>
      </c>
      <c r="G16" s="37">
        <f>'[2]دارایی فعلی'!$G$4</f>
        <v>52000</v>
      </c>
      <c r="H16" s="35">
        <f>IF(L16&gt;0, I16/L16,"RF")</f>
        <v>1.1971943887775558</v>
      </c>
      <c r="I16" s="36">
        <f>(J16/P16)-1</f>
        <v>0.14476107395560733</v>
      </c>
      <c r="J16" s="37">
        <f>'[2]دارایی فعلی'!$J$4</f>
        <v>47242</v>
      </c>
      <c r="K16" s="38">
        <f>IF(L16&gt;0, N16-M16*Q16, 0)</f>
        <v>1217560</v>
      </c>
      <c r="L16" s="39">
        <f>IF(1-(M16/P16)&gt;0, 1-(M16/P16), 0)</f>
        <v>0.12091693321702046</v>
      </c>
      <c r="M16" s="40">
        <f>'[2]دارایی فعلی'!$M$4</f>
        <v>36278</v>
      </c>
      <c r="N16" s="41">
        <f>Q16*P16</f>
        <v>10069392</v>
      </c>
      <c r="O16" s="36">
        <f>IF( (P16-M16)*Q16/سرمایه!F4&gt;0, (P16-M16)*Q16/سرمایه!F4, "Risk free")</f>
        <v>1.9544843995638389E-3</v>
      </c>
      <c r="P16" s="42">
        <f>'[2]دارایی فعلی'!$Q$4</f>
        <v>41268</v>
      </c>
      <c r="Q16" s="43">
        <f>'[2]دارایی فعلی'!$R$4</f>
        <v>244</v>
      </c>
      <c r="R16" s="75" t="s">
        <v>76</v>
      </c>
      <c r="S16" s="65" t="s">
        <v>42</v>
      </c>
    </row>
    <row r="17" spans="2:19" ht="19.2" thickBot="1" x14ac:dyDescent="0.35">
      <c r="B17" s="237" t="str">
        <f>IF(L17&gt;0, C17/L17,"RF")</f>
        <v>RF</v>
      </c>
      <c r="C17" s="36">
        <f>(D17/P17)-1</f>
        <v>-1</v>
      </c>
      <c r="D17" s="37">
        <f>'[20]دارایی فعلی'!$D$4</f>
        <v>0</v>
      </c>
      <c r="E17" s="35" t="str">
        <f>IF(L17&gt;0, F17/L17,"RF")</f>
        <v>RF</v>
      </c>
      <c r="F17" s="36">
        <f>(G17/P17)-1</f>
        <v>-1</v>
      </c>
      <c r="G17" s="37">
        <f>'[20]دارایی فعلی'!$G$4</f>
        <v>0</v>
      </c>
      <c r="H17" s="35" t="str">
        <f>IF(L17&gt;0, I17/L17,"RF")</f>
        <v>RF</v>
      </c>
      <c r="I17" s="36">
        <f>(J17/P17)-1</f>
        <v>-1</v>
      </c>
      <c r="J17" s="37">
        <f>'[20]دارایی فعلی'!$J$4</f>
        <v>0</v>
      </c>
      <c r="K17" s="38">
        <f>IF(L17&gt;0, N17-M17*Q17, 0)</f>
        <v>0</v>
      </c>
      <c r="L17" s="39">
        <f>IF(1-(M17/P17)&gt;0, 1-(M17/P17), 0)</f>
        <v>0</v>
      </c>
      <c r="M17" s="40">
        <f>'[20]دارایی فعلی'!$M$4</f>
        <v>4443</v>
      </c>
      <c r="N17" s="41">
        <f>Q17*P17</f>
        <v>5940291</v>
      </c>
      <c r="O17" s="36" t="str">
        <f>IF( (P17-M17)*Q17/سرمایه!F4&gt;0, (P17-M17)*Q17/سرمایه!F4, "Risk free")</f>
        <v>Risk free</v>
      </c>
      <c r="P17" s="42">
        <f>'[20]دارایی فعلی'!$Q$4</f>
        <v>4443</v>
      </c>
      <c r="Q17" s="43">
        <f>'[20]دارایی فعلی'!$R$4</f>
        <v>1337</v>
      </c>
      <c r="R17" s="75" t="s">
        <v>90</v>
      </c>
      <c r="S17" s="65" t="s">
        <v>42</v>
      </c>
    </row>
    <row r="18" spans="2:19" ht="19.2" thickBot="1" x14ac:dyDescent="0.35">
      <c r="B18" s="237">
        <f>IF(L18&gt;0, C18/L18,"RF")</f>
        <v>-7.6788511749347288</v>
      </c>
      <c r="C18" s="36">
        <f>(D18/P18)-1</f>
        <v>-1</v>
      </c>
      <c r="D18" s="37">
        <f>'[8]دارایی فعلی'!$D$4</f>
        <v>0</v>
      </c>
      <c r="E18" s="35">
        <f>IF(L18&gt;0, F18/L18,"RF")</f>
        <v>-7.6788511749347288</v>
      </c>
      <c r="F18" s="36">
        <f>(G18/P18)-1</f>
        <v>-1</v>
      </c>
      <c r="G18" s="37">
        <f>'[8]دارایی فعلی'!$G$4</f>
        <v>0</v>
      </c>
      <c r="H18" s="35">
        <f>IF(L18&gt;0, I18/L18,"RF")</f>
        <v>3.8511749347258499</v>
      </c>
      <c r="I18" s="36">
        <f>(J18/P18)-1</f>
        <v>0.50153009180550834</v>
      </c>
      <c r="J18" s="37">
        <f>'[8]دارایی فعلی'!$J$4</f>
        <v>17664</v>
      </c>
      <c r="K18" s="38">
        <f>IF(L18&gt;0, N18-M18*Q18, 0)</f>
        <v>657228</v>
      </c>
      <c r="L18" s="39">
        <f>IF(1-(M18/P18)&gt;0, 1-(M18/P18), 0)</f>
        <v>0.13022781366882008</v>
      </c>
      <c r="M18" s="40">
        <f>'[8]دارایی فعلی'!$M$4</f>
        <v>10232</v>
      </c>
      <c r="N18" s="41">
        <f>Q18*P18</f>
        <v>5046756</v>
      </c>
      <c r="O18" s="36">
        <f>IF( (P18-M18)*Q18/سرمایه!F4&gt;0, (P18-M18)*Q18/سرمایه!F4, "Risk free")</f>
        <v>1.0550132009564562E-3</v>
      </c>
      <c r="P18" s="42">
        <f>'[8]دارایی فعلی'!$Q$4</f>
        <v>11764</v>
      </c>
      <c r="Q18" s="43">
        <f>'[8]دارایی فعلی'!$R$4</f>
        <v>429</v>
      </c>
      <c r="R18" s="75" t="s">
        <v>82</v>
      </c>
      <c r="S18" s="65" t="s">
        <v>42</v>
      </c>
    </row>
    <row r="19" spans="2:19" ht="19.2" thickBot="1" x14ac:dyDescent="0.35">
      <c r="B19" s="237">
        <f>IF(L19&gt;0, C19/L19,"RF")</f>
        <v>-5.250225022502252</v>
      </c>
      <c r="C19" s="36">
        <f>(D19/P19)-1</f>
        <v>-1</v>
      </c>
      <c r="D19" s="37">
        <f>'[15]دارایی فعلی'!$D$4</f>
        <v>0</v>
      </c>
      <c r="E19" s="35">
        <f>IF(L19&gt;0, F19/L19,"RF")</f>
        <v>-5.250225022502252</v>
      </c>
      <c r="F19" s="36">
        <f>(G19/P19)-1</f>
        <v>-1</v>
      </c>
      <c r="G19" s="37">
        <f>'[15]دارایی فعلی'!$G$4</f>
        <v>0</v>
      </c>
      <c r="H19" s="35">
        <f>IF(L19&gt;0, I19/L19,"RF")</f>
        <v>0.35553555355535599</v>
      </c>
      <c r="I19" s="36">
        <f>(J19/P19)-1</f>
        <v>6.7718155323161389E-2</v>
      </c>
      <c r="J19" s="37">
        <f>'[15]دارایی فعلی'!$J$4</f>
        <v>6228</v>
      </c>
      <c r="K19" s="38">
        <f>IF(L19&gt;0, N19-M19*Q19, 0)</f>
        <v>589941</v>
      </c>
      <c r="L19" s="39">
        <f>IF(1-(M19/P19)&gt;0, 1-(M19/P19), 0)</f>
        <v>0.19046802674438534</v>
      </c>
      <c r="M19" s="40">
        <f>'[15]دارایی فعلی'!$M$4</f>
        <v>4722</v>
      </c>
      <c r="N19" s="41">
        <f>Q19*P19</f>
        <v>3097323</v>
      </c>
      <c r="O19" s="36">
        <f>IF( (P19-M19)*Q19/سرمایه!F4&gt;0, (P19-M19)*Q19/سرمایه!F4, "Risk free")</f>
        <v>9.47000953680386E-4</v>
      </c>
      <c r="P19" s="42">
        <f>'[15]دارایی فعلی'!$Q$4</f>
        <v>5833</v>
      </c>
      <c r="Q19" s="43">
        <f>'[15]دارایی فعلی'!$R$4</f>
        <v>531</v>
      </c>
      <c r="R19" s="75" t="s">
        <v>89</v>
      </c>
      <c r="S19" s="65" t="s">
        <v>42</v>
      </c>
    </row>
    <row r="20" spans="2:19" ht="19.2" thickBot="1" x14ac:dyDescent="0.35">
      <c r="B20" s="237">
        <f>IF(L20&gt;0, C20/L20,"RF")</f>
        <v>-5.0946209834901461</v>
      </c>
      <c r="C20" s="36">
        <f>(D20/P20)-1</f>
        <v>-1</v>
      </c>
      <c r="D20" s="37">
        <f>'[7]دارایی فعلی'!$D$4</f>
        <v>0</v>
      </c>
      <c r="E20" s="35">
        <f>IF(L20&gt;0, F20/L20,"RF")</f>
        <v>-5.0946209834901461</v>
      </c>
      <c r="F20" s="36">
        <f>(G20/P20)-1</f>
        <v>-1</v>
      </c>
      <c r="G20" s="37">
        <f>'[7]دارایی فعلی'!$G$4</f>
        <v>0</v>
      </c>
      <c r="H20" s="35">
        <f>IF(L20&gt;0, I20/L20,"RF")</f>
        <v>0.2787147168471506</v>
      </c>
      <c r="I20" s="36">
        <f>(J20/P20)-1</f>
        <v>5.4707645132064942E-2</v>
      </c>
      <c r="J20" s="37">
        <f>'[7]دارایی فعلی'!$J$4</f>
        <v>30268</v>
      </c>
      <c r="K20" s="38">
        <f>IF(L20&gt;0, N20-M20*Q20, 0)</f>
        <v>602731</v>
      </c>
      <c r="L20" s="39">
        <f>IF(1-(M20/P20)&gt;0, 1-(M20/P20), 0)</f>
        <v>0.19628545543243436</v>
      </c>
      <c r="M20" s="40">
        <f>'[7]دارایی فعلی'!$M$4</f>
        <v>23065</v>
      </c>
      <c r="N20" s="41">
        <f>Q20*P20</f>
        <v>3070686</v>
      </c>
      <c r="O20" s="36">
        <f>IF( (P20-M20)*Q20/سرمایه!F4&gt;0, (P20-M20)*Q20/سرمایه!F4, "Risk free")</f>
        <v>9.6753206136331038E-4</v>
      </c>
      <c r="P20" s="42">
        <f>'[7]دارایی فعلی'!$Q$4</f>
        <v>28698</v>
      </c>
      <c r="Q20" s="43">
        <f>'[7]دارایی فعلی'!$R$4</f>
        <v>107</v>
      </c>
      <c r="R20" s="75" t="s">
        <v>81</v>
      </c>
      <c r="S20" s="65" t="s">
        <v>42</v>
      </c>
    </row>
    <row r="21" spans="2:19" ht="19.2" thickBot="1" x14ac:dyDescent="0.35">
      <c r="B21" s="237" t="str">
        <f>IF(L21&gt;0, C21/L21,"RF")</f>
        <v>RF</v>
      </c>
      <c r="C21" s="36">
        <f>(D21/P21)-1</f>
        <v>-1</v>
      </c>
      <c r="D21" s="37">
        <f>'[17]دارایی فعلی'!$D$4</f>
        <v>0</v>
      </c>
      <c r="E21" s="35" t="str">
        <f>IF(L21&gt;0, F21/L21,"RF")</f>
        <v>RF</v>
      </c>
      <c r="F21" s="36">
        <f>(G21/P21)-1</f>
        <v>-1</v>
      </c>
      <c r="G21" s="37">
        <f>'[17]دارایی فعلی'!$G$4</f>
        <v>0</v>
      </c>
      <c r="H21" s="35" t="str">
        <f>IF(L21&gt;0, I21/L21,"RF")</f>
        <v>RF</v>
      </c>
      <c r="I21" s="36">
        <f>(J21/P21)-1</f>
        <v>-1</v>
      </c>
      <c r="J21" s="37">
        <f>'[17]دارایی فعلی'!$J$4</f>
        <v>0</v>
      </c>
      <c r="K21" s="38">
        <f>IF(L21&gt;0, N21-M21*Q21, 0)</f>
        <v>0</v>
      </c>
      <c r="L21" s="39">
        <f>IF(1-(M21/P21)&gt;0, 1-(M21/P21), 0)</f>
        <v>0</v>
      </c>
      <c r="M21" s="40">
        <f>'[17]دارایی فعلی'!$M$4</f>
        <v>13310</v>
      </c>
      <c r="N21" s="41">
        <f>Q21*P21</f>
        <v>2675310</v>
      </c>
      <c r="O21" s="36" t="str">
        <f>IF( (P21-M21)*Q21/سرمایه!F4&gt;0, (P21-M21)*Q21/سرمایه!F4, "Risk free")</f>
        <v>Risk free</v>
      </c>
      <c r="P21" s="42">
        <f>'[17]دارایی فعلی'!$Q$4</f>
        <v>13310</v>
      </c>
      <c r="Q21" s="43">
        <f>'[17]دارایی فعلی'!$R$4</f>
        <v>201</v>
      </c>
      <c r="R21" s="75" t="s">
        <v>92</v>
      </c>
      <c r="S21" s="65" t="s">
        <v>42</v>
      </c>
    </row>
    <row r="22" spans="2:19" ht="19.2" thickBot="1" x14ac:dyDescent="0.35">
      <c r="B22" s="237" t="str">
        <f>IF(L22&gt;0, C22/L22,"RF")</f>
        <v>RF</v>
      </c>
      <c r="C22" s="36">
        <f>(D22/P22)-1</f>
        <v>-1</v>
      </c>
      <c r="D22" s="37">
        <f>'[23]دارایی فعلی'!$D$4</f>
        <v>0</v>
      </c>
      <c r="E22" s="35" t="str">
        <f>IF(L22&gt;0, F22/L22,"RF")</f>
        <v>RF</v>
      </c>
      <c r="F22" s="36">
        <f>(G22/P22)-1</f>
        <v>-1</v>
      </c>
      <c r="G22" s="37">
        <f>'[23]دارایی فعلی'!$G$4</f>
        <v>0</v>
      </c>
      <c r="H22" s="35" t="str">
        <f>IF(L22&gt;0, I22/L22,"RF")</f>
        <v>RF</v>
      </c>
      <c r="I22" s="36">
        <f>(J22/P22)-1</f>
        <v>-1</v>
      </c>
      <c r="J22" s="37">
        <f>'[23]دارایی فعلی'!$J$4</f>
        <v>0</v>
      </c>
      <c r="K22" s="38">
        <f>IF(L22&gt;0, N22-M22*Q22, 0)</f>
        <v>0</v>
      </c>
      <c r="L22" s="39">
        <f>IF(1-(M22/P22)&gt;0, 1-(M22/P22), 0)</f>
        <v>0</v>
      </c>
      <c r="M22" s="40">
        <f>'[23]دارایی فعلی'!$M$4</f>
        <v>5707</v>
      </c>
      <c r="N22" s="41">
        <f>Q22*P22</f>
        <v>2105883</v>
      </c>
      <c r="O22" s="36" t="str">
        <f>IF( (P22-M22)*Q22/سرمایه!F4&gt;0, (P22-M22)*Q22/سرمایه!F4, "Risk free")</f>
        <v>Risk free</v>
      </c>
      <c r="P22" s="42">
        <f>'[23]دارایی فعلی'!$Q$4</f>
        <v>5707</v>
      </c>
      <c r="Q22" s="43">
        <f>'[23]دارایی فعلی'!$R$4</f>
        <v>369</v>
      </c>
      <c r="R22" s="75" t="s">
        <v>97</v>
      </c>
      <c r="S22" s="65" t="s">
        <v>42</v>
      </c>
    </row>
    <row r="23" spans="2:19" ht="19.2" thickBot="1" x14ac:dyDescent="0.35">
      <c r="B23" s="237" t="str">
        <f>IF(L23&gt;0, C23/L23,"RF")</f>
        <v>RF</v>
      </c>
      <c r="C23" s="36">
        <f>(D23/P23)-1</f>
        <v>-1</v>
      </c>
      <c r="D23" s="37">
        <f>'[16]دارایی فعلی'!$D$4</f>
        <v>0</v>
      </c>
      <c r="E23" s="35" t="str">
        <f>IF(L23&gt;0, F23/L23,"RF")</f>
        <v>RF</v>
      </c>
      <c r="F23" s="36">
        <f>(G23/P23)-1</f>
        <v>-1</v>
      </c>
      <c r="G23" s="37">
        <f>'[16]دارایی فعلی'!$G$4</f>
        <v>0</v>
      </c>
      <c r="H23" s="35" t="str">
        <f>IF(L23&gt;0, I23/L23,"RF")</f>
        <v>RF</v>
      </c>
      <c r="I23" s="36">
        <f>(J23/P23)-1</f>
        <v>-1</v>
      </c>
      <c r="J23" s="37">
        <f>'[16]دارایی فعلی'!$J$4</f>
        <v>0</v>
      </c>
      <c r="K23" s="38">
        <f>IF(L23&gt;0, N23-M23*Q23, 0)</f>
        <v>0</v>
      </c>
      <c r="L23" s="39">
        <f>IF(1-(M23/P23)&gt;0, 1-(M23/P23), 0)</f>
        <v>0</v>
      </c>
      <c r="M23" s="40">
        <f>'[16]دارایی فعلی'!$M$4</f>
        <v>3450</v>
      </c>
      <c r="N23" s="41">
        <f>Q23*P23</f>
        <v>1449000</v>
      </c>
      <c r="O23" s="36" t="str">
        <f>IF( (P23-M23)*Q23/سرمایه!F4&gt;0, (P23-M23)*Q23/سرمایه!F4, "Risk free")</f>
        <v>Risk free</v>
      </c>
      <c r="P23" s="42">
        <f>'[16]دارایی فعلی'!$Q$4</f>
        <v>3450</v>
      </c>
      <c r="Q23" s="43">
        <f>'[16]دارایی فعلی'!$R$4</f>
        <v>420</v>
      </c>
      <c r="R23" s="75" t="s">
        <v>91</v>
      </c>
      <c r="S23" s="65" t="s">
        <v>42</v>
      </c>
    </row>
    <row r="24" spans="2:19" ht="19.2" thickBot="1" x14ac:dyDescent="0.35">
      <c r="B24" s="237" t="str">
        <f>IF(L24&gt;0, C24/L24,"RF")</f>
        <v>RF</v>
      </c>
      <c r="C24" s="36">
        <f>(D24/P24)-1</f>
        <v>-1</v>
      </c>
      <c r="D24" s="37">
        <f>'[21]دارایی فعلی'!$D$4</f>
        <v>0</v>
      </c>
      <c r="E24" s="35" t="str">
        <f>IF(L24&gt;0, F24/L24,"RF")</f>
        <v>RF</v>
      </c>
      <c r="F24" s="36">
        <f>(G24/P24)-1</f>
        <v>-1</v>
      </c>
      <c r="G24" s="37">
        <f>'[21]دارایی فعلی'!$G$4</f>
        <v>0</v>
      </c>
      <c r="H24" s="35" t="str">
        <f>IF(L24&gt;0, I24/L24,"RF")</f>
        <v>RF</v>
      </c>
      <c r="I24" s="36">
        <f>(J24/P24)-1</f>
        <v>-1</v>
      </c>
      <c r="J24" s="37">
        <f>'[21]دارایی فعلی'!$J$4</f>
        <v>0</v>
      </c>
      <c r="K24" s="38">
        <f>IF(L24&gt;0, N24-M24*Q24, 0)</f>
        <v>0</v>
      </c>
      <c r="L24" s="39">
        <f>IF(1-(M24/P24)&gt;0, 1-(M24/P24), 0)</f>
        <v>0</v>
      </c>
      <c r="M24" s="40">
        <f>'[21]دارایی فعلی'!$M$4</f>
        <v>17246</v>
      </c>
      <c r="N24" s="41">
        <f>Q24*P24</f>
        <v>1155482</v>
      </c>
      <c r="O24" s="36" t="str">
        <f>IF( (P24-M24)*Q24/سرمایه!F4&gt;0, (P24-M24)*Q24/سرمایه!F4, "Risk free")</f>
        <v>Risk free</v>
      </c>
      <c r="P24" s="42">
        <f>'[21]دارایی فعلی'!$Q$4</f>
        <v>17246</v>
      </c>
      <c r="Q24" s="43">
        <f>'[21]دارایی فعلی'!$R$4</f>
        <v>67</v>
      </c>
      <c r="R24" s="75" t="s">
        <v>95</v>
      </c>
      <c r="S24" s="65" t="s">
        <v>42</v>
      </c>
    </row>
    <row r="25" spans="2:19" ht="19.2" thickBot="1" x14ac:dyDescent="0.35">
      <c r="B25" s="237" t="str">
        <f>IF(L25&gt;0, C25/L25,"RF")</f>
        <v>RF</v>
      </c>
      <c r="C25" s="36">
        <f>(D25/P25)-1</f>
        <v>-1</v>
      </c>
      <c r="D25" s="37">
        <f>'[22]دارایی فعلی'!$D$4</f>
        <v>0</v>
      </c>
      <c r="E25" s="35" t="str">
        <f>IF(L25&gt;0, F25/L25,"RF")</f>
        <v>RF</v>
      </c>
      <c r="F25" s="36">
        <f>(G25/P25)-1</f>
        <v>-1</v>
      </c>
      <c r="G25" s="37">
        <f>'[22]دارایی فعلی'!$G$4</f>
        <v>0</v>
      </c>
      <c r="H25" s="35" t="str">
        <f>IF(L25&gt;0, I25/L25,"RF")</f>
        <v>RF</v>
      </c>
      <c r="I25" s="36">
        <f>(J25/P25)-1</f>
        <v>-1</v>
      </c>
      <c r="J25" s="37">
        <f>'[22]دارایی فعلی'!$J$4</f>
        <v>0</v>
      </c>
      <c r="K25" s="38">
        <f>IF(L25&gt;0, N25-M25*Q25, 0)</f>
        <v>0</v>
      </c>
      <c r="L25" s="39">
        <f>IF(1-(M25/P25)&gt;0, 1-(M25/P25), 0)</f>
        <v>0</v>
      </c>
      <c r="M25" s="40">
        <f>'[22]دارایی فعلی'!$M$4</f>
        <v>29923</v>
      </c>
      <c r="N25" s="41">
        <f>Q25*P25</f>
        <v>1137074</v>
      </c>
      <c r="O25" s="36" t="str">
        <f>IF( (P25-M25)*Q25/سرمایه!F4&gt;0, (P25-M25)*Q25/سرمایه!F4, "Risk free")</f>
        <v>Risk free</v>
      </c>
      <c r="P25" s="42">
        <f>'[22]دارایی فعلی'!$Q$4</f>
        <v>29923</v>
      </c>
      <c r="Q25" s="43">
        <f>'[22]دارایی فعلی'!$R$4</f>
        <v>38</v>
      </c>
      <c r="R25" s="75" t="s">
        <v>96</v>
      </c>
      <c r="S25" s="65" t="s">
        <v>42</v>
      </c>
    </row>
    <row r="26" spans="2:19" ht="19.2" thickBot="1" x14ac:dyDescent="0.35">
      <c r="B26" s="237" t="str">
        <f>IF(L26&gt;0, C26/L26,"RF")</f>
        <v>RF</v>
      </c>
      <c r="C26" s="36">
        <f>(D26/P26)-1</f>
        <v>-1</v>
      </c>
      <c r="D26" s="37">
        <f>'[18]دارایی فعلی'!$D$4</f>
        <v>0</v>
      </c>
      <c r="E26" s="35" t="str">
        <f>IF(L26&gt;0, F26/L26,"RF")</f>
        <v>RF</v>
      </c>
      <c r="F26" s="36">
        <f>(G26/P26)-1</f>
        <v>-1</v>
      </c>
      <c r="G26" s="37">
        <f>'[18]دارایی فعلی'!$G$4</f>
        <v>0</v>
      </c>
      <c r="H26" s="35" t="str">
        <f>IF(L26&gt;0, I26/L26,"RF")</f>
        <v>RF</v>
      </c>
      <c r="I26" s="36">
        <f>(J26/P26)-1</f>
        <v>-1</v>
      </c>
      <c r="J26" s="37">
        <f>'[18]دارایی فعلی'!$J$4</f>
        <v>0</v>
      </c>
      <c r="K26" s="38">
        <f>IF(L26&gt;0, N26-M26*Q26, 0)</f>
        <v>0</v>
      </c>
      <c r="L26" s="39">
        <f>IF(1-(M26/P26)&gt;0, 1-(M26/P26), 0)</f>
        <v>0</v>
      </c>
      <c r="M26" s="40">
        <f>'[18]دارایی فعلی'!$M$4</f>
        <v>23838</v>
      </c>
      <c r="N26" s="41">
        <f>Q26*P26</f>
        <v>882006</v>
      </c>
      <c r="O26" s="36" t="str">
        <f>IF( (P26-M26)*Q26/سرمایه!F4&gt;0, (P26-M26)*Q26/سرمایه!F4, "Risk free")</f>
        <v>Risk free</v>
      </c>
      <c r="P26" s="42">
        <f>'[18]دارایی فعلی'!$Q$4</f>
        <v>23838</v>
      </c>
      <c r="Q26" s="43">
        <f>'[18]دارایی فعلی'!$R$4</f>
        <v>37</v>
      </c>
      <c r="R26" s="75" t="s">
        <v>93</v>
      </c>
      <c r="S26" s="65" t="s">
        <v>42</v>
      </c>
    </row>
    <row r="27" spans="2:19" ht="19.2" thickBot="1" x14ac:dyDescent="0.35">
      <c r="B27" s="237" t="str">
        <f>IF(L27&gt;0, C27/L27,"RF")</f>
        <v>RF</v>
      </c>
      <c r="C27" s="36">
        <f>(D27/P27)-1</f>
        <v>-1</v>
      </c>
      <c r="D27" s="37">
        <f>'[19]دارایی فعلی'!$D$4</f>
        <v>0</v>
      </c>
      <c r="E27" s="35" t="str">
        <f>IF(L27&gt;0, F27/L27,"RF")</f>
        <v>RF</v>
      </c>
      <c r="F27" s="36">
        <f>(G27/P27)-1</f>
        <v>-1</v>
      </c>
      <c r="G27" s="37">
        <f>'[19]دارایی فعلی'!$G$4</f>
        <v>0</v>
      </c>
      <c r="H27" s="35" t="str">
        <f>IF(L27&gt;0, I27/L27,"RF")</f>
        <v>RF</v>
      </c>
      <c r="I27" s="36">
        <f>(J27/P27)-1</f>
        <v>-1</v>
      </c>
      <c r="J27" s="37">
        <f>'[19]دارایی فعلی'!$J$4</f>
        <v>0</v>
      </c>
      <c r="K27" s="38">
        <f>IF(L27&gt;0, N27-M27*Q27, 0)</f>
        <v>0</v>
      </c>
      <c r="L27" s="39">
        <f>IF(1-(M27/P27)&gt;0, 1-(M27/P27), 0)</f>
        <v>0</v>
      </c>
      <c r="M27" s="40">
        <f>'[19]دارایی فعلی'!$M$4</f>
        <v>20185</v>
      </c>
      <c r="N27" s="41">
        <f>Q27*P27</f>
        <v>423885</v>
      </c>
      <c r="O27" s="36" t="str">
        <f>IF( (P27-M27)*Q27/سرمایه!F4&gt;0, (P27-M27)*Q27/سرمایه!F4, "Risk free")</f>
        <v>Risk free</v>
      </c>
      <c r="P27" s="42">
        <f>'[19]دارایی فعلی'!$Q$4</f>
        <v>20185</v>
      </c>
      <c r="Q27" s="43">
        <f>'[19]دارایی فعلی'!$R$4</f>
        <v>21</v>
      </c>
      <c r="R27" s="75" t="s">
        <v>94</v>
      </c>
      <c r="S27" s="65" t="s">
        <v>42</v>
      </c>
    </row>
    <row r="28" spans="2:19" ht="19.2" thickBot="1" x14ac:dyDescent="0.35">
      <c r="B28" s="237"/>
      <c r="C28" s="36"/>
      <c r="D28" s="37"/>
      <c r="E28" s="35"/>
      <c r="F28" s="36"/>
      <c r="G28" s="37"/>
      <c r="H28" s="35"/>
      <c r="I28" s="36"/>
      <c r="J28" s="37"/>
      <c r="K28" s="38"/>
      <c r="L28" s="39"/>
      <c r="M28" s="40"/>
      <c r="N28" s="41"/>
      <c r="O28" s="36"/>
      <c r="P28" s="42"/>
      <c r="Q28" s="43"/>
      <c r="R28" s="75"/>
      <c r="S28" s="64"/>
    </row>
    <row r="29" spans="2:19" ht="18.600000000000001" x14ac:dyDescent="0.3">
      <c r="B29" s="249"/>
      <c r="C29" s="250"/>
      <c r="D29" s="251"/>
      <c r="E29" s="252"/>
      <c r="F29" s="250"/>
      <c r="G29" s="251"/>
      <c r="H29" s="252"/>
      <c r="I29" s="250"/>
      <c r="J29" s="251"/>
      <c r="K29" s="253"/>
      <c r="L29" s="254"/>
      <c r="M29" s="255"/>
      <c r="N29" s="256"/>
      <c r="O29" s="250"/>
      <c r="P29" s="257"/>
      <c r="Q29" s="258"/>
      <c r="R29" s="75"/>
      <c r="S29" s="66"/>
    </row>
  </sheetData>
  <mergeCells count="8">
    <mergeCell ref="K2:M2"/>
    <mergeCell ref="B2:J2"/>
    <mergeCell ref="R2:R3"/>
    <mergeCell ref="Q2:Q3"/>
    <mergeCell ref="N2:N3"/>
    <mergeCell ref="O2:O3"/>
    <mergeCell ref="P2:P3"/>
    <mergeCell ref="S2:S3"/>
  </mergeCells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"/>
  <sheetViews>
    <sheetView tabSelected="1" workbookViewId="0">
      <selection activeCell="E22" sqref="E22"/>
    </sheetView>
  </sheetViews>
  <sheetFormatPr defaultRowHeight="16.8" x14ac:dyDescent="0.3"/>
  <cols>
    <col min="1" max="1" width="4.109375" style="34" customWidth="1"/>
    <col min="2" max="2" width="7.44140625" style="34" customWidth="1"/>
    <col min="3" max="3" width="11.44140625" style="34" customWidth="1"/>
    <col min="4" max="4" width="7.44140625" style="34" customWidth="1"/>
    <col min="5" max="5" width="11.21875" style="34" customWidth="1"/>
    <col min="6" max="6" width="27.21875" style="34" bestFit="1" customWidth="1"/>
    <col min="7" max="7" width="7.5546875" style="34" customWidth="1"/>
    <col min="8" max="8" width="11.109375" style="34" customWidth="1"/>
    <col min="9" max="9" width="20" style="34" bestFit="1" customWidth="1"/>
    <col min="10" max="10" width="11.6640625" style="34" bestFit="1" customWidth="1"/>
    <col min="11" max="11" width="10.6640625" style="34" bestFit="1" customWidth="1"/>
    <col min="12" max="12" width="14.44140625" style="34" customWidth="1"/>
    <col min="13" max="13" width="17.33203125" style="34" customWidth="1"/>
    <col min="14" max="14" width="13.88671875" style="34" customWidth="1"/>
    <col min="15" max="15" width="12.109375" style="34" bestFit="1" customWidth="1"/>
    <col min="16" max="16384" width="8.88671875" style="34"/>
  </cols>
  <sheetData>
    <row r="1" spans="2:15" ht="17.399999999999999" thickBot="1" x14ac:dyDescent="0.35"/>
    <row r="2" spans="2:15" ht="14.4" customHeight="1" x14ac:dyDescent="0.3">
      <c r="B2" s="297" t="s">
        <v>149</v>
      </c>
      <c r="C2" s="298"/>
      <c r="D2" s="289" t="s">
        <v>119</v>
      </c>
      <c r="E2" s="290"/>
      <c r="F2" s="307" t="s">
        <v>148</v>
      </c>
      <c r="G2" s="281" t="s">
        <v>123</v>
      </c>
      <c r="H2" s="282"/>
      <c r="I2" s="277" t="s">
        <v>72</v>
      </c>
      <c r="J2" s="267" t="s">
        <v>144</v>
      </c>
      <c r="K2" s="268"/>
      <c r="L2" s="268"/>
      <c r="M2" s="269"/>
      <c r="N2" s="259" t="s">
        <v>120</v>
      </c>
      <c r="O2" s="260" t="s">
        <v>71</v>
      </c>
    </row>
    <row r="3" spans="2:15" ht="14.4" customHeight="1" x14ac:dyDescent="0.3">
      <c r="B3" s="299" t="s">
        <v>121</v>
      </c>
      <c r="C3" s="300" t="s">
        <v>122</v>
      </c>
      <c r="D3" s="291" t="s">
        <v>121</v>
      </c>
      <c r="E3" s="292" t="s">
        <v>122</v>
      </c>
      <c r="F3" s="308"/>
      <c r="G3" s="283" t="s">
        <v>121</v>
      </c>
      <c r="H3" s="284" t="s">
        <v>122</v>
      </c>
      <c r="I3" s="278"/>
      <c r="J3" s="270" t="s">
        <v>147</v>
      </c>
      <c r="K3" s="73" t="s">
        <v>146</v>
      </c>
      <c r="L3" s="73" t="s">
        <v>143</v>
      </c>
      <c r="M3" s="271" t="s">
        <v>145</v>
      </c>
      <c r="N3" s="261"/>
      <c r="O3" s="262"/>
    </row>
    <row r="4" spans="2:15" ht="16.8" customHeight="1" x14ac:dyDescent="0.3">
      <c r="B4" s="301">
        <f>C4/'مجموع واریز'!C26</f>
        <v>5.0972223873221381E-2</v>
      </c>
      <c r="C4" s="302">
        <f>N4-'مجموع واریز'!C26</f>
        <v>31216601</v>
      </c>
      <c r="D4" s="293">
        <f>E4/'مجموع واریز'!C26</f>
        <v>1.7199486185839687E-2</v>
      </c>
      <c r="E4" s="294">
        <f>F4-'مجموع واریز'!C26</f>
        <v>10533374</v>
      </c>
      <c r="F4" s="305">
        <f>M4+O4</f>
        <v>622957134</v>
      </c>
      <c r="G4" s="285">
        <f>(F4-I4)/F4*100</f>
        <v>9.9291634406421281</v>
      </c>
      <c r="H4" s="286">
        <f>SUM(پرتفوی!K5:K29)</f>
        <v>61854432</v>
      </c>
      <c r="I4" s="279">
        <f>O4+M4-SUM(پرتفوی!K5:K29)</f>
        <v>561102702</v>
      </c>
      <c r="J4" s="272">
        <f>K4/M4</f>
        <v>4.474363221739365E-2</v>
      </c>
      <c r="K4" s="90">
        <f>L4-M4</f>
        <v>20683227</v>
      </c>
      <c r="L4" s="90">
        <f>N4-O4</f>
        <v>482944022</v>
      </c>
      <c r="M4" s="273">
        <f>SUMPRODUCT(پرتفوی!P5:P29*پرتفوی!Q5:Q29)</f>
        <v>462260795</v>
      </c>
      <c r="N4" s="263">
        <v>643640361</v>
      </c>
      <c r="O4" s="264">
        <v>160696339</v>
      </c>
    </row>
    <row r="5" spans="2:15" ht="17.399999999999999" customHeight="1" thickBot="1" x14ac:dyDescent="0.35">
      <c r="B5" s="303"/>
      <c r="C5" s="304"/>
      <c r="D5" s="295"/>
      <c r="E5" s="296"/>
      <c r="F5" s="306"/>
      <c r="G5" s="287"/>
      <c r="H5" s="288"/>
      <c r="I5" s="280"/>
      <c r="J5" s="274"/>
      <c r="K5" s="275"/>
      <c r="L5" s="275"/>
      <c r="M5" s="276"/>
      <c r="N5" s="265"/>
      <c r="O5" s="266"/>
    </row>
  </sheetData>
  <mergeCells count="22">
    <mergeCell ref="O2:O3"/>
    <mergeCell ref="O4:O5"/>
    <mergeCell ref="I4:I5"/>
    <mergeCell ref="M4:M5"/>
    <mergeCell ref="L4:L5"/>
    <mergeCell ref="J2:M2"/>
    <mergeCell ref="J4:J5"/>
    <mergeCell ref="K4:K5"/>
    <mergeCell ref="N2:N3"/>
    <mergeCell ref="N4:N5"/>
    <mergeCell ref="D2:E2"/>
    <mergeCell ref="G2:H2"/>
    <mergeCell ref="I2:I3"/>
    <mergeCell ref="F2:F3"/>
    <mergeCell ref="F4:F5"/>
    <mergeCell ref="G4:G5"/>
    <mergeCell ref="H4:H5"/>
    <mergeCell ref="B4:B5"/>
    <mergeCell ref="C4:C5"/>
    <mergeCell ref="B2:C2"/>
    <mergeCell ref="D4:D5"/>
    <mergeCell ref="E4:E5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workbookViewId="0">
      <selection activeCell="E27" sqref="E27"/>
    </sheetView>
  </sheetViews>
  <sheetFormatPr defaultRowHeight="14.4" x14ac:dyDescent="0.3"/>
  <cols>
    <col min="1" max="1" width="8.88671875" style="27"/>
    <col min="2" max="2" width="7.44140625" style="27" bestFit="1" customWidth="1"/>
    <col min="3" max="3" width="9.6640625" style="71" bestFit="1" customWidth="1"/>
    <col min="4" max="4" width="7" style="27" bestFit="1" customWidth="1"/>
    <col min="5" max="5" width="8.88671875" style="27"/>
    <col min="6" max="7" width="10" style="27" bestFit="1" customWidth="1"/>
    <col min="8" max="16384" width="8.88671875" style="27"/>
  </cols>
  <sheetData>
    <row r="2" spans="2:4" ht="15" customHeight="1" x14ac:dyDescent="0.3">
      <c r="B2" s="91" t="s">
        <v>98</v>
      </c>
      <c r="C2" s="93" t="s">
        <v>99</v>
      </c>
      <c r="D2" s="94" t="s">
        <v>0</v>
      </c>
    </row>
    <row r="3" spans="2:4" ht="15" customHeight="1" x14ac:dyDescent="0.3">
      <c r="B3" s="92"/>
      <c r="C3" s="93"/>
      <c r="D3" s="94"/>
    </row>
    <row r="4" spans="2:4" ht="15" customHeight="1" x14ac:dyDescent="0.3">
      <c r="B4" s="68" t="s">
        <v>100</v>
      </c>
      <c r="C4" s="72">
        <v>2400000</v>
      </c>
      <c r="D4" s="69" t="s">
        <v>101</v>
      </c>
    </row>
    <row r="5" spans="2:4" ht="15" customHeight="1" x14ac:dyDescent="0.3">
      <c r="B5" s="68" t="s">
        <v>102</v>
      </c>
      <c r="C5" s="72">
        <v>-1270000</v>
      </c>
      <c r="D5" s="69" t="s">
        <v>103</v>
      </c>
    </row>
    <row r="6" spans="2:4" ht="15" customHeight="1" x14ac:dyDescent="0.3">
      <c r="B6" s="68" t="s">
        <v>100</v>
      </c>
      <c r="C6" s="72">
        <v>2820000</v>
      </c>
      <c r="D6" s="69" t="s">
        <v>104</v>
      </c>
    </row>
    <row r="7" spans="2:4" ht="15" customHeight="1" x14ac:dyDescent="0.3">
      <c r="B7" s="68" t="s">
        <v>100</v>
      </c>
      <c r="C7" s="72">
        <v>27000</v>
      </c>
      <c r="D7" s="69" t="s">
        <v>104</v>
      </c>
    </row>
    <row r="8" spans="2:4" ht="15" customHeight="1" x14ac:dyDescent="0.3">
      <c r="B8" s="68" t="s">
        <v>102</v>
      </c>
      <c r="C8" s="72">
        <v>-760000</v>
      </c>
      <c r="D8" s="69" t="s">
        <v>105</v>
      </c>
    </row>
    <row r="9" spans="2:4" ht="15" customHeight="1" x14ac:dyDescent="0.3">
      <c r="B9" s="68" t="s">
        <v>100</v>
      </c>
      <c r="C9" s="72">
        <v>30000000</v>
      </c>
      <c r="D9" s="69" t="s">
        <v>106</v>
      </c>
    </row>
    <row r="10" spans="2:4" ht="15" customHeight="1" x14ac:dyDescent="0.3">
      <c r="B10" s="68" t="s">
        <v>100</v>
      </c>
      <c r="C10" s="72">
        <v>3000000</v>
      </c>
      <c r="D10" s="69" t="s">
        <v>107</v>
      </c>
    </row>
    <row r="11" spans="2:4" ht="15" customHeight="1" x14ac:dyDescent="0.3">
      <c r="B11" s="68" t="s">
        <v>108</v>
      </c>
      <c r="C11" s="72">
        <v>2465204</v>
      </c>
      <c r="D11" s="69" t="s">
        <v>109</v>
      </c>
    </row>
    <row r="12" spans="2:4" ht="15" customHeight="1" x14ac:dyDescent="0.3">
      <c r="B12" s="68" t="s">
        <v>100</v>
      </c>
      <c r="C12" s="72">
        <v>20000000</v>
      </c>
      <c r="D12" s="69" t="s">
        <v>110</v>
      </c>
    </row>
    <row r="13" spans="2:4" ht="15" customHeight="1" x14ac:dyDescent="0.3">
      <c r="B13" s="68" t="s">
        <v>100</v>
      </c>
      <c r="C13" s="72">
        <v>4000000</v>
      </c>
      <c r="D13" s="69" t="s">
        <v>111</v>
      </c>
    </row>
    <row r="14" spans="2:4" ht="15" customHeight="1" x14ac:dyDescent="0.3">
      <c r="B14" s="68" t="s">
        <v>100</v>
      </c>
      <c r="C14" s="72">
        <v>18700000</v>
      </c>
      <c r="D14" s="69" t="s">
        <v>112</v>
      </c>
    </row>
    <row r="15" spans="2:4" ht="15" customHeight="1" x14ac:dyDescent="0.3">
      <c r="B15" s="68" t="s">
        <v>100</v>
      </c>
      <c r="C15" s="72">
        <v>323000000</v>
      </c>
      <c r="D15" s="69" t="s">
        <v>113</v>
      </c>
    </row>
    <row r="16" spans="2:4" ht="15" customHeight="1" x14ac:dyDescent="0.3">
      <c r="B16" s="68" t="s">
        <v>100</v>
      </c>
      <c r="C16" s="72">
        <v>2000000</v>
      </c>
      <c r="D16" s="69" t="s">
        <v>113</v>
      </c>
    </row>
    <row r="17" spans="2:4" ht="15" customHeight="1" x14ac:dyDescent="0.3">
      <c r="B17" s="68" t="s">
        <v>100</v>
      </c>
      <c r="C17" s="72">
        <v>33966647</v>
      </c>
      <c r="D17" s="69" t="s">
        <v>114</v>
      </c>
    </row>
    <row r="18" spans="2:4" ht="15" customHeight="1" x14ac:dyDescent="0.3">
      <c r="B18" s="68" t="s">
        <v>100</v>
      </c>
      <c r="C18" s="72">
        <v>10000000</v>
      </c>
      <c r="D18" s="69" t="s">
        <v>114</v>
      </c>
    </row>
    <row r="19" spans="2:4" ht="15" customHeight="1" x14ac:dyDescent="0.3">
      <c r="B19" s="68" t="s">
        <v>100</v>
      </c>
      <c r="C19" s="72">
        <v>48800000</v>
      </c>
      <c r="D19" s="69" t="s">
        <v>114</v>
      </c>
    </row>
    <row r="20" spans="2:4" ht="15" customHeight="1" x14ac:dyDescent="0.3">
      <c r="B20" s="68" t="s">
        <v>100</v>
      </c>
      <c r="C20" s="72">
        <v>70000000</v>
      </c>
      <c r="D20" s="69" t="s">
        <v>114</v>
      </c>
    </row>
    <row r="21" spans="2:4" ht="15" customHeight="1" x14ac:dyDescent="0.3">
      <c r="B21" s="68" t="s">
        <v>108</v>
      </c>
      <c r="C21" s="72">
        <v>3274909</v>
      </c>
      <c r="D21" s="69" t="s">
        <v>115</v>
      </c>
    </row>
    <row r="22" spans="2:4" ht="15" customHeight="1" x14ac:dyDescent="0.3">
      <c r="B22" s="68" t="s">
        <v>100</v>
      </c>
      <c r="C22" s="72">
        <v>50000000</v>
      </c>
      <c r="D22" s="69" t="s">
        <v>116</v>
      </c>
    </row>
    <row r="23" spans="2:4" ht="15" customHeight="1" x14ac:dyDescent="0.3">
      <c r="B23" s="68" t="s">
        <v>102</v>
      </c>
      <c r="C23" s="72">
        <v>-10000000</v>
      </c>
      <c r="D23" s="69" t="s">
        <v>117</v>
      </c>
    </row>
    <row r="24" spans="2:4" ht="15" customHeight="1" x14ac:dyDescent="0.3">
      <c r="B24" s="68"/>
      <c r="C24" s="72"/>
      <c r="D24" s="69"/>
    </row>
    <row r="25" spans="2:4" ht="15" customHeight="1" x14ac:dyDescent="0.3">
      <c r="B25" s="69"/>
      <c r="C25" s="72"/>
      <c r="D25" s="69"/>
    </row>
    <row r="26" spans="2:4" ht="15" customHeight="1" x14ac:dyDescent="0.3">
      <c r="C26" s="72">
        <f>SUM(C4:C25)</f>
        <v>612423760</v>
      </c>
      <c r="D26" s="70" t="s">
        <v>118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"/>
  <sheetViews>
    <sheetView zoomScale="90" zoomScaleNormal="90" workbookViewId="0">
      <selection activeCell="G16" sqref="G16"/>
    </sheetView>
  </sheetViews>
  <sheetFormatPr defaultRowHeight="14.4" x14ac:dyDescent="0.3"/>
  <cols>
    <col min="1" max="1" width="4.44140625" customWidth="1"/>
    <col min="2" max="2" width="11.44140625" bestFit="1" customWidth="1"/>
    <col min="4" max="4" width="10.33203125" bestFit="1" customWidth="1"/>
    <col min="6" max="6" width="11" bestFit="1" customWidth="1"/>
    <col min="8" max="8" width="10.44140625" bestFit="1" customWidth="1"/>
    <col min="10" max="10" width="10.5546875" bestFit="1" customWidth="1"/>
    <col min="12" max="12" width="10.33203125" bestFit="1" customWidth="1"/>
    <col min="14" max="14" width="10.88671875" bestFit="1" customWidth="1"/>
    <col min="16" max="16" width="10.88671875" bestFit="1" customWidth="1"/>
    <col min="18" max="18" width="10.109375" bestFit="1" customWidth="1"/>
    <col min="20" max="20" width="10.109375" bestFit="1" customWidth="1"/>
  </cols>
  <sheetData>
    <row r="2" spans="2:24" ht="15" thickBot="1" x14ac:dyDescent="0.35"/>
    <row r="3" spans="2:24" ht="14.4" customHeight="1" x14ac:dyDescent="0.3">
      <c r="B3" s="111">
        <v>0.05</v>
      </c>
      <c r="C3" s="112"/>
      <c r="D3" s="113">
        <v>4.4999999999999998E-2</v>
      </c>
      <c r="E3" s="114"/>
      <c r="F3" s="115">
        <v>0.04</v>
      </c>
      <c r="G3" s="116"/>
      <c r="H3" s="117">
        <v>3.5000000000000003E-2</v>
      </c>
      <c r="I3" s="118"/>
      <c r="J3" s="97">
        <v>0.03</v>
      </c>
      <c r="K3" s="98"/>
      <c r="L3" s="99">
        <v>2.5000000000000001E-2</v>
      </c>
      <c r="M3" s="100"/>
      <c r="N3" s="95">
        <v>0.02</v>
      </c>
      <c r="O3" s="96"/>
      <c r="P3" s="109">
        <v>1.4999999999999999E-2</v>
      </c>
      <c r="Q3" s="110"/>
      <c r="R3" s="107">
        <v>0.01</v>
      </c>
      <c r="S3" s="108"/>
      <c r="T3" s="105">
        <v>5.0000000000000001E-3</v>
      </c>
      <c r="U3" s="106"/>
      <c r="V3" s="101" t="s">
        <v>19</v>
      </c>
      <c r="W3" s="101" t="s">
        <v>142</v>
      </c>
      <c r="X3" s="101" t="s">
        <v>73</v>
      </c>
    </row>
    <row r="4" spans="2:24" ht="18.600000000000001" customHeight="1" x14ac:dyDescent="0.3">
      <c r="B4" s="44" t="s">
        <v>75</v>
      </c>
      <c r="C4" s="45" t="s">
        <v>74</v>
      </c>
      <c r="D4" s="46" t="s">
        <v>75</v>
      </c>
      <c r="E4" s="47" t="s">
        <v>74</v>
      </c>
      <c r="F4" s="48" t="s">
        <v>75</v>
      </c>
      <c r="G4" s="49" t="s">
        <v>74</v>
      </c>
      <c r="H4" s="50" t="s">
        <v>75</v>
      </c>
      <c r="I4" s="51" t="s">
        <v>74</v>
      </c>
      <c r="J4" s="52" t="s">
        <v>75</v>
      </c>
      <c r="K4" s="53" t="s">
        <v>74</v>
      </c>
      <c r="L4" s="54" t="s">
        <v>75</v>
      </c>
      <c r="M4" s="55" t="s">
        <v>74</v>
      </c>
      <c r="N4" s="56" t="s">
        <v>75</v>
      </c>
      <c r="O4" s="57" t="s">
        <v>74</v>
      </c>
      <c r="P4" s="58" t="s">
        <v>75</v>
      </c>
      <c r="Q4" s="59" t="s">
        <v>74</v>
      </c>
      <c r="R4" s="60" t="s">
        <v>75</v>
      </c>
      <c r="S4" s="61" t="s">
        <v>74</v>
      </c>
      <c r="T4" s="62" t="s">
        <v>75</v>
      </c>
      <c r="U4" s="63" t="s">
        <v>74</v>
      </c>
      <c r="V4" s="102"/>
      <c r="W4" s="102"/>
      <c r="X4" s="102"/>
    </row>
    <row r="5" spans="2:24" ht="14.4" customHeight="1" x14ac:dyDescent="0.3">
      <c r="B5" s="309">
        <f>C5*W5</f>
        <v>131185587.72109213</v>
      </c>
      <c r="C5" s="310">
        <f>سرمایه!I4*5/((W5-V5)*100)</f>
        <v>5614.9862591110214</v>
      </c>
      <c r="D5" s="309">
        <f>E5*W5</f>
        <v>118067028.94898292</v>
      </c>
      <c r="E5" s="310">
        <f>سرمایه!I4*4.5/((W5-V5)*100)</f>
        <v>5053.4876331999194</v>
      </c>
      <c r="F5" s="309">
        <f>G5*W5</f>
        <v>104948470.17687368</v>
      </c>
      <c r="G5" s="310">
        <f>سرمایه!I4*4/((W5-V5)*100)</f>
        <v>4491.9890072888165</v>
      </c>
      <c r="H5" s="309">
        <f>I5*W5</f>
        <v>91829911.404764488</v>
      </c>
      <c r="I5" s="310">
        <f>سرمایه!I4*3.5/((W5-V5)*100)</f>
        <v>3930.4903813777146</v>
      </c>
      <c r="J5" s="309">
        <f>K5*W5</f>
        <v>78711352.632655278</v>
      </c>
      <c r="K5" s="310">
        <f>سرمایه!I4*3/((W5-V5)*100)</f>
        <v>3368.9917554666126</v>
      </c>
      <c r="L5" s="309">
        <f>M5*W5</f>
        <v>65592793.860546067</v>
      </c>
      <c r="M5" s="310">
        <f>سرمایه!I4*2.5/((W5-V5)*100)</f>
        <v>2807.4931295555107</v>
      </c>
      <c r="N5" s="309">
        <f>O5*W5</f>
        <v>52474235.088436842</v>
      </c>
      <c r="O5" s="310">
        <f>سرمایه!I4*2/((W5-V5)*100)</f>
        <v>2245.9945036444083</v>
      </c>
      <c r="P5" s="309">
        <f>Q5*W5</f>
        <v>39355676.316327639</v>
      </c>
      <c r="Q5" s="310">
        <f>سرمایه!I4*1.5/((W5-V5)*100)</f>
        <v>1684.4958777333063</v>
      </c>
      <c r="R5" s="309">
        <f>U5*W5</f>
        <v>13118558.77210921</v>
      </c>
      <c r="S5" s="310">
        <f>سرمایه!I4*1/((W5-V5)*100)</f>
        <v>1122.9972518222041</v>
      </c>
      <c r="T5" s="309">
        <f>U5*W5</f>
        <v>13118558.77210921</v>
      </c>
      <c r="U5" s="310">
        <f>سرمایه!I4*0.5/((W5-V5)*100)</f>
        <v>561.49862591110207</v>
      </c>
      <c r="V5" s="103">
        <v>18367</v>
      </c>
      <c r="W5" s="103">
        <f>X5*1.01448</f>
        <v>23363.474400000003</v>
      </c>
      <c r="X5" s="103">
        <v>23030</v>
      </c>
    </row>
    <row r="6" spans="2:24" ht="15" customHeight="1" thickBot="1" x14ac:dyDescent="0.35">
      <c r="B6" s="311"/>
      <c r="C6" s="312"/>
      <c r="D6" s="311"/>
      <c r="E6" s="312"/>
      <c r="F6" s="311"/>
      <c r="G6" s="312"/>
      <c r="H6" s="311"/>
      <c r="I6" s="312"/>
      <c r="J6" s="311"/>
      <c r="K6" s="312"/>
      <c r="L6" s="311"/>
      <c r="M6" s="312"/>
      <c r="N6" s="311"/>
      <c r="O6" s="312"/>
      <c r="P6" s="311"/>
      <c r="Q6" s="312"/>
      <c r="R6" s="311"/>
      <c r="S6" s="312"/>
      <c r="T6" s="311"/>
      <c r="U6" s="312"/>
      <c r="V6" s="104"/>
      <c r="W6" s="104"/>
      <c r="X6" s="104"/>
    </row>
  </sheetData>
  <mergeCells count="36">
    <mergeCell ref="B3:C3"/>
    <mergeCell ref="B5:B6"/>
    <mergeCell ref="C5:C6"/>
    <mergeCell ref="M5:M6"/>
    <mergeCell ref="D3:E3"/>
    <mergeCell ref="F3:G3"/>
    <mergeCell ref="H3:I3"/>
    <mergeCell ref="D5:D6"/>
    <mergeCell ref="E5:E6"/>
    <mergeCell ref="F5:F6"/>
    <mergeCell ref="G5:G6"/>
    <mergeCell ref="H5:H6"/>
    <mergeCell ref="R5:R6"/>
    <mergeCell ref="S5:S6"/>
    <mergeCell ref="P5:P6"/>
    <mergeCell ref="Q5:Q6"/>
    <mergeCell ref="R3:S3"/>
    <mergeCell ref="P3:Q3"/>
    <mergeCell ref="X3:X4"/>
    <mergeCell ref="X5:X6"/>
    <mergeCell ref="U5:U6"/>
    <mergeCell ref="V3:V4"/>
    <mergeCell ref="T3:U3"/>
    <mergeCell ref="T5:T6"/>
    <mergeCell ref="V5:V6"/>
    <mergeCell ref="W3:W4"/>
    <mergeCell ref="W5:W6"/>
    <mergeCell ref="N3:O3"/>
    <mergeCell ref="I5:I6"/>
    <mergeCell ref="J3:K3"/>
    <mergeCell ref="K5:K6"/>
    <mergeCell ref="L5:L6"/>
    <mergeCell ref="L3:M3"/>
    <mergeCell ref="J5:J6"/>
    <mergeCell ref="N5:N6"/>
    <mergeCell ref="O5:O6"/>
  </mergeCells>
  <pageMargins left="0.7" right="0.7" top="0.75" bottom="0.75" header="0.3" footer="0.3"/>
  <pageSetup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pane ySplit="3" topLeftCell="A4" activePane="bottomLeft" state="frozen"/>
      <selection pane="bottomLeft" activeCell="I20" sqref="I20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4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171" t="s">
        <v>8</v>
      </c>
      <c r="C2" s="172"/>
      <c r="D2" s="173"/>
      <c r="E2" s="101" t="s">
        <v>7</v>
      </c>
      <c r="F2" s="171" t="s">
        <v>6</v>
      </c>
      <c r="G2" s="173"/>
      <c r="H2" s="182" t="s">
        <v>5</v>
      </c>
      <c r="I2" s="183"/>
      <c r="J2" s="148" t="s">
        <v>17</v>
      </c>
      <c r="K2" s="149"/>
      <c r="L2" s="178" t="s">
        <v>14</v>
      </c>
      <c r="M2" s="84"/>
      <c r="N2" s="123" t="s">
        <v>4</v>
      </c>
      <c r="O2" s="124"/>
      <c r="P2" s="174" t="s">
        <v>1</v>
      </c>
      <c r="Q2" s="175"/>
      <c r="R2" s="176"/>
      <c r="S2" s="123" t="s">
        <v>36</v>
      </c>
      <c r="T2" s="124"/>
      <c r="U2" s="101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102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177"/>
    </row>
    <row r="4" spans="1:21" ht="16.8" customHeight="1" x14ac:dyDescent="0.3">
      <c r="A4" s="27"/>
      <c r="B4" s="150">
        <v>1</v>
      </c>
      <c r="C4" s="129">
        <v>2</v>
      </c>
      <c r="D4" s="152">
        <v>3</v>
      </c>
      <c r="E4" s="142" t="s">
        <v>55</v>
      </c>
      <c r="F4" s="150" t="s">
        <v>56</v>
      </c>
      <c r="G4" s="152" t="s">
        <v>46</v>
      </c>
      <c r="H4" s="167"/>
      <c r="I4" s="169" t="s">
        <v>45</v>
      </c>
      <c r="J4" s="142" t="s">
        <v>57</v>
      </c>
      <c r="K4" s="144" t="s">
        <v>45</v>
      </c>
      <c r="L4" s="150">
        <v>25070</v>
      </c>
      <c r="M4" s="179" t="s">
        <v>58</v>
      </c>
      <c r="N4" s="167"/>
      <c r="O4" s="152" t="s">
        <v>59</v>
      </c>
      <c r="P4" s="150" t="s">
        <v>60</v>
      </c>
      <c r="Q4" s="129" t="s">
        <v>61</v>
      </c>
      <c r="R4" s="131" t="s">
        <v>62</v>
      </c>
      <c r="S4" s="125" t="s">
        <v>44</v>
      </c>
      <c r="T4" s="180" t="s">
        <v>43</v>
      </c>
      <c r="U4" s="146" t="s">
        <v>42</v>
      </c>
    </row>
    <row r="5" spans="1:21" ht="17.399999999999999" customHeight="1" thickBot="1" x14ac:dyDescent="0.35">
      <c r="A5" s="27"/>
      <c r="B5" s="151"/>
      <c r="C5" s="130"/>
      <c r="D5" s="153"/>
      <c r="E5" s="143"/>
      <c r="F5" s="151"/>
      <c r="G5" s="153"/>
      <c r="H5" s="168"/>
      <c r="I5" s="170"/>
      <c r="J5" s="143"/>
      <c r="K5" s="145"/>
      <c r="L5" s="151"/>
      <c r="M5" s="153"/>
      <c r="N5" s="168"/>
      <c r="O5" s="153"/>
      <c r="P5" s="151"/>
      <c r="Q5" s="130"/>
      <c r="R5" s="132"/>
      <c r="S5" s="126"/>
      <c r="T5" s="181"/>
      <c r="U5" s="160"/>
    </row>
    <row r="6" spans="1:21" ht="14.4" customHeight="1" x14ac:dyDescent="0.3">
      <c r="A6" s="27"/>
      <c r="B6" s="156">
        <v>1</v>
      </c>
      <c r="C6" s="135">
        <v>2</v>
      </c>
      <c r="D6" s="158">
        <v>3</v>
      </c>
      <c r="E6" s="161" t="s">
        <v>53</v>
      </c>
      <c r="F6" s="156" t="s">
        <v>52</v>
      </c>
      <c r="G6" s="158" t="s">
        <v>46</v>
      </c>
      <c r="H6" s="119"/>
      <c r="I6" s="139" t="s">
        <v>45</v>
      </c>
      <c r="J6" s="161" t="s">
        <v>45</v>
      </c>
      <c r="K6" s="163" t="s">
        <v>45</v>
      </c>
      <c r="L6" s="156" t="s">
        <v>63</v>
      </c>
      <c r="M6" s="158">
        <v>25070</v>
      </c>
      <c r="N6" s="119"/>
      <c r="O6" s="139" t="s">
        <v>45</v>
      </c>
      <c r="P6" s="156" t="s">
        <v>45</v>
      </c>
      <c r="Q6" s="135" t="s">
        <v>64</v>
      </c>
      <c r="R6" s="133" t="s">
        <v>65</v>
      </c>
      <c r="S6" s="127" t="s">
        <v>51</v>
      </c>
      <c r="T6" s="165" t="s">
        <v>50</v>
      </c>
      <c r="U6" s="154" t="s">
        <v>49</v>
      </c>
    </row>
    <row r="7" spans="1:21" ht="15" customHeight="1" thickBot="1" x14ac:dyDescent="0.35">
      <c r="A7" s="27"/>
      <c r="B7" s="157"/>
      <c r="C7" s="136"/>
      <c r="D7" s="159"/>
      <c r="E7" s="162"/>
      <c r="F7" s="157"/>
      <c r="G7" s="159"/>
      <c r="H7" s="120"/>
      <c r="I7" s="140"/>
      <c r="J7" s="162"/>
      <c r="K7" s="164"/>
      <c r="L7" s="157"/>
      <c r="M7" s="159"/>
      <c r="N7" s="120"/>
      <c r="O7" s="140"/>
      <c r="P7" s="157"/>
      <c r="Q7" s="136"/>
      <c r="R7" s="134"/>
      <c r="S7" s="128"/>
      <c r="T7" s="166"/>
      <c r="U7" s="155"/>
    </row>
    <row r="8" spans="1:21" ht="14.4" customHeight="1" x14ac:dyDescent="0.3">
      <c r="A8" s="27"/>
      <c r="B8" s="150"/>
      <c r="C8" s="129"/>
      <c r="D8" s="152"/>
      <c r="E8" s="142"/>
      <c r="F8" s="150"/>
      <c r="G8" s="152"/>
      <c r="H8" s="121"/>
      <c r="I8" s="137"/>
      <c r="J8" s="142"/>
      <c r="K8" s="144"/>
      <c r="L8" s="150"/>
      <c r="M8" s="152"/>
      <c r="N8" s="121"/>
      <c r="O8" s="137"/>
      <c r="P8" s="150"/>
      <c r="Q8" s="129"/>
      <c r="R8" s="131"/>
      <c r="S8" s="121"/>
      <c r="T8" s="137"/>
      <c r="U8" s="146"/>
    </row>
    <row r="9" spans="1:21" ht="15" customHeight="1" thickBot="1" x14ac:dyDescent="0.35">
      <c r="A9" s="27"/>
      <c r="B9" s="151"/>
      <c r="C9" s="130"/>
      <c r="D9" s="153"/>
      <c r="E9" s="143"/>
      <c r="F9" s="151"/>
      <c r="G9" s="153"/>
      <c r="H9" s="122"/>
      <c r="I9" s="138"/>
      <c r="J9" s="143"/>
      <c r="K9" s="145"/>
      <c r="L9" s="151"/>
      <c r="M9" s="153"/>
      <c r="N9" s="122"/>
      <c r="O9" s="138"/>
      <c r="P9" s="151"/>
      <c r="Q9" s="130"/>
      <c r="R9" s="132"/>
      <c r="S9" s="122"/>
      <c r="T9" s="138"/>
      <c r="U9" s="160"/>
    </row>
    <row r="10" spans="1:21" ht="14.4" customHeight="1" x14ac:dyDescent="0.3">
      <c r="A10" s="27"/>
      <c r="B10" s="156"/>
      <c r="C10" s="135"/>
      <c r="D10" s="158"/>
      <c r="E10" s="161"/>
      <c r="F10" s="156"/>
      <c r="G10" s="158"/>
      <c r="H10" s="119"/>
      <c r="I10" s="139"/>
      <c r="J10" s="161"/>
      <c r="K10" s="163"/>
      <c r="L10" s="156"/>
      <c r="M10" s="158"/>
      <c r="N10" s="119"/>
      <c r="O10" s="139"/>
      <c r="P10" s="156"/>
      <c r="Q10" s="135"/>
      <c r="R10" s="133"/>
      <c r="S10" s="119"/>
      <c r="T10" s="139"/>
      <c r="U10" s="154"/>
    </row>
    <row r="11" spans="1:21" ht="15" customHeight="1" thickBot="1" x14ac:dyDescent="0.35">
      <c r="A11" s="27"/>
      <c r="B11" s="157"/>
      <c r="C11" s="136"/>
      <c r="D11" s="159"/>
      <c r="E11" s="162"/>
      <c r="F11" s="157"/>
      <c r="G11" s="159"/>
      <c r="H11" s="120"/>
      <c r="I11" s="140"/>
      <c r="J11" s="162"/>
      <c r="K11" s="164"/>
      <c r="L11" s="157"/>
      <c r="M11" s="159"/>
      <c r="N11" s="120"/>
      <c r="O11" s="140"/>
      <c r="P11" s="157"/>
      <c r="Q11" s="136"/>
      <c r="R11" s="134"/>
      <c r="S11" s="120"/>
      <c r="T11" s="140"/>
      <c r="U11" s="155"/>
    </row>
    <row r="12" spans="1:21" ht="14.4" customHeight="1" x14ac:dyDescent="0.3">
      <c r="A12" s="27"/>
      <c r="B12" s="150"/>
      <c r="C12" s="129"/>
      <c r="D12" s="152"/>
      <c r="E12" s="142"/>
      <c r="F12" s="150"/>
      <c r="G12" s="152"/>
      <c r="H12" s="121"/>
      <c r="I12" s="137"/>
      <c r="J12" s="142"/>
      <c r="K12" s="144"/>
      <c r="L12" s="150"/>
      <c r="M12" s="152"/>
      <c r="N12" s="121"/>
      <c r="O12" s="137"/>
      <c r="P12" s="150"/>
      <c r="Q12" s="129"/>
      <c r="R12" s="131"/>
      <c r="S12" s="121"/>
      <c r="T12" s="137"/>
      <c r="U12" s="146"/>
    </row>
    <row r="13" spans="1:21" ht="15" customHeight="1" thickBot="1" x14ac:dyDescent="0.35">
      <c r="A13" s="27"/>
      <c r="B13" s="151"/>
      <c r="C13" s="130"/>
      <c r="D13" s="153"/>
      <c r="E13" s="143"/>
      <c r="F13" s="151"/>
      <c r="G13" s="153"/>
      <c r="H13" s="122"/>
      <c r="I13" s="138"/>
      <c r="J13" s="143"/>
      <c r="K13" s="145"/>
      <c r="L13" s="151"/>
      <c r="M13" s="153"/>
      <c r="N13" s="122"/>
      <c r="O13" s="138"/>
      <c r="P13" s="151"/>
      <c r="Q13" s="130"/>
      <c r="R13" s="132"/>
      <c r="S13" s="122"/>
      <c r="T13" s="138"/>
      <c r="U13" s="160"/>
    </row>
    <row r="14" spans="1:21" ht="14.4" customHeight="1" x14ac:dyDescent="0.3">
      <c r="A14" s="27"/>
      <c r="B14" s="156"/>
      <c r="C14" s="135"/>
      <c r="D14" s="158"/>
      <c r="E14" s="161"/>
      <c r="F14" s="156"/>
      <c r="G14" s="158"/>
      <c r="H14" s="119"/>
      <c r="I14" s="139"/>
      <c r="J14" s="161"/>
      <c r="K14" s="163"/>
      <c r="L14" s="156"/>
      <c r="M14" s="158"/>
      <c r="N14" s="119"/>
      <c r="O14" s="139"/>
      <c r="P14" s="156"/>
      <c r="Q14" s="135"/>
      <c r="R14" s="133"/>
      <c r="S14" s="119"/>
      <c r="T14" s="139"/>
      <c r="U14" s="154"/>
    </row>
    <row r="15" spans="1:21" ht="15" customHeight="1" thickBot="1" x14ac:dyDescent="0.35">
      <c r="A15" s="27"/>
      <c r="B15" s="157"/>
      <c r="C15" s="136"/>
      <c r="D15" s="159"/>
      <c r="E15" s="162"/>
      <c r="F15" s="157"/>
      <c r="G15" s="159"/>
      <c r="H15" s="120"/>
      <c r="I15" s="140"/>
      <c r="J15" s="162"/>
      <c r="K15" s="164"/>
      <c r="L15" s="157"/>
      <c r="M15" s="159"/>
      <c r="N15" s="120"/>
      <c r="O15" s="140"/>
      <c r="P15" s="157"/>
      <c r="Q15" s="136"/>
      <c r="R15" s="134"/>
      <c r="S15" s="120"/>
      <c r="T15" s="140"/>
      <c r="U15" s="155"/>
    </row>
    <row r="16" spans="1:21" ht="14.4" customHeight="1" x14ac:dyDescent="0.3">
      <c r="A16" s="27"/>
      <c r="B16" s="150"/>
      <c r="C16" s="129"/>
      <c r="D16" s="152"/>
      <c r="E16" s="142"/>
      <c r="F16" s="150"/>
      <c r="G16" s="152"/>
      <c r="H16" s="121"/>
      <c r="I16" s="137"/>
      <c r="J16" s="142"/>
      <c r="K16" s="144"/>
      <c r="L16" s="150"/>
      <c r="M16" s="152"/>
      <c r="N16" s="121"/>
      <c r="O16" s="137"/>
      <c r="P16" s="150"/>
      <c r="Q16" s="129"/>
      <c r="R16" s="131"/>
      <c r="S16" s="121"/>
      <c r="T16" s="137"/>
      <c r="U16" s="146"/>
    </row>
    <row r="17" spans="1:21" ht="15" customHeight="1" thickBot="1" x14ac:dyDescent="0.35">
      <c r="A17" s="27"/>
      <c r="B17" s="151"/>
      <c r="C17" s="130"/>
      <c r="D17" s="153"/>
      <c r="E17" s="143"/>
      <c r="F17" s="151"/>
      <c r="G17" s="153"/>
      <c r="H17" s="122"/>
      <c r="I17" s="141"/>
      <c r="J17" s="143"/>
      <c r="K17" s="145"/>
      <c r="L17" s="151"/>
      <c r="M17" s="153"/>
      <c r="N17" s="122"/>
      <c r="O17" s="141"/>
      <c r="P17" s="151"/>
      <c r="Q17" s="130"/>
      <c r="R17" s="132"/>
      <c r="S17" s="122"/>
      <c r="T17" s="141"/>
      <c r="U17" s="147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</mergeCells>
  <hyperlinks>
    <hyperlink ref="T4:T5" r:id="rId1" display="tot_990106.png"/>
    <hyperlink ref="S4:S5" r:id="rId2" display="sig_990106.png"/>
    <hyperlink ref="T6:T7" r:id="rId3" display="tot_990112.png"/>
    <hyperlink ref="S6:S7" r:id="rId4" display="tech_990112.png"/>
  </hyperlinks>
  <pageMargins left="0.7" right="0.7" top="0.75" bottom="0.75" header="0.3" footer="0.3"/>
  <pageSetup orientation="portrait" horizontalDpi="300" verticalDpi="0" copies="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L4" sqref="L4:L5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332031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174" t="s">
        <v>18</v>
      </c>
      <c r="C2" s="175"/>
      <c r="D2" s="175"/>
      <c r="E2" s="175"/>
      <c r="F2" s="175"/>
      <c r="G2" s="175"/>
      <c r="H2" s="175"/>
      <c r="I2" s="175"/>
      <c r="J2" s="176"/>
      <c r="K2" s="171" t="s">
        <v>19</v>
      </c>
      <c r="L2" s="173"/>
      <c r="M2" s="189" t="s">
        <v>20</v>
      </c>
      <c r="N2" s="190" t="s">
        <v>21</v>
      </c>
      <c r="O2" s="191" t="s">
        <v>31</v>
      </c>
      <c r="P2" s="190" t="s">
        <v>32</v>
      </c>
      <c r="Q2" s="184" t="s">
        <v>23</v>
      </c>
      <c r="R2" s="123" t="s">
        <v>40</v>
      </c>
      <c r="S2" s="124"/>
      <c r="T2" s="185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189"/>
      <c r="N3" s="190"/>
      <c r="O3" s="191"/>
      <c r="P3" s="190"/>
      <c r="Q3" s="184"/>
      <c r="R3" s="24" t="s">
        <v>36</v>
      </c>
      <c r="S3" s="25" t="s">
        <v>41</v>
      </c>
      <c r="T3" s="185"/>
    </row>
    <row r="4" spans="2:20" ht="15" customHeight="1" thickBot="1" x14ac:dyDescent="0.35">
      <c r="B4" s="186">
        <f>IF(K4&gt;0, C4/K4,"RF")</f>
        <v>-9.9261059795819158</v>
      </c>
      <c r="C4" s="187">
        <f>(D4/P4)-1</f>
        <v>-1</v>
      </c>
      <c r="D4" s="188">
        <v>0</v>
      </c>
      <c r="E4" s="186">
        <f>IF(K4&gt;0, F4/K4,"RF")</f>
        <v>4.124939231891104</v>
      </c>
      <c r="F4" s="187">
        <f>(G4/P4)-1</f>
        <v>0.41556469781565286</v>
      </c>
      <c r="G4" s="188">
        <v>28903</v>
      </c>
      <c r="H4" s="186">
        <f>IF(K4&gt;0, I4/K4,"RF")</f>
        <v>3.068546426835197</v>
      </c>
      <c r="I4" s="187">
        <f>(J4/P4)-1</f>
        <v>0.30913899500440789</v>
      </c>
      <c r="J4" s="188">
        <v>26730</v>
      </c>
      <c r="K4" s="195">
        <f>IF(1-(L4/P4)&gt;0, 1-(L4/P4), 0)</f>
        <v>0.10074444117935155</v>
      </c>
      <c r="L4" s="196">
        <v>18361</v>
      </c>
      <c r="M4" s="197">
        <f>P4*Q4</f>
        <v>69543708</v>
      </c>
      <c r="N4" s="187">
        <f>IF( (P4-L4)*Q4/O4&gt;0, (P4-L4)*Q4/O4, "Risk free")</f>
        <v>1.1120860317460318E-2</v>
      </c>
      <c r="O4" s="193">
        <v>630000000</v>
      </c>
      <c r="P4" s="193">
        <v>20418</v>
      </c>
      <c r="Q4" s="194">
        <v>3406</v>
      </c>
      <c r="R4" s="125" t="s">
        <v>44</v>
      </c>
      <c r="S4" s="169" t="s">
        <v>47</v>
      </c>
      <c r="T4" s="192" t="s">
        <v>42</v>
      </c>
    </row>
    <row r="5" spans="2:20" ht="15" customHeight="1" thickBot="1" x14ac:dyDescent="0.35">
      <c r="B5" s="186"/>
      <c r="C5" s="187"/>
      <c r="D5" s="188"/>
      <c r="E5" s="186"/>
      <c r="F5" s="187"/>
      <c r="G5" s="188"/>
      <c r="H5" s="186"/>
      <c r="I5" s="187"/>
      <c r="J5" s="188"/>
      <c r="K5" s="195"/>
      <c r="L5" s="196"/>
      <c r="M5" s="197"/>
      <c r="N5" s="187"/>
      <c r="O5" s="193"/>
      <c r="P5" s="193"/>
      <c r="Q5" s="194"/>
      <c r="R5" s="126"/>
      <c r="S5" s="170"/>
      <c r="T5" s="192"/>
    </row>
    <row r="6" spans="2:20" ht="15" customHeight="1" thickBot="1" x14ac:dyDescent="0.35">
      <c r="B6" s="186"/>
      <c r="C6" s="187"/>
      <c r="D6" s="188"/>
      <c r="E6" s="186"/>
      <c r="F6" s="187"/>
      <c r="G6" s="188"/>
      <c r="H6" s="186"/>
      <c r="I6" s="187"/>
      <c r="J6" s="188"/>
      <c r="K6" s="195"/>
      <c r="L6" s="196"/>
      <c r="M6" s="197"/>
      <c r="N6" s="187"/>
      <c r="O6" s="193"/>
      <c r="P6" s="193"/>
      <c r="Q6" s="194"/>
      <c r="R6" s="198"/>
      <c r="S6" s="169"/>
      <c r="T6" s="192"/>
    </row>
    <row r="7" spans="2:20" ht="15" customHeight="1" thickBot="1" x14ac:dyDescent="0.35">
      <c r="B7" s="186"/>
      <c r="C7" s="187"/>
      <c r="D7" s="188"/>
      <c r="E7" s="186"/>
      <c r="F7" s="187"/>
      <c r="G7" s="188"/>
      <c r="H7" s="186"/>
      <c r="I7" s="187"/>
      <c r="J7" s="188"/>
      <c r="K7" s="195"/>
      <c r="L7" s="196"/>
      <c r="M7" s="197"/>
      <c r="N7" s="187"/>
      <c r="O7" s="193"/>
      <c r="P7" s="193"/>
      <c r="Q7" s="194"/>
      <c r="R7" s="199"/>
      <c r="S7" s="170"/>
      <c r="T7" s="192"/>
    </row>
    <row r="8" spans="2:20" ht="15" customHeight="1" x14ac:dyDescent="0.3">
      <c r="B8" s="200"/>
      <c r="C8" s="202"/>
      <c r="D8" s="204"/>
      <c r="E8" s="200"/>
      <c r="F8" s="202"/>
      <c r="G8" s="204"/>
      <c r="H8" s="200"/>
      <c r="I8" s="202"/>
      <c r="J8" s="204"/>
      <c r="K8" s="200"/>
      <c r="L8" s="204"/>
      <c r="M8" s="200"/>
      <c r="N8" s="202"/>
      <c r="O8" s="202"/>
      <c r="P8" s="202"/>
      <c r="Q8" s="204"/>
      <c r="R8" s="214"/>
      <c r="S8" s="137"/>
      <c r="T8" s="206"/>
    </row>
    <row r="9" spans="2:20" ht="15" customHeight="1" thickBot="1" x14ac:dyDescent="0.35">
      <c r="B9" s="201"/>
      <c r="C9" s="203"/>
      <c r="D9" s="205"/>
      <c r="E9" s="201"/>
      <c r="F9" s="203"/>
      <c r="G9" s="205"/>
      <c r="H9" s="201"/>
      <c r="I9" s="203"/>
      <c r="J9" s="205"/>
      <c r="K9" s="201"/>
      <c r="L9" s="205"/>
      <c r="M9" s="201"/>
      <c r="N9" s="203"/>
      <c r="O9" s="203"/>
      <c r="P9" s="203"/>
      <c r="Q9" s="205"/>
      <c r="R9" s="215"/>
      <c r="S9" s="138"/>
      <c r="T9" s="207"/>
    </row>
    <row r="10" spans="2:20" ht="15" customHeight="1" x14ac:dyDescent="0.3">
      <c r="B10" s="208"/>
      <c r="C10" s="210"/>
      <c r="D10" s="212"/>
      <c r="E10" s="208"/>
      <c r="F10" s="210"/>
      <c r="G10" s="212"/>
      <c r="H10" s="208"/>
      <c r="I10" s="210"/>
      <c r="J10" s="212"/>
      <c r="K10" s="208"/>
      <c r="L10" s="212"/>
      <c r="M10" s="208"/>
      <c r="N10" s="210"/>
      <c r="O10" s="210"/>
      <c r="P10" s="210"/>
      <c r="Q10" s="212"/>
      <c r="R10" s="218"/>
      <c r="S10" s="220"/>
      <c r="T10" s="216"/>
    </row>
    <row r="11" spans="2:20" ht="15" customHeight="1" thickBot="1" x14ac:dyDescent="0.35">
      <c r="B11" s="209"/>
      <c r="C11" s="211"/>
      <c r="D11" s="213"/>
      <c r="E11" s="209"/>
      <c r="F11" s="211"/>
      <c r="G11" s="213"/>
      <c r="H11" s="209"/>
      <c r="I11" s="211"/>
      <c r="J11" s="213"/>
      <c r="K11" s="209"/>
      <c r="L11" s="213"/>
      <c r="M11" s="209"/>
      <c r="N11" s="211"/>
      <c r="O11" s="211"/>
      <c r="P11" s="211"/>
      <c r="Q11" s="213"/>
      <c r="R11" s="219"/>
      <c r="S11" s="221"/>
      <c r="T11" s="217"/>
    </row>
    <row r="12" spans="2:20" ht="15" customHeight="1" x14ac:dyDescent="0.3">
      <c r="B12" s="200"/>
      <c r="C12" s="202"/>
      <c r="D12" s="204"/>
      <c r="E12" s="200"/>
      <c r="F12" s="202"/>
      <c r="G12" s="204"/>
      <c r="H12" s="200"/>
      <c r="I12" s="202"/>
      <c r="J12" s="204"/>
      <c r="K12" s="200"/>
      <c r="L12" s="204"/>
      <c r="M12" s="200"/>
      <c r="N12" s="202"/>
      <c r="O12" s="202"/>
      <c r="P12" s="202"/>
      <c r="Q12" s="204"/>
      <c r="R12" s="214"/>
      <c r="S12" s="222"/>
      <c r="T12" s="206"/>
    </row>
    <row r="13" spans="2:20" ht="15" customHeight="1" thickBot="1" x14ac:dyDescent="0.35">
      <c r="B13" s="201"/>
      <c r="C13" s="203"/>
      <c r="D13" s="205"/>
      <c r="E13" s="201"/>
      <c r="F13" s="203"/>
      <c r="G13" s="205"/>
      <c r="H13" s="201"/>
      <c r="I13" s="203"/>
      <c r="J13" s="205"/>
      <c r="K13" s="201"/>
      <c r="L13" s="205"/>
      <c r="M13" s="201"/>
      <c r="N13" s="203"/>
      <c r="O13" s="203"/>
      <c r="P13" s="203"/>
      <c r="Q13" s="205"/>
      <c r="R13" s="215"/>
      <c r="S13" s="223"/>
      <c r="T13" s="207"/>
    </row>
    <row r="14" spans="2:20" ht="15" customHeight="1" x14ac:dyDescent="0.3">
      <c r="B14" s="208"/>
      <c r="C14" s="210"/>
      <c r="D14" s="212"/>
      <c r="E14" s="208"/>
      <c r="F14" s="210"/>
      <c r="G14" s="212"/>
      <c r="H14" s="208"/>
      <c r="I14" s="210"/>
      <c r="J14" s="212"/>
      <c r="K14" s="208"/>
      <c r="L14" s="212"/>
      <c r="M14" s="208"/>
      <c r="N14" s="210"/>
      <c r="O14" s="210"/>
      <c r="P14" s="210"/>
      <c r="Q14" s="212"/>
      <c r="R14" s="218"/>
      <c r="S14" s="220"/>
      <c r="T14" s="216"/>
    </row>
    <row r="15" spans="2:20" ht="15" customHeight="1" thickBot="1" x14ac:dyDescent="0.35">
      <c r="B15" s="209"/>
      <c r="C15" s="211"/>
      <c r="D15" s="213"/>
      <c r="E15" s="209"/>
      <c r="F15" s="211"/>
      <c r="G15" s="213"/>
      <c r="H15" s="209"/>
      <c r="I15" s="211"/>
      <c r="J15" s="213"/>
      <c r="K15" s="209"/>
      <c r="L15" s="213"/>
      <c r="M15" s="209"/>
      <c r="N15" s="211"/>
      <c r="O15" s="211"/>
      <c r="P15" s="211"/>
      <c r="Q15" s="213"/>
      <c r="R15" s="219"/>
      <c r="S15" s="221"/>
      <c r="T15" s="217"/>
    </row>
    <row r="16" spans="2:20" ht="15" customHeight="1" x14ac:dyDescent="0.3">
      <c r="B16" s="200"/>
      <c r="C16" s="202"/>
      <c r="D16" s="204"/>
      <c r="E16" s="200"/>
      <c r="F16" s="202"/>
      <c r="G16" s="204"/>
      <c r="H16" s="200"/>
      <c r="I16" s="202"/>
      <c r="J16" s="204"/>
      <c r="K16" s="200"/>
      <c r="L16" s="204"/>
      <c r="M16" s="200"/>
      <c r="N16" s="202"/>
      <c r="O16" s="202"/>
      <c r="P16" s="202"/>
      <c r="Q16" s="204"/>
      <c r="R16" s="214"/>
      <c r="S16" s="222"/>
      <c r="T16" s="206"/>
    </row>
    <row r="17" spans="2:20" ht="15" customHeight="1" thickBot="1" x14ac:dyDescent="0.35">
      <c r="B17" s="201"/>
      <c r="C17" s="203"/>
      <c r="D17" s="205"/>
      <c r="E17" s="201"/>
      <c r="F17" s="203"/>
      <c r="G17" s="205"/>
      <c r="H17" s="201"/>
      <c r="I17" s="203"/>
      <c r="J17" s="205"/>
      <c r="K17" s="201"/>
      <c r="L17" s="205"/>
      <c r="M17" s="201"/>
      <c r="N17" s="203"/>
      <c r="O17" s="203"/>
      <c r="P17" s="203"/>
      <c r="Q17" s="205"/>
      <c r="R17" s="215"/>
      <c r="S17" s="223"/>
      <c r="T17" s="207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6.p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H4" sqref="H4:H5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235" t="s">
        <v>33</v>
      </c>
      <c r="C2" s="185" t="s">
        <v>34</v>
      </c>
      <c r="D2" s="235" t="s">
        <v>20</v>
      </c>
      <c r="E2" s="185" t="s">
        <v>35</v>
      </c>
      <c r="F2" s="82" t="s">
        <v>22</v>
      </c>
      <c r="G2" s="185" t="s">
        <v>23</v>
      </c>
      <c r="H2" s="76" t="s">
        <v>54</v>
      </c>
      <c r="I2" s="78"/>
      <c r="J2" s="185" t="s">
        <v>0</v>
      </c>
    </row>
    <row r="3" spans="2:10" ht="15" customHeight="1" thickBot="1" x14ac:dyDescent="0.35">
      <c r="B3" s="235"/>
      <c r="C3" s="185"/>
      <c r="D3" s="235"/>
      <c r="E3" s="185"/>
      <c r="F3" s="83"/>
      <c r="G3" s="189"/>
      <c r="H3" s="29" t="s">
        <v>39</v>
      </c>
      <c r="I3" s="30" t="s">
        <v>41</v>
      </c>
      <c r="J3" s="185"/>
    </row>
    <row r="4" spans="2:10" ht="17.399999999999999" customHeight="1" thickBot="1" x14ac:dyDescent="0.35">
      <c r="B4" s="232">
        <f>D4-(F4*G4)</f>
        <v>4378033</v>
      </c>
      <c r="C4" s="236">
        <f>E4/F4-1</f>
        <v>0.28176119110588704</v>
      </c>
      <c r="D4" s="232">
        <f>E4*G4</f>
        <v>19916131</v>
      </c>
      <c r="E4" s="232">
        <v>26171</v>
      </c>
      <c r="F4" s="225">
        <v>20418</v>
      </c>
      <c r="G4" s="224">
        <v>761</v>
      </c>
      <c r="H4" s="230" t="s">
        <v>51</v>
      </c>
      <c r="I4" s="229" t="s">
        <v>66</v>
      </c>
      <c r="J4" s="224" t="s">
        <v>48</v>
      </c>
    </row>
    <row r="5" spans="2:10" ht="15" customHeight="1" thickBot="1" x14ac:dyDescent="0.35">
      <c r="B5" s="232"/>
      <c r="C5" s="236"/>
      <c r="D5" s="232"/>
      <c r="E5" s="232"/>
      <c r="F5" s="226"/>
      <c r="G5" s="224"/>
      <c r="H5" s="231"/>
      <c r="I5" s="229"/>
      <c r="J5" s="224"/>
    </row>
    <row r="6" spans="2:10" ht="15" customHeight="1" thickBot="1" x14ac:dyDescent="0.35">
      <c r="B6" s="232"/>
      <c r="C6" s="236"/>
      <c r="D6" s="232"/>
      <c r="E6" s="232"/>
      <c r="F6" s="225"/>
      <c r="G6" s="224"/>
      <c r="H6" s="230"/>
      <c r="I6" s="229"/>
      <c r="J6" s="224"/>
    </row>
    <row r="7" spans="2:10" ht="15" customHeight="1" thickBot="1" x14ac:dyDescent="0.35">
      <c r="B7" s="232"/>
      <c r="C7" s="236"/>
      <c r="D7" s="232"/>
      <c r="E7" s="232"/>
      <c r="F7" s="226"/>
      <c r="G7" s="224"/>
      <c r="H7" s="231"/>
      <c r="I7" s="229"/>
      <c r="J7" s="224"/>
    </row>
    <row r="8" spans="2:10" ht="15" thickBot="1" x14ac:dyDescent="0.35">
      <c r="B8" s="224"/>
      <c r="C8" s="224"/>
      <c r="D8" s="224"/>
      <c r="E8" s="224"/>
      <c r="F8" s="227"/>
      <c r="G8" s="224"/>
      <c r="H8" s="233"/>
      <c r="I8" s="229"/>
      <c r="J8" s="224"/>
    </row>
    <row r="9" spans="2:10" ht="15" thickBot="1" x14ac:dyDescent="0.35">
      <c r="B9" s="224"/>
      <c r="C9" s="224"/>
      <c r="D9" s="224"/>
      <c r="E9" s="224"/>
      <c r="F9" s="228"/>
      <c r="G9" s="224"/>
      <c r="H9" s="234"/>
      <c r="I9" s="229"/>
      <c r="J9" s="224"/>
    </row>
    <row r="10" spans="2:10" ht="15" thickBot="1" x14ac:dyDescent="0.35">
      <c r="B10" s="224"/>
      <c r="C10" s="224"/>
      <c r="D10" s="224"/>
      <c r="E10" s="224"/>
      <c r="F10" s="227"/>
      <c r="G10" s="224"/>
      <c r="H10" s="233"/>
      <c r="I10" s="229"/>
      <c r="J10" s="224"/>
    </row>
    <row r="11" spans="2:10" ht="15" thickBot="1" x14ac:dyDescent="0.35">
      <c r="B11" s="224"/>
      <c r="C11" s="224"/>
      <c r="D11" s="224"/>
      <c r="E11" s="224"/>
      <c r="F11" s="228"/>
      <c r="G11" s="224"/>
      <c r="H11" s="234"/>
      <c r="I11" s="229"/>
      <c r="J11" s="224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پرتفوی</vt:lpstr>
      <vt:lpstr>سرمایه</vt:lpstr>
      <vt:lpstr>مجموع واریز</vt:lpstr>
      <vt:lpstr>مدیریت سرمایه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2020-04-02T14:08:06Z</dcterms:modified>
</cp:coreProperties>
</file>