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tabRatio="715"/>
  </bookViews>
  <sheets>
    <sheet name="مدیریت سرمایه" sheetId="7" r:id="rId1"/>
    <sheet name="محاسبه مدیریت سرمایه" sheetId="8" r:id="rId2"/>
    <sheet name="پرتفوی" sheetId="3" r:id="rId3"/>
    <sheet name="تحلیل" sheetId="2" r:id="rId4"/>
    <sheet name="تاریخچه خرید" sheetId="6" r:id="rId5"/>
    <sheet name="تاریخچه فروش" sheetId="4" r:id="rId6"/>
  </sheets>
  <calcPr calcId="152511"/>
</workbook>
</file>

<file path=xl/calcChain.xml><?xml version="1.0" encoding="utf-8"?>
<calcChain xmlns="http://schemas.openxmlformats.org/spreadsheetml/2006/main">
  <c r="C5" i="8" l="1"/>
  <c r="B5" i="8" s="1"/>
  <c r="E5" i="8"/>
  <c r="D5" i="8" s="1"/>
  <c r="G5" i="8"/>
  <c r="F5" i="8" s="1"/>
  <c r="I5" i="8"/>
  <c r="H5" i="8" s="1"/>
  <c r="K5" i="8"/>
  <c r="J5" i="8" s="1"/>
  <c r="M5" i="8"/>
  <c r="L5" i="8" s="1"/>
  <c r="O5" i="8"/>
  <c r="N5" i="8" s="1"/>
  <c r="Q5" i="8"/>
  <c r="P5" i="8" s="1"/>
  <c r="S5" i="8"/>
  <c r="U5" i="8"/>
  <c r="R5" i="8" s="1"/>
  <c r="F5" i="7"/>
  <c r="E5" i="7" s="1"/>
  <c r="C27" i="3"/>
  <c r="F27" i="3"/>
  <c r="I27" i="3"/>
  <c r="L27" i="3"/>
  <c r="B27" i="3" s="1"/>
  <c r="N27" i="3"/>
  <c r="C28" i="3"/>
  <c r="F28" i="3"/>
  <c r="I28" i="3"/>
  <c r="L28" i="3"/>
  <c r="E28" i="3" s="1"/>
  <c r="N28" i="3"/>
  <c r="C25" i="3"/>
  <c r="F25" i="3"/>
  <c r="I25" i="3"/>
  <c r="L25" i="3"/>
  <c r="B25" i="3" s="1"/>
  <c r="N25" i="3"/>
  <c r="C26" i="3"/>
  <c r="F26" i="3"/>
  <c r="I26" i="3"/>
  <c r="L26" i="3"/>
  <c r="E26" i="3" s="1"/>
  <c r="N26" i="3"/>
  <c r="C6" i="3"/>
  <c r="F6" i="3"/>
  <c r="I6" i="3"/>
  <c r="L6" i="3"/>
  <c r="B6" i="3" s="1"/>
  <c r="N6" i="3"/>
  <c r="C7" i="3"/>
  <c r="F7" i="3"/>
  <c r="I7" i="3"/>
  <c r="L7" i="3"/>
  <c r="E7" i="3" s="1"/>
  <c r="N7" i="3"/>
  <c r="C8" i="3"/>
  <c r="F8" i="3"/>
  <c r="I8" i="3"/>
  <c r="L8" i="3"/>
  <c r="B8" i="3" s="1"/>
  <c r="N8" i="3"/>
  <c r="C9" i="3"/>
  <c r="F9" i="3"/>
  <c r="I9" i="3"/>
  <c r="L9" i="3"/>
  <c r="E9" i="3" s="1"/>
  <c r="N9" i="3"/>
  <c r="C10" i="3"/>
  <c r="F10" i="3"/>
  <c r="I10" i="3"/>
  <c r="L10" i="3"/>
  <c r="B10" i="3" s="1"/>
  <c r="N10" i="3"/>
  <c r="C11" i="3"/>
  <c r="F11" i="3"/>
  <c r="I11" i="3"/>
  <c r="L11" i="3"/>
  <c r="E11" i="3" s="1"/>
  <c r="N11" i="3"/>
  <c r="C12" i="3"/>
  <c r="F12" i="3"/>
  <c r="I12" i="3"/>
  <c r="L12" i="3"/>
  <c r="B12" i="3" s="1"/>
  <c r="N12" i="3"/>
  <c r="C13" i="3"/>
  <c r="F13" i="3"/>
  <c r="I13" i="3"/>
  <c r="L13" i="3"/>
  <c r="E13" i="3" s="1"/>
  <c r="N13" i="3"/>
  <c r="C14" i="3"/>
  <c r="F14" i="3"/>
  <c r="I14" i="3"/>
  <c r="L14" i="3"/>
  <c r="B14" i="3" s="1"/>
  <c r="N14" i="3"/>
  <c r="C15" i="3"/>
  <c r="F15" i="3"/>
  <c r="I15" i="3"/>
  <c r="L15" i="3"/>
  <c r="E15" i="3" s="1"/>
  <c r="N15" i="3"/>
  <c r="C16" i="3"/>
  <c r="F16" i="3"/>
  <c r="I16" i="3"/>
  <c r="L16" i="3"/>
  <c r="B16" i="3" s="1"/>
  <c r="N16" i="3"/>
  <c r="C17" i="3"/>
  <c r="F17" i="3"/>
  <c r="I17" i="3"/>
  <c r="L17" i="3"/>
  <c r="E17" i="3" s="1"/>
  <c r="N17" i="3"/>
  <c r="C18" i="3"/>
  <c r="F18" i="3"/>
  <c r="I18" i="3"/>
  <c r="L18" i="3"/>
  <c r="B18" i="3" s="1"/>
  <c r="N18" i="3"/>
  <c r="C19" i="3"/>
  <c r="F19" i="3"/>
  <c r="I19" i="3"/>
  <c r="L19" i="3"/>
  <c r="E19" i="3" s="1"/>
  <c r="N19" i="3"/>
  <c r="C20" i="3"/>
  <c r="F20" i="3"/>
  <c r="I20" i="3"/>
  <c r="L20" i="3"/>
  <c r="B20" i="3" s="1"/>
  <c r="N20" i="3"/>
  <c r="C21" i="3"/>
  <c r="F21" i="3"/>
  <c r="I21" i="3"/>
  <c r="L21" i="3"/>
  <c r="E21" i="3" s="1"/>
  <c r="N21" i="3"/>
  <c r="C22" i="3"/>
  <c r="F22" i="3"/>
  <c r="I22" i="3"/>
  <c r="L22" i="3"/>
  <c r="B22" i="3" s="1"/>
  <c r="N22" i="3"/>
  <c r="C23" i="3"/>
  <c r="F23" i="3"/>
  <c r="I23" i="3"/>
  <c r="L23" i="3"/>
  <c r="E23" i="3" s="1"/>
  <c r="N23" i="3"/>
  <c r="C24" i="3"/>
  <c r="F24" i="3"/>
  <c r="I24" i="3"/>
  <c r="L24" i="3"/>
  <c r="B24" i="3" s="1"/>
  <c r="N24" i="3"/>
  <c r="C5" i="3"/>
  <c r="F5" i="3"/>
  <c r="I5" i="3"/>
  <c r="L5" i="3"/>
  <c r="B5" i="3" s="1"/>
  <c r="N5" i="3"/>
  <c r="T5" i="8" l="1"/>
  <c r="H28" i="3"/>
  <c r="B28" i="3"/>
  <c r="K27" i="3"/>
  <c r="E27" i="3"/>
  <c r="K28" i="3"/>
  <c r="H27" i="3"/>
  <c r="H26" i="3"/>
  <c r="B26" i="3"/>
  <c r="K25" i="3"/>
  <c r="E25" i="3"/>
  <c r="K26" i="3"/>
  <c r="H25" i="3"/>
  <c r="K24" i="3"/>
  <c r="E24" i="3"/>
  <c r="H23" i="3"/>
  <c r="B23" i="3"/>
  <c r="K22" i="3"/>
  <c r="E22" i="3"/>
  <c r="H21" i="3"/>
  <c r="B21" i="3"/>
  <c r="K20" i="3"/>
  <c r="E20" i="3"/>
  <c r="H19" i="3"/>
  <c r="B19" i="3"/>
  <c r="K18" i="3"/>
  <c r="E18" i="3"/>
  <c r="H17" i="3"/>
  <c r="B17" i="3"/>
  <c r="K16" i="3"/>
  <c r="E16" i="3"/>
  <c r="H15" i="3"/>
  <c r="B15" i="3"/>
  <c r="K14" i="3"/>
  <c r="E14" i="3"/>
  <c r="H13" i="3"/>
  <c r="B13" i="3"/>
  <c r="K12" i="3"/>
  <c r="E12" i="3"/>
  <c r="H11" i="3"/>
  <c r="B11" i="3"/>
  <c r="K10" i="3"/>
  <c r="E10" i="3"/>
  <c r="H9" i="3"/>
  <c r="B9" i="3"/>
  <c r="K8" i="3"/>
  <c r="E8" i="3"/>
  <c r="H7" i="3"/>
  <c r="B7" i="3"/>
  <c r="K6" i="3"/>
  <c r="E6" i="3"/>
  <c r="H24" i="3"/>
  <c r="K23" i="3"/>
  <c r="H22" i="3"/>
  <c r="K21" i="3"/>
  <c r="H20" i="3"/>
  <c r="K19" i="3"/>
  <c r="H18" i="3"/>
  <c r="K17" i="3"/>
  <c r="H16" i="3"/>
  <c r="K15" i="3"/>
  <c r="H14" i="3"/>
  <c r="K13" i="3"/>
  <c r="H12" i="3"/>
  <c r="K11" i="3"/>
  <c r="H10" i="3"/>
  <c r="K9" i="3"/>
  <c r="H8" i="3"/>
  <c r="K7" i="3"/>
  <c r="H6" i="3"/>
  <c r="K5" i="3"/>
  <c r="E5" i="3"/>
  <c r="H5" i="3"/>
  <c r="B5" i="7"/>
  <c r="O25" i="3" l="1"/>
  <c r="O21" i="3"/>
  <c r="O17" i="3"/>
  <c r="O13" i="3"/>
  <c r="O9" i="3"/>
  <c r="O5" i="3"/>
  <c r="O23" i="3"/>
  <c r="O15" i="3"/>
  <c r="O26" i="3"/>
  <c r="O14" i="3"/>
  <c r="O6" i="3"/>
  <c r="O28" i="3"/>
  <c r="O24" i="3"/>
  <c r="O20" i="3"/>
  <c r="O16" i="3"/>
  <c r="O12" i="3"/>
  <c r="O8" i="3"/>
  <c r="O27" i="3"/>
  <c r="O19" i="3"/>
  <c r="O11" i="3"/>
  <c r="O7" i="3"/>
  <c r="O22" i="3"/>
  <c r="O18" i="3"/>
  <c r="O10" i="3"/>
  <c r="O4" i="3"/>
  <c r="N4" i="6" l="1"/>
  <c r="M4" i="6"/>
  <c r="K4" i="6"/>
  <c r="I4" i="6"/>
  <c r="F4" i="6"/>
  <c r="C4" i="6"/>
  <c r="B4" i="6" l="1"/>
  <c r="N4" i="3"/>
  <c r="H4" i="6"/>
  <c r="E4" i="6"/>
  <c r="L4" i="3"/>
  <c r="K4" i="3" s="1"/>
  <c r="C5" i="7" l="1"/>
  <c r="D5" i="7"/>
  <c r="C4" i="4"/>
  <c r="D4" i="4"/>
  <c r="B4" i="4" s="1"/>
  <c r="C4" i="3"/>
  <c r="B4" i="3" s="1"/>
  <c r="F4" i="3"/>
  <c r="E4" i="3" s="1"/>
  <c r="I4" i="3"/>
  <c r="H4" i="3" s="1"/>
</calcChain>
</file>

<file path=xl/sharedStrings.xml><?xml version="1.0" encoding="utf-8"?>
<sst xmlns="http://schemas.openxmlformats.org/spreadsheetml/2006/main" count="190" uniqueCount="102">
  <si>
    <t>تاریخ</t>
  </si>
  <si>
    <t>روند</t>
  </si>
  <si>
    <t>حمایت</t>
  </si>
  <si>
    <t>مقاومت</t>
  </si>
  <si>
    <t>الیوت</t>
  </si>
  <si>
    <t>جاماندگی</t>
  </si>
  <si>
    <t>اسیلاتورها</t>
  </si>
  <si>
    <t>واگرایی</t>
  </si>
  <si>
    <t>میانگین متحرک</t>
  </si>
  <si>
    <t>خط روند</t>
  </si>
  <si>
    <t>چنگال</t>
  </si>
  <si>
    <t>کانال</t>
  </si>
  <si>
    <t>stochastic rsi</t>
  </si>
  <si>
    <t>rsi</t>
  </si>
  <si>
    <t>pivots</t>
  </si>
  <si>
    <t>ادامه دهنده</t>
  </si>
  <si>
    <t>برگشت پذیر</t>
  </si>
  <si>
    <t>الگوها</t>
  </si>
  <si>
    <t>اهداف</t>
  </si>
  <si>
    <t>حد ضرر</t>
  </si>
  <si>
    <t>مبلغ کل (ریال)</t>
  </si>
  <si>
    <t>درصد ریسک سرمایه</t>
  </si>
  <si>
    <t>قیمت ورود</t>
  </si>
  <si>
    <t>تعداد سهام</t>
  </si>
  <si>
    <t>TP1</t>
  </si>
  <si>
    <t>Reward %</t>
  </si>
  <si>
    <t>r/R</t>
  </si>
  <si>
    <t>TP2</t>
  </si>
  <si>
    <t>TP3</t>
  </si>
  <si>
    <t>SL</t>
  </si>
  <si>
    <t>Risk %</t>
  </si>
  <si>
    <t>سرمایه فعلی (ریال)</t>
  </si>
  <si>
    <t>قیمت ورود (ریال)</t>
  </si>
  <si>
    <t>مبلغ سود/ضرر (ریال)</t>
  </si>
  <si>
    <t>درصد سود/ضرر</t>
  </si>
  <si>
    <t>قیمت خروج</t>
  </si>
  <si>
    <t>لینک تحلیل</t>
  </si>
  <si>
    <t>نمای کلی</t>
  </si>
  <si>
    <t>تحلیلی</t>
  </si>
  <si>
    <t>لینک</t>
  </si>
  <si>
    <t>توضیحات</t>
  </si>
  <si>
    <t>دلیل</t>
  </si>
  <si>
    <t>99/01/06</t>
  </si>
  <si>
    <t>tot_990106.png</t>
  </si>
  <si>
    <t>sig_990106.png</t>
  </si>
  <si>
    <t>*</t>
  </si>
  <si>
    <t>Bullish</t>
  </si>
  <si>
    <t>خرید قبلی</t>
  </si>
  <si>
    <t>99/01/11</t>
  </si>
  <si>
    <t>99/01/12</t>
  </si>
  <si>
    <t>tot_990112.png</t>
  </si>
  <si>
    <t>tech_990112.png</t>
  </si>
  <si>
    <t>OB</t>
  </si>
  <si>
    <t>HD-</t>
  </si>
  <si>
    <t>خروج</t>
  </si>
  <si>
    <t>HD+</t>
  </si>
  <si>
    <t>middle</t>
  </si>
  <si>
    <t>abc?</t>
  </si>
  <si>
    <t>18929
15623</t>
  </si>
  <si>
    <t>احتمالا آغاز موج b، در صورت شکست سقف آغاز موج 5</t>
  </si>
  <si>
    <t>شکست سقف چنگال بلند مدت، پولبک و صعود مجدد</t>
  </si>
  <si>
    <t>عبور از خط میدلاین، حرکت به سمت بالا</t>
  </si>
  <si>
    <t>برخورد به خط روند و برگشت</t>
  </si>
  <si>
    <t>~28000</t>
  </si>
  <si>
    <t>قیمت در نزدیکی سقف کانال</t>
  </si>
  <si>
    <t>بسته شدن کندل بالای خط روند</t>
  </si>
  <si>
    <t>سیو سود به دلیل نزدیکی شاخص به مقاومت تاریخی</t>
  </si>
  <si>
    <t>میزان ضرر</t>
  </si>
  <si>
    <t>سهم</t>
  </si>
  <si>
    <t>بترانس</t>
  </si>
  <si>
    <t>ریسک %</t>
  </si>
  <si>
    <t>99/01/07</t>
  </si>
  <si>
    <t>99/01/08</t>
  </si>
  <si>
    <t>99/01/09</t>
  </si>
  <si>
    <t>99/01/10</t>
  </si>
  <si>
    <t>99/01/13</t>
  </si>
  <si>
    <t>99/01/14</t>
  </si>
  <si>
    <t>99/01/15</t>
  </si>
  <si>
    <t>99/01/16</t>
  </si>
  <si>
    <t>مبلغ نقدی</t>
  </si>
  <si>
    <t>99/01/17</t>
  </si>
  <si>
    <t>99/01/18</t>
  </si>
  <si>
    <t>99/01/19</t>
  </si>
  <si>
    <t>99/01/20</t>
  </si>
  <si>
    <t>99/01/21</t>
  </si>
  <si>
    <t>99/01/22</t>
  </si>
  <si>
    <t>99/01/23</t>
  </si>
  <si>
    <t>99/01/24</t>
  </si>
  <si>
    <t>99/01/25</t>
  </si>
  <si>
    <t>99/01/26</t>
  </si>
  <si>
    <t>سهام (ریال)</t>
  </si>
  <si>
    <t>مجموع دارایی (ریال)</t>
  </si>
  <si>
    <t>سرمایه بدون ریسک (ریال)</t>
  </si>
  <si>
    <t>ریسک کلی %</t>
  </si>
  <si>
    <t>ریسک کلی (ریال)</t>
  </si>
  <si>
    <t>99/01/27</t>
  </si>
  <si>
    <t>99/01/28</t>
  </si>
  <si>
    <t>99/01/29</t>
  </si>
  <si>
    <t>99/01/30</t>
  </si>
  <si>
    <t>قیمت سهم</t>
  </si>
  <si>
    <t>تعداد سهم</t>
  </si>
  <si>
    <t>قیمت (ریال)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</si>
</sst>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0" xfId="0" applyBorder="1"/>
    <xf numFmtId="0" fontId="4" fillId="3" borderId="10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7" borderId="17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8" borderId="17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0" fillId="0" borderId="0" xfId="0" applyAlignment="1"/>
    <xf numFmtId="0" fontId="2" fillId="0" borderId="21" xfId="0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4" fillId="3" borderId="43" xfId="0" applyFont="1" applyFill="1" applyBorder="1" applyAlignment="1">
      <alignment horizontal="center" vertical="center"/>
    </xf>
    <xf numFmtId="3" fontId="3" fillId="0" borderId="19" xfId="0" applyNumberFormat="1" applyFont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3" borderId="42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3" fontId="3" fillId="0" borderId="22" xfId="0" applyNumberFormat="1" applyFont="1" applyBorder="1" applyAlignment="1">
      <alignment horizontal="center" vertical="center"/>
    </xf>
    <xf numFmtId="2" fontId="3" fillId="0" borderId="25" xfId="0" applyNumberFormat="1" applyFont="1" applyBorder="1" applyAlignment="1">
      <alignment horizontal="center" vertical="center"/>
    </xf>
    <xf numFmtId="10" fontId="3" fillId="0" borderId="23" xfId="0" applyNumberFormat="1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3" fontId="3" fillId="0" borderId="18" xfId="0" applyNumberFormat="1" applyFont="1" applyBorder="1" applyAlignment="1">
      <alignment horizontal="center" vertical="center"/>
    </xf>
    <xf numFmtId="3" fontId="3" fillId="0" borderId="23" xfId="0" applyNumberFormat="1" applyFont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2" fillId="5" borderId="32" xfId="0" applyFont="1" applyFill="1" applyBorder="1" applyAlignment="1">
      <alignment horizontal="center" vertical="center"/>
    </xf>
    <xf numFmtId="0" fontId="2" fillId="5" borderId="33" xfId="0" applyFont="1" applyFill="1" applyBorder="1" applyAlignment="1">
      <alignment horizontal="center" vertical="center"/>
    </xf>
    <xf numFmtId="0" fontId="2" fillId="4" borderId="32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5" fillId="4" borderId="29" xfId="1" applyFill="1" applyBorder="1" applyAlignment="1">
      <alignment horizontal="center" vertical="center"/>
    </xf>
    <xf numFmtId="0" fontId="5" fillId="4" borderId="30" xfId="1" applyFill="1" applyBorder="1" applyAlignment="1">
      <alignment horizontal="center" vertical="center"/>
    </xf>
    <xf numFmtId="0" fontId="5" fillId="5" borderId="32" xfId="1" applyFill="1" applyBorder="1" applyAlignment="1">
      <alignment horizontal="center" vertical="center"/>
    </xf>
    <xf numFmtId="0" fontId="5" fillId="5" borderId="33" xfId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3" fillId="4" borderId="28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4" borderId="3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5" fillId="5" borderId="27" xfId="1" applyFill="1" applyBorder="1" applyAlignment="1">
      <alignment horizontal="center" vertical="center"/>
    </xf>
    <xf numFmtId="0" fontId="5" fillId="5" borderId="28" xfId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3" fillId="4" borderId="30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/>
    </xf>
    <xf numFmtId="0" fontId="5" fillId="4" borderId="7" xfId="1" applyFill="1" applyBorder="1" applyAlignment="1">
      <alignment horizontal="center" vertical="center"/>
    </xf>
    <xf numFmtId="0" fontId="5" fillId="4" borderId="10" xfId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10" fontId="3" fillId="0" borderId="25" xfId="0" applyNumberFormat="1" applyFont="1" applyBorder="1" applyAlignment="1">
      <alignment horizontal="center" vertical="center"/>
    </xf>
    <xf numFmtId="0" fontId="5" fillId="4" borderId="3" xfId="1" applyFill="1" applyBorder="1" applyAlignment="1">
      <alignment horizontal="center" vertical="center"/>
    </xf>
    <xf numFmtId="0" fontId="5" fillId="4" borderId="8" xfId="1" applyFill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5" borderId="36" xfId="0" applyFont="1" applyFill="1" applyBorder="1" applyAlignment="1">
      <alignment horizontal="center" vertical="center"/>
    </xf>
    <xf numFmtId="0" fontId="3" fillId="5" borderId="37" xfId="0" applyFont="1" applyFill="1" applyBorder="1" applyAlignment="1">
      <alignment horizontal="center" vertical="center"/>
    </xf>
    <xf numFmtId="0" fontId="3" fillId="5" borderId="38" xfId="0" applyFont="1" applyFill="1" applyBorder="1" applyAlignment="1">
      <alignment horizontal="center" vertical="center"/>
    </xf>
    <xf numFmtId="0" fontId="3" fillId="5" borderId="39" xfId="0" applyFont="1" applyFill="1" applyBorder="1" applyAlignment="1">
      <alignment horizontal="center" vertical="center"/>
    </xf>
    <xf numFmtId="0" fontId="2" fillId="4" borderId="32" xfId="0" applyFont="1" applyFill="1" applyBorder="1" applyAlignment="1">
      <alignment horizontal="center"/>
    </xf>
    <xf numFmtId="0" fontId="2" fillId="4" borderId="33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/>
    </xf>
    <xf numFmtId="0" fontId="2" fillId="5" borderId="33" xfId="0" applyFont="1" applyFill="1" applyBorder="1" applyAlignment="1">
      <alignment horizontal="center"/>
    </xf>
    <xf numFmtId="0" fontId="3" fillId="5" borderId="40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/>
    </xf>
    <xf numFmtId="0" fontId="3" fillId="4" borderId="40" xfId="0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3" fontId="2" fillId="0" borderId="14" xfId="0" applyNumberFormat="1" applyFont="1" applyBorder="1" applyAlignment="1">
      <alignment horizontal="center" vertical="center"/>
    </xf>
    <xf numFmtId="3" fontId="2" fillId="0" borderId="26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5" fillId="0" borderId="32" xfId="1" applyBorder="1" applyAlignment="1">
      <alignment horizontal="center" vertical="center"/>
    </xf>
    <xf numFmtId="0" fontId="5" fillId="0" borderId="33" xfId="1" applyBorder="1" applyAlignment="1">
      <alignment horizontal="center" vertical="center"/>
    </xf>
    <xf numFmtId="3" fontId="2" fillId="0" borderId="21" xfId="0" applyNumberFormat="1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10" fontId="2" fillId="0" borderId="21" xfId="0" applyNumberFormat="1" applyFont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2" fontId="2" fillId="0" borderId="25" xfId="0" applyNumberFormat="1" applyFont="1" applyBorder="1" applyAlignment="1">
      <alignment horizontal="center" vertical="center"/>
    </xf>
    <xf numFmtId="10" fontId="2" fillId="0" borderId="23" xfId="0" applyNumberFormat="1" applyFont="1" applyBorder="1" applyAlignment="1">
      <alignment horizontal="center" vertical="center"/>
    </xf>
    <xf numFmtId="3" fontId="2" fillId="0" borderId="22" xfId="0" applyNumberFormat="1" applyFont="1" applyBorder="1" applyAlignment="1">
      <alignment horizontal="center" vertical="center"/>
    </xf>
    <xf numFmtId="3" fontId="2" fillId="0" borderId="25" xfId="0" applyNumberFormat="1" applyFont="1" applyBorder="1" applyAlignment="1">
      <alignment horizontal="center" vertical="center"/>
    </xf>
    <xf numFmtId="10" fontId="2" fillId="0" borderId="44" xfId="0" applyNumberFormat="1" applyFont="1" applyBorder="1" applyAlignment="1">
      <alignment horizontal="center" vertical="center"/>
    </xf>
    <xf numFmtId="3" fontId="2" fillId="0" borderId="19" xfId="0" applyNumberFormat="1" applyFont="1" applyBorder="1" applyAlignment="1">
      <alignment horizontal="center" vertical="center"/>
    </xf>
    <xf numFmtId="3" fontId="2" fillId="0" borderId="18" xfId="0" applyNumberFormat="1" applyFont="1" applyBorder="1" applyAlignment="1">
      <alignment horizontal="center" vertical="center"/>
    </xf>
    <xf numFmtId="3" fontId="2" fillId="0" borderId="23" xfId="0" applyNumberFormat="1" applyFont="1" applyBorder="1" applyAlignment="1">
      <alignment horizontal="center" vertical="center"/>
    </xf>
    <xf numFmtId="1" fontId="2" fillId="0" borderId="22" xfId="0" applyNumberFormat="1" applyFont="1" applyBorder="1" applyAlignment="1">
      <alignment horizontal="center" vertical="center"/>
    </xf>
    <xf numFmtId="1" fontId="2" fillId="0" borderId="14" xfId="0" applyNumberFormat="1" applyFont="1" applyBorder="1" applyAlignment="1">
      <alignment horizontal="center" vertical="center"/>
    </xf>
    <xf numFmtId="0" fontId="3" fillId="3" borderId="45" xfId="0" applyFont="1" applyFill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0" fontId="3" fillId="3" borderId="6" xfId="0" applyNumberFormat="1" applyFont="1" applyFill="1" applyBorder="1" applyAlignment="1">
      <alignment horizontal="center" vertical="center"/>
    </xf>
    <xf numFmtId="10" fontId="3" fillId="3" borderId="5" xfId="0" applyNumberFormat="1" applyFont="1" applyFill="1" applyBorder="1" applyAlignment="1">
      <alignment horizontal="center" vertical="center"/>
    </xf>
    <xf numFmtId="10" fontId="3" fillId="3" borderId="3" xfId="0" applyNumberFormat="1" applyFont="1" applyFill="1" applyBorder="1" applyAlignment="1">
      <alignment vertical="center"/>
    </xf>
    <xf numFmtId="10" fontId="3" fillId="3" borderId="7" xfId="0" applyNumberFormat="1" applyFont="1" applyFill="1" applyBorder="1" applyAlignment="1">
      <alignment vertical="center"/>
    </xf>
    <xf numFmtId="3" fontId="2" fillId="0" borderId="3" xfId="0" applyNumberFormat="1" applyFont="1" applyBorder="1" applyAlignment="1">
      <alignment horizontal="center" vertical="center"/>
    </xf>
    <xf numFmtId="3" fontId="2" fillId="0" borderId="8" xfId="0" applyNumberFormat="1" applyFont="1" applyBorder="1" applyAlignment="1">
      <alignment horizontal="center" vertical="center"/>
    </xf>
    <xf numFmtId="3" fontId="2" fillId="0" borderId="7" xfId="0" applyNumberFormat="1" applyFont="1" applyBorder="1" applyAlignment="1">
      <alignment horizontal="center" vertical="center"/>
    </xf>
    <xf numFmtId="3" fontId="2" fillId="0" borderId="10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tot_990112.png" TargetMode="External"/><Relationship Id="rId2" Type="http://schemas.openxmlformats.org/officeDocument/2006/relationships/hyperlink" Target="sig_990106.png" TargetMode="External"/><Relationship Id="rId1" Type="http://schemas.openxmlformats.org/officeDocument/2006/relationships/hyperlink" Target="tot_990106.png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tech_990112.pn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sig_990106.png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tech_99011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tabSelected="1" workbookViewId="0">
      <selection activeCell="G20" sqref="G20"/>
    </sheetView>
  </sheetViews>
  <sheetFormatPr defaultRowHeight="14.4" x14ac:dyDescent="0.3"/>
  <cols>
    <col min="2" max="2" width="15.44140625" bestFit="1" customWidth="1"/>
    <col min="3" max="4" width="15.44140625" customWidth="1"/>
    <col min="5" max="5" width="20" bestFit="1" customWidth="1"/>
    <col min="6" max="6" width="13.88671875" customWidth="1"/>
    <col min="7" max="7" width="10.88671875" bestFit="1" customWidth="1"/>
  </cols>
  <sheetData>
    <row r="2" spans="2:7" ht="16.8" x14ac:dyDescent="0.3">
      <c r="E2" s="162"/>
      <c r="F2" s="162"/>
      <c r="G2" s="162"/>
    </row>
    <row r="3" spans="2:7" x14ac:dyDescent="0.3">
      <c r="B3" s="163" t="s">
        <v>91</v>
      </c>
      <c r="C3" s="163" t="s">
        <v>93</v>
      </c>
      <c r="D3" s="163" t="s">
        <v>94</v>
      </c>
      <c r="E3" s="163" t="s">
        <v>92</v>
      </c>
      <c r="F3" s="176" t="s">
        <v>90</v>
      </c>
      <c r="G3" s="163" t="s">
        <v>79</v>
      </c>
    </row>
    <row r="4" spans="2:7" x14ac:dyDescent="0.3">
      <c r="B4" s="163"/>
      <c r="C4" s="163"/>
      <c r="D4" s="163"/>
      <c r="E4" s="163"/>
      <c r="F4" s="177"/>
      <c r="G4" s="163"/>
    </row>
    <row r="5" spans="2:7" x14ac:dyDescent="0.3">
      <c r="B5" s="164">
        <f>F5+G5</f>
        <v>1510830089</v>
      </c>
      <c r="C5" s="165">
        <f>(B5-E5)/B5*100</f>
        <v>1.4492208726457261</v>
      </c>
      <c r="D5" s="164">
        <f>B5-E5</f>
        <v>21895265</v>
      </c>
      <c r="E5" s="164">
        <f>G5+F5-SUM(پرتفوی!K4:K5)</f>
        <v>1488934824</v>
      </c>
      <c r="F5" s="164">
        <f>SUMPRODUCT(پرتفوی!P4:P28*پرتفوی!Q4:Q28)</f>
        <v>1350133750</v>
      </c>
      <c r="G5" s="164">
        <v>160696339</v>
      </c>
    </row>
    <row r="6" spans="2:7" x14ac:dyDescent="0.3">
      <c r="B6" s="164"/>
      <c r="C6" s="165"/>
      <c r="D6" s="164"/>
      <c r="E6" s="164"/>
      <c r="F6" s="164"/>
      <c r="G6" s="164"/>
    </row>
  </sheetData>
  <mergeCells count="12">
    <mergeCell ref="B3:B4"/>
    <mergeCell ref="B5:B6"/>
    <mergeCell ref="C3:C4"/>
    <mergeCell ref="C5:C6"/>
    <mergeCell ref="D3:D4"/>
    <mergeCell ref="D5:D6"/>
    <mergeCell ref="E3:E4"/>
    <mergeCell ref="G3:G4"/>
    <mergeCell ref="G5:G6"/>
    <mergeCell ref="E5:E6"/>
    <mergeCell ref="F3:F4"/>
    <mergeCell ref="F5:F6"/>
  </mergeCells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6"/>
  <sheetViews>
    <sheetView zoomScale="90" zoomScaleNormal="90" workbookViewId="0">
      <selection activeCell="E10" sqref="E10"/>
    </sheetView>
  </sheetViews>
  <sheetFormatPr defaultRowHeight="14.4" x14ac:dyDescent="0.3"/>
  <cols>
    <col min="1" max="1" width="4.44140625" customWidth="1"/>
    <col min="2" max="2" width="10.44140625" bestFit="1" customWidth="1"/>
    <col min="4" max="4" width="10.33203125" bestFit="1" customWidth="1"/>
    <col min="6" max="6" width="10.33203125" bestFit="1" customWidth="1"/>
    <col min="8" max="8" width="10.44140625" bestFit="1" customWidth="1"/>
    <col min="10" max="10" width="10.21875" bestFit="1" customWidth="1"/>
    <col min="12" max="12" width="10.33203125" bestFit="1" customWidth="1"/>
    <col min="14" max="14" width="10.44140625" bestFit="1" customWidth="1"/>
    <col min="16" max="16" width="10.44140625" bestFit="1" customWidth="1"/>
    <col min="18" max="18" width="9.6640625" bestFit="1" customWidth="1"/>
    <col min="20" max="20" width="9.6640625" bestFit="1" customWidth="1"/>
  </cols>
  <sheetData>
    <row r="2" spans="2:23" ht="15" thickBot="1" x14ac:dyDescent="0.35"/>
    <row r="3" spans="2:23" ht="14.4" customHeight="1" x14ac:dyDescent="0.3">
      <c r="B3" s="182">
        <v>0.05</v>
      </c>
      <c r="C3" s="183"/>
      <c r="D3" s="182">
        <v>4.4999999999999998E-2</v>
      </c>
      <c r="E3" s="183"/>
      <c r="F3" s="182">
        <v>0.04</v>
      </c>
      <c r="G3" s="183"/>
      <c r="H3" s="182">
        <v>3.5000000000000003E-2</v>
      </c>
      <c r="I3" s="183"/>
      <c r="J3" s="182">
        <v>0.03</v>
      </c>
      <c r="K3" s="183"/>
      <c r="L3" s="182">
        <v>2.5000000000000001E-2</v>
      </c>
      <c r="M3" s="183"/>
      <c r="N3" s="182">
        <v>0.02</v>
      </c>
      <c r="O3" s="183"/>
      <c r="P3" s="182">
        <v>1.4999999999999999E-2</v>
      </c>
      <c r="Q3" s="183"/>
      <c r="R3" s="182">
        <v>0.01</v>
      </c>
      <c r="S3" s="183"/>
      <c r="T3" s="182">
        <v>5.0000000000000001E-3</v>
      </c>
      <c r="U3" s="183"/>
      <c r="V3" s="178" t="s">
        <v>19</v>
      </c>
      <c r="W3" s="178" t="s">
        <v>99</v>
      </c>
    </row>
    <row r="4" spans="2:23" ht="18.600000000000001" customHeight="1" x14ac:dyDescent="0.3">
      <c r="B4" s="184" t="s">
        <v>101</v>
      </c>
      <c r="C4" s="185" t="s">
        <v>100</v>
      </c>
      <c r="D4" s="184" t="s">
        <v>101</v>
      </c>
      <c r="E4" s="185" t="s">
        <v>100</v>
      </c>
      <c r="F4" s="184" t="s">
        <v>101</v>
      </c>
      <c r="G4" s="185" t="s">
        <v>100</v>
      </c>
      <c r="H4" s="184" t="s">
        <v>101</v>
      </c>
      <c r="I4" s="185" t="s">
        <v>100</v>
      </c>
      <c r="J4" s="184" t="s">
        <v>101</v>
      </c>
      <c r="K4" s="185" t="s">
        <v>100</v>
      </c>
      <c r="L4" s="184" t="s">
        <v>101</v>
      </c>
      <c r="M4" s="185" t="s">
        <v>100</v>
      </c>
      <c r="N4" s="184" t="s">
        <v>101</v>
      </c>
      <c r="O4" s="185" t="s">
        <v>100</v>
      </c>
      <c r="P4" s="184" t="s">
        <v>101</v>
      </c>
      <c r="Q4" s="185" t="s">
        <v>100</v>
      </c>
      <c r="R4" s="184" t="s">
        <v>101</v>
      </c>
      <c r="S4" s="185" t="s">
        <v>100</v>
      </c>
      <c r="T4" s="184" t="s">
        <v>101</v>
      </c>
      <c r="U4" s="185" t="s">
        <v>100</v>
      </c>
      <c r="V4" s="179"/>
      <c r="W4" s="179"/>
    </row>
    <row r="5" spans="2:23" ht="14.4" customHeight="1" x14ac:dyDescent="0.3">
      <c r="B5" s="186">
        <f>C5*W5</f>
        <v>367683562.04932445</v>
      </c>
      <c r="C5" s="188">
        <f>'مدیریت سرمایه'!E5*5/((W5-V5)*100)</f>
        <v>15965.417370791336</v>
      </c>
      <c r="D5" s="186">
        <f>E5*W5</f>
        <v>330915205.84439206</v>
      </c>
      <c r="E5" s="188">
        <f>'مدیریت سرمایه'!E5*4.5/((W5-V5)*100)</f>
        <v>14368.875633712203</v>
      </c>
      <c r="F5" s="186">
        <f>G5*W5</f>
        <v>294146849.63945955</v>
      </c>
      <c r="G5" s="188">
        <f>'مدیریت سرمایه'!E5*4/((W5-V5)*100)</f>
        <v>12772.333896633068</v>
      </c>
      <c r="H5" s="186">
        <f>I5*W5</f>
        <v>257378493.43452713</v>
      </c>
      <c r="I5" s="188">
        <f>'مدیریت سرمایه'!E5*3.5/((W5-V5)*100)</f>
        <v>11175.792159553936</v>
      </c>
      <c r="J5" s="186">
        <f>K5*W5</f>
        <v>220610137.22959468</v>
      </c>
      <c r="K5" s="188">
        <f>'مدیریت سرمایه'!E5*3/((W5-V5)*100)</f>
        <v>9579.2504224748009</v>
      </c>
      <c r="L5" s="186">
        <f>M5*W5</f>
        <v>183841781.02466223</v>
      </c>
      <c r="M5" s="188">
        <f>'مدیریت سرمایه'!E5*2.5/((W5-V5)*100)</f>
        <v>7982.708685395668</v>
      </c>
      <c r="N5" s="186">
        <f>O5*W5</f>
        <v>147073424.81972978</v>
      </c>
      <c r="O5" s="188">
        <f>'مدیریت سرمایه'!E5*2/((W5-V5)*100)</f>
        <v>6386.1669483165342</v>
      </c>
      <c r="P5" s="186">
        <f>Q5*W5</f>
        <v>110305068.61479734</v>
      </c>
      <c r="Q5" s="188">
        <f>'مدیریت سرمایه'!E5*1.5/((W5-V5)*100)</f>
        <v>4789.6252112374004</v>
      </c>
      <c r="R5" s="186">
        <f>U5*W5</f>
        <v>36768356.204932444</v>
      </c>
      <c r="S5" s="188">
        <f>'مدیریت سرمایه'!E5*1/((W5-V5)*100)</f>
        <v>3193.0834741582671</v>
      </c>
      <c r="T5" s="186">
        <f>U5*W5</f>
        <v>36768356.204932444</v>
      </c>
      <c r="U5" s="188">
        <f>'مدیریت سرمایه'!E5*0.5/((W5-V5)*100)</f>
        <v>1596.5417370791336</v>
      </c>
      <c r="V5" s="180">
        <v>18367</v>
      </c>
      <c r="W5" s="180">
        <v>23030</v>
      </c>
    </row>
    <row r="6" spans="2:23" ht="15" customHeight="1" thickBot="1" x14ac:dyDescent="0.35">
      <c r="B6" s="187"/>
      <c r="C6" s="189"/>
      <c r="D6" s="187"/>
      <c r="E6" s="189"/>
      <c r="F6" s="187"/>
      <c r="G6" s="189"/>
      <c r="H6" s="187"/>
      <c r="I6" s="189"/>
      <c r="J6" s="187"/>
      <c r="K6" s="189"/>
      <c r="L6" s="187"/>
      <c r="M6" s="189"/>
      <c r="N6" s="187"/>
      <c r="O6" s="189"/>
      <c r="P6" s="187"/>
      <c r="Q6" s="189"/>
      <c r="R6" s="187"/>
      <c r="S6" s="189"/>
      <c r="T6" s="187"/>
      <c r="U6" s="189"/>
      <c r="V6" s="181"/>
      <c r="W6" s="181"/>
    </row>
  </sheetData>
  <mergeCells count="34">
    <mergeCell ref="B3:C3"/>
    <mergeCell ref="B5:B6"/>
    <mergeCell ref="C5:C6"/>
    <mergeCell ref="M5:M6"/>
    <mergeCell ref="D3:E3"/>
    <mergeCell ref="F3:G3"/>
    <mergeCell ref="H3:I3"/>
    <mergeCell ref="D5:D6"/>
    <mergeCell ref="E5:E6"/>
    <mergeCell ref="F5:F6"/>
    <mergeCell ref="G5:G6"/>
    <mergeCell ref="H5:H6"/>
    <mergeCell ref="I5:I6"/>
    <mergeCell ref="R3:S3"/>
    <mergeCell ref="P3:Q3"/>
    <mergeCell ref="N3:O3"/>
    <mergeCell ref="N5:N6"/>
    <mergeCell ref="O5:O6"/>
    <mergeCell ref="J3:K3"/>
    <mergeCell ref="L3:M3"/>
    <mergeCell ref="J5:J6"/>
    <mergeCell ref="K5:K6"/>
    <mergeCell ref="L5:L6"/>
    <mergeCell ref="W3:W4"/>
    <mergeCell ref="W5:W6"/>
    <mergeCell ref="U5:U6"/>
    <mergeCell ref="V3:V4"/>
    <mergeCell ref="T3:U3"/>
    <mergeCell ref="T5:T6"/>
    <mergeCell ref="V5:V6"/>
    <mergeCell ref="R5:R6"/>
    <mergeCell ref="S5:S6"/>
    <mergeCell ref="P5:P6"/>
    <mergeCell ref="Q5:Q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8"/>
  <sheetViews>
    <sheetView zoomScaleNormal="100" workbookViewId="0">
      <pane ySplit="3" topLeftCell="A10" activePane="bottomLeft" state="frozen"/>
      <selection pane="bottomLeft" activeCell="B28" sqref="B28"/>
    </sheetView>
  </sheetViews>
  <sheetFormatPr defaultRowHeight="14.4" x14ac:dyDescent="0.3"/>
  <cols>
    <col min="1" max="1" width="8.88671875" style="27"/>
    <col min="2" max="2" width="5.5546875" style="27" bestFit="1" customWidth="1"/>
    <col min="3" max="4" width="8.88671875" style="27"/>
    <col min="5" max="5" width="5.33203125" style="27" bestFit="1" customWidth="1"/>
    <col min="6" max="7" width="8.88671875" style="27"/>
    <col min="8" max="8" width="4.44140625" style="27" bestFit="1" customWidth="1"/>
    <col min="9" max="9" width="10.88671875" style="27" bestFit="1" customWidth="1"/>
    <col min="10" max="10" width="8.88671875" style="27"/>
    <col min="11" max="11" width="12.109375" style="27" bestFit="1" customWidth="1"/>
    <col min="12" max="12" width="10.21875" style="27" bestFit="1" customWidth="1"/>
    <col min="13" max="13" width="8.88671875" style="27"/>
    <col min="14" max="14" width="15.88671875" style="27" bestFit="1" customWidth="1"/>
    <col min="15" max="15" width="15.6640625" style="27" bestFit="1" customWidth="1"/>
    <col min="16" max="16" width="13.44140625" style="27" bestFit="1" customWidth="1"/>
    <col min="17" max="17" width="9.88671875" style="27" bestFit="1" customWidth="1"/>
    <col min="18" max="18" width="9.88671875" style="27" customWidth="1"/>
    <col min="19" max="19" width="10.33203125" style="27" customWidth="1"/>
    <col min="20" max="16384" width="8.88671875" style="27"/>
  </cols>
  <sheetData>
    <row r="1" spans="2:20" ht="15" thickBot="1" x14ac:dyDescent="0.35"/>
    <row r="2" spans="2:20" ht="19.2" thickBot="1" x14ac:dyDescent="0.35">
      <c r="B2" s="42" t="s">
        <v>18</v>
      </c>
      <c r="C2" s="43"/>
      <c r="D2" s="43"/>
      <c r="E2" s="43"/>
      <c r="F2" s="43"/>
      <c r="G2" s="43"/>
      <c r="H2" s="43"/>
      <c r="I2" s="43"/>
      <c r="J2" s="44"/>
      <c r="K2" s="36" t="s">
        <v>19</v>
      </c>
      <c r="L2" s="37"/>
      <c r="M2" s="38"/>
      <c r="N2" s="45" t="s">
        <v>20</v>
      </c>
      <c r="O2" s="46" t="s">
        <v>70</v>
      </c>
      <c r="P2" s="46" t="s">
        <v>32</v>
      </c>
      <c r="Q2" s="51" t="s">
        <v>23</v>
      </c>
      <c r="R2" s="111" t="s">
        <v>68</v>
      </c>
      <c r="S2" s="47" t="s">
        <v>0</v>
      </c>
      <c r="T2" s="47" t="s">
        <v>0</v>
      </c>
    </row>
    <row r="3" spans="2:20" ht="18.600000000000001" customHeight="1" thickBot="1" x14ac:dyDescent="0.35">
      <c r="B3" s="18" t="s">
        <v>26</v>
      </c>
      <c r="C3" s="19" t="s">
        <v>25</v>
      </c>
      <c r="D3" s="22" t="s">
        <v>28</v>
      </c>
      <c r="E3" s="23" t="s">
        <v>26</v>
      </c>
      <c r="F3" s="17" t="s">
        <v>25</v>
      </c>
      <c r="G3" s="20" t="s">
        <v>27</v>
      </c>
      <c r="H3" s="21" t="s">
        <v>26</v>
      </c>
      <c r="I3" s="15" t="s">
        <v>25</v>
      </c>
      <c r="J3" s="16" t="s">
        <v>24</v>
      </c>
      <c r="K3" s="33" t="s">
        <v>67</v>
      </c>
      <c r="L3" s="34" t="s">
        <v>30</v>
      </c>
      <c r="M3" s="13" t="s">
        <v>29</v>
      </c>
      <c r="N3" s="45"/>
      <c r="O3" s="46"/>
      <c r="P3" s="46"/>
      <c r="Q3" s="51"/>
      <c r="R3" s="161"/>
      <c r="S3" s="47"/>
      <c r="T3" s="47"/>
    </row>
    <row r="4" spans="2:20" ht="15" customHeight="1" thickBot="1" x14ac:dyDescent="0.35">
      <c r="B4" s="166">
        <f>IF(L4&gt;0, C4/L4,"RF")</f>
        <v>-4.9325337331334325</v>
      </c>
      <c r="C4" s="167">
        <f>(D4/P4)-1</f>
        <v>-1</v>
      </c>
      <c r="D4" s="168">
        <v>0</v>
      </c>
      <c r="E4" s="166">
        <f>IF(L4&gt;0, F4/L4,"RF")</f>
        <v>1.2156778753480402</v>
      </c>
      <c r="F4" s="167">
        <f>(G4/P4)-1</f>
        <v>0.24646113764654798</v>
      </c>
      <c r="G4" s="168">
        <v>28706</v>
      </c>
      <c r="H4" s="166">
        <f>IF(L4&gt;0, I4/L4,"RF")</f>
        <v>2.1203683872349652E-2</v>
      </c>
      <c r="I4" s="167">
        <f>(J4/P4)-1</f>
        <v>4.2987407729049298E-3</v>
      </c>
      <c r="J4" s="168">
        <v>23129</v>
      </c>
      <c r="K4" s="169">
        <f>IF(L4&gt;0, N4-M4*Q4, 0)</f>
        <v>10948805</v>
      </c>
      <c r="L4" s="170">
        <f>IF(1-(M4/P4)&gt;0, 1-(M4/P4), 0)</f>
        <v>0.20273556231003043</v>
      </c>
      <c r="M4" s="171">
        <v>18361</v>
      </c>
      <c r="N4" s="172">
        <f>Q4*P4</f>
        <v>54005350</v>
      </c>
      <c r="O4" s="167">
        <f>IF( (P4-M4)*Q4/'مدیریت سرمایه'!B5&gt;0, (P4-M4)*Q4/'مدیریت سرمایه'!B5, "Risk free")</f>
        <v>7.2468804266711956E-3</v>
      </c>
      <c r="P4" s="173">
        <v>23030</v>
      </c>
      <c r="Q4" s="174">
        <v>2345</v>
      </c>
      <c r="R4" s="175" t="s">
        <v>69</v>
      </c>
      <c r="S4" s="32" t="s">
        <v>42</v>
      </c>
      <c r="T4" s="32">
        <v>1</v>
      </c>
    </row>
    <row r="5" spans="2:20" ht="15" customHeight="1" thickBot="1" x14ac:dyDescent="0.35">
      <c r="B5" s="166">
        <f>IF(L5&gt;0, C5/L5,"RF")</f>
        <v>-4.9333761782347896</v>
      </c>
      <c r="C5" s="167">
        <f>(D5/P5)-1</f>
        <v>-0.99995657837603125</v>
      </c>
      <c r="D5" s="168">
        <v>1</v>
      </c>
      <c r="E5" s="166">
        <f>IF(L5&gt;0, F5/L5,"RF")</f>
        <v>1.2161525278491854</v>
      </c>
      <c r="F5" s="167">
        <f>(G5/P5)-1</f>
        <v>0.24650455927051662</v>
      </c>
      <c r="G5" s="168">
        <v>28707</v>
      </c>
      <c r="H5" s="166">
        <f>IF(L5&gt;0, I5/L5,"RF")</f>
        <v>2.1422450728362973E-2</v>
      </c>
      <c r="I5" s="167">
        <f>(J5/P5)-1</f>
        <v>4.3421623968735723E-3</v>
      </c>
      <c r="J5" s="168">
        <v>23130</v>
      </c>
      <c r="K5" s="169">
        <f>IF(L5&gt;0, N5-M5*Q5, 0)</f>
        <v>10946460</v>
      </c>
      <c r="L5" s="170">
        <f>IF(1-(M5/P5)&gt;0, 1-(M5/P5), 0)</f>
        <v>0.20269214068606167</v>
      </c>
      <c r="M5" s="171">
        <v>18362</v>
      </c>
      <c r="N5" s="172">
        <f>Q5*P5</f>
        <v>54005350</v>
      </c>
      <c r="O5" s="167">
        <f>IF( (P5-M5)*Q5/'مدیریت سرمایه'!B5&gt;0, (P5-M5)*Q5/'مدیریت سرمایه'!B5, "Risk free")</f>
        <v>7.2453282997860654E-3</v>
      </c>
      <c r="P5" s="173">
        <v>23030</v>
      </c>
      <c r="Q5" s="174">
        <v>2345</v>
      </c>
      <c r="R5" s="175" t="s">
        <v>69</v>
      </c>
      <c r="S5" s="32" t="s">
        <v>71</v>
      </c>
      <c r="T5" s="32">
        <v>2</v>
      </c>
    </row>
    <row r="6" spans="2:20" ht="17.399999999999999" thickBot="1" x14ac:dyDescent="0.35">
      <c r="B6" s="166">
        <f t="shared" ref="B6:B24" si="0">IF(L6&gt;0, C6/L6,"RF")</f>
        <v>-4.9342189843582602</v>
      </c>
      <c r="C6" s="167">
        <f t="shared" ref="C6:C24" si="1">(D6/P6)-1</f>
        <v>-0.99991315675206249</v>
      </c>
      <c r="D6" s="168">
        <v>2</v>
      </c>
      <c r="E6" s="166">
        <f t="shared" ref="E6:E24" si="2">IF(L6&gt;0, F6/L6,"RF")</f>
        <v>1.2166273837583033</v>
      </c>
      <c r="F6" s="167">
        <f t="shared" ref="F6:F24" si="3">(G6/P6)-1</f>
        <v>0.24654798089448549</v>
      </c>
      <c r="G6" s="168">
        <v>28708</v>
      </c>
      <c r="H6" s="166">
        <f t="shared" ref="H6:H24" si="4">IF(L6&gt;0, I6/L6,"RF")</f>
        <v>2.1641311334904934E-2</v>
      </c>
      <c r="I6" s="167">
        <f t="shared" ref="I6:I24" si="5">(J6/P6)-1</f>
        <v>4.3855840208424368E-3</v>
      </c>
      <c r="J6" s="168">
        <v>23131</v>
      </c>
      <c r="K6" s="169">
        <f t="shared" ref="K6:K24" si="6">IF(L6&gt;0, N6-M6*Q6, 0)</f>
        <v>10944115</v>
      </c>
      <c r="L6" s="170">
        <f t="shared" ref="L6:L24" si="7">IF(1-(M6/P6)&gt;0, 1-(M6/P6), 0)</f>
        <v>0.20264871906209292</v>
      </c>
      <c r="M6" s="171">
        <v>18363</v>
      </c>
      <c r="N6" s="172">
        <f t="shared" ref="N6:N24" si="8">Q6*P6</f>
        <v>54005350</v>
      </c>
      <c r="O6" s="167">
        <f>IF( (P6-M6)*Q6/'مدیریت سرمایه'!B5&gt;0, (P6-M6)*Q6/'مدیریت سرمایه'!B5, "Risk free")</f>
        <v>7.2437761729009353E-3</v>
      </c>
      <c r="P6" s="173">
        <v>23030</v>
      </c>
      <c r="Q6" s="174">
        <v>2345</v>
      </c>
      <c r="R6" s="175" t="s">
        <v>69</v>
      </c>
      <c r="S6" s="32" t="s">
        <v>72</v>
      </c>
      <c r="T6" s="32">
        <v>3</v>
      </c>
    </row>
    <row r="7" spans="2:20" ht="17.399999999999999" thickBot="1" x14ac:dyDescent="0.35">
      <c r="B7" s="166">
        <f t="shared" si="0"/>
        <v>-4.9350621517359627</v>
      </c>
      <c r="C7" s="167">
        <f t="shared" si="1"/>
        <v>-0.99986973512809374</v>
      </c>
      <c r="D7" s="168">
        <v>3</v>
      </c>
      <c r="E7" s="166">
        <f t="shared" si="2"/>
        <v>1.2171024432061721</v>
      </c>
      <c r="F7" s="167">
        <f t="shared" si="3"/>
        <v>0.24659140251845413</v>
      </c>
      <c r="G7" s="168">
        <v>28709</v>
      </c>
      <c r="H7" s="166">
        <f t="shared" si="4"/>
        <v>2.1860265752250144E-2</v>
      </c>
      <c r="I7" s="167">
        <f t="shared" si="5"/>
        <v>4.4290056448110793E-3</v>
      </c>
      <c r="J7" s="168">
        <v>23132</v>
      </c>
      <c r="K7" s="169">
        <f t="shared" si="6"/>
        <v>10941770</v>
      </c>
      <c r="L7" s="170">
        <f t="shared" si="7"/>
        <v>0.20260529743812417</v>
      </c>
      <c r="M7" s="171">
        <v>18364</v>
      </c>
      <c r="N7" s="172">
        <f t="shared" si="8"/>
        <v>54005350</v>
      </c>
      <c r="O7" s="167">
        <f>IF( (P7-M7)*Q7/'مدیریت سرمایه'!B5&gt;0, (P7-M7)*Q7/'مدیریت سرمایه'!B5, "Risk free")</f>
        <v>7.242224046015806E-3</v>
      </c>
      <c r="P7" s="173">
        <v>23030</v>
      </c>
      <c r="Q7" s="174">
        <v>2345</v>
      </c>
      <c r="R7" s="175" t="s">
        <v>69</v>
      </c>
      <c r="S7" s="32" t="s">
        <v>73</v>
      </c>
      <c r="T7" s="32">
        <v>4</v>
      </c>
    </row>
    <row r="8" spans="2:20" ht="17.399999999999999" thickBot="1" x14ac:dyDescent="0.35">
      <c r="B8" s="166">
        <f t="shared" si="0"/>
        <v>-4.9359056806002153</v>
      </c>
      <c r="C8" s="167">
        <f t="shared" si="1"/>
        <v>-0.9998263135041251</v>
      </c>
      <c r="D8" s="168">
        <v>4</v>
      </c>
      <c r="E8" s="166">
        <f t="shared" si="2"/>
        <v>1.2175777063236877</v>
      </c>
      <c r="F8" s="167">
        <f t="shared" si="3"/>
        <v>0.24663482414242299</v>
      </c>
      <c r="G8" s="168">
        <v>28710</v>
      </c>
      <c r="H8" s="166">
        <f t="shared" si="4"/>
        <v>2.2079314040729287E-2</v>
      </c>
      <c r="I8" s="167">
        <f t="shared" si="5"/>
        <v>4.4724272687799438E-3</v>
      </c>
      <c r="J8" s="168">
        <v>23133</v>
      </c>
      <c r="K8" s="169">
        <f t="shared" si="6"/>
        <v>10939425</v>
      </c>
      <c r="L8" s="170">
        <f t="shared" si="7"/>
        <v>0.20256187581415541</v>
      </c>
      <c r="M8" s="171">
        <v>18365</v>
      </c>
      <c r="N8" s="172">
        <f t="shared" si="8"/>
        <v>54005350</v>
      </c>
      <c r="O8" s="167">
        <f>IF( (P8-M8)*Q8/'مدیریت سرمایه'!B5&gt;0, (P8-M8)*Q8/'مدیریت سرمایه'!B5, "Risk free")</f>
        <v>7.2406719191306758E-3</v>
      </c>
      <c r="P8" s="173">
        <v>23030</v>
      </c>
      <c r="Q8" s="174">
        <v>2345</v>
      </c>
      <c r="R8" s="175" t="s">
        <v>69</v>
      </c>
      <c r="S8" s="32" t="s">
        <v>74</v>
      </c>
      <c r="T8" s="32">
        <v>5</v>
      </c>
    </row>
    <row r="9" spans="2:20" ht="17.399999999999999" thickBot="1" x14ac:dyDescent="0.35">
      <c r="B9" s="166">
        <f t="shared" si="0"/>
        <v>-4.936749571183535</v>
      </c>
      <c r="C9" s="167">
        <f t="shared" si="1"/>
        <v>-0.99978289188015634</v>
      </c>
      <c r="D9" s="168">
        <v>5</v>
      </c>
      <c r="E9" s="166">
        <f t="shared" si="2"/>
        <v>1.2180531732418527</v>
      </c>
      <c r="F9" s="167">
        <f t="shared" si="3"/>
        <v>0.24667824576639164</v>
      </c>
      <c r="G9" s="168">
        <v>28711</v>
      </c>
      <c r="H9" s="166">
        <f t="shared" si="4"/>
        <v>2.2298456260720405E-2</v>
      </c>
      <c r="I9" s="167">
        <f t="shared" si="5"/>
        <v>4.5158488927485863E-3</v>
      </c>
      <c r="J9" s="168">
        <v>23134</v>
      </c>
      <c r="K9" s="169">
        <f t="shared" si="6"/>
        <v>10937080</v>
      </c>
      <c r="L9" s="170">
        <f t="shared" si="7"/>
        <v>0.20251845419018666</v>
      </c>
      <c r="M9" s="171">
        <v>18366</v>
      </c>
      <c r="N9" s="172">
        <f t="shared" si="8"/>
        <v>54005350</v>
      </c>
      <c r="O9" s="167">
        <f>IF( (P9-M9)*Q9/'مدیریت سرمایه'!B5&gt;0, (P9-M9)*Q9/'مدیریت سرمایه'!B5, "Risk free")</f>
        <v>7.2391197922455465E-3</v>
      </c>
      <c r="P9" s="173">
        <v>23030</v>
      </c>
      <c r="Q9" s="174">
        <v>2345</v>
      </c>
      <c r="R9" s="175" t="s">
        <v>69</v>
      </c>
      <c r="S9" s="32" t="s">
        <v>48</v>
      </c>
      <c r="T9" s="32">
        <v>6</v>
      </c>
    </row>
    <row r="10" spans="2:20" ht="17.399999999999999" thickBot="1" x14ac:dyDescent="0.35">
      <c r="B10" s="166">
        <f t="shared" si="0"/>
        <v>-4.9375938237186352</v>
      </c>
      <c r="C10" s="167">
        <f t="shared" si="1"/>
        <v>-0.99973947025618759</v>
      </c>
      <c r="D10" s="168">
        <v>6</v>
      </c>
      <c r="E10" s="166">
        <f t="shared" si="2"/>
        <v>1.2185288440917867</v>
      </c>
      <c r="F10" s="167">
        <f t="shared" si="3"/>
        <v>0.2467216673903605</v>
      </c>
      <c r="G10" s="168">
        <v>28712</v>
      </c>
      <c r="H10" s="166">
        <f t="shared" si="4"/>
        <v>2.2517692472656607E-2</v>
      </c>
      <c r="I10" s="167">
        <f t="shared" si="5"/>
        <v>4.5592705167172287E-3</v>
      </c>
      <c r="J10" s="168">
        <v>23135</v>
      </c>
      <c r="K10" s="169">
        <f t="shared" si="6"/>
        <v>10934735</v>
      </c>
      <c r="L10" s="170">
        <f t="shared" si="7"/>
        <v>0.20247503256621802</v>
      </c>
      <c r="M10" s="171">
        <v>18367</v>
      </c>
      <c r="N10" s="172">
        <f t="shared" si="8"/>
        <v>54005350</v>
      </c>
      <c r="O10" s="167">
        <f>IF( (P10-M10)*Q10/'مدیریت سرمایه'!B5&gt;0, (P10-M10)*Q10/'مدیریت سرمایه'!B5, "Risk free")</f>
        <v>7.2375676653604164E-3</v>
      </c>
      <c r="P10" s="173">
        <v>23030</v>
      </c>
      <c r="Q10" s="174">
        <v>2345</v>
      </c>
      <c r="R10" s="175" t="s">
        <v>69</v>
      </c>
      <c r="S10" s="32" t="s">
        <v>49</v>
      </c>
      <c r="T10" s="32">
        <v>7</v>
      </c>
    </row>
    <row r="11" spans="2:20" ht="17.399999999999999" thickBot="1" x14ac:dyDescent="0.35">
      <c r="B11" s="166">
        <f t="shared" si="0"/>
        <v>-4.9384384384384381</v>
      </c>
      <c r="C11" s="167">
        <f t="shared" si="1"/>
        <v>-0.99969604863221884</v>
      </c>
      <c r="D11" s="168">
        <v>7</v>
      </c>
      <c r="E11" s="166">
        <f t="shared" si="2"/>
        <v>1.2190047190047189</v>
      </c>
      <c r="F11" s="167">
        <f t="shared" si="3"/>
        <v>0.24676508901432914</v>
      </c>
      <c r="G11" s="168">
        <v>28713</v>
      </c>
      <c r="H11" s="166">
        <f t="shared" si="4"/>
        <v>2.273702273702289E-2</v>
      </c>
      <c r="I11" s="167">
        <f t="shared" si="5"/>
        <v>4.6026921406860932E-3</v>
      </c>
      <c r="J11" s="168">
        <v>23136</v>
      </c>
      <c r="K11" s="169">
        <f t="shared" si="6"/>
        <v>10932390</v>
      </c>
      <c r="L11" s="170">
        <f t="shared" si="7"/>
        <v>0.20243161094224926</v>
      </c>
      <c r="M11" s="171">
        <v>18368</v>
      </c>
      <c r="N11" s="172">
        <f t="shared" si="8"/>
        <v>54005350</v>
      </c>
      <c r="O11" s="167">
        <f>IF( (P11-M11)*Q11/'مدیریت سرمایه'!B5&gt;0, (P11-M11)*Q11/'مدیریت سرمایه'!B5, "Risk free")</f>
        <v>7.2360155384752862E-3</v>
      </c>
      <c r="P11" s="173">
        <v>23030</v>
      </c>
      <c r="Q11" s="174">
        <v>2345</v>
      </c>
      <c r="R11" s="175" t="s">
        <v>69</v>
      </c>
      <c r="S11" s="32" t="s">
        <v>75</v>
      </c>
      <c r="T11" s="32">
        <v>8</v>
      </c>
    </row>
    <row r="12" spans="2:20" ht="17.399999999999999" thickBot="1" x14ac:dyDescent="0.35">
      <c r="B12" s="166">
        <f t="shared" si="0"/>
        <v>-4.9392834155760568</v>
      </c>
      <c r="C12" s="167">
        <f t="shared" si="1"/>
        <v>-0.99965262700825008</v>
      </c>
      <c r="D12" s="168">
        <v>8</v>
      </c>
      <c r="E12" s="166">
        <f t="shared" si="2"/>
        <v>1.2194807981119926</v>
      </c>
      <c r="F12" s="167">
        <f t="shared" si="3"/>
        <v>0.24680851063829778</v>
      </c>
      <c r="G12" s="168">
        <v>28714</v>
      </c>
      <c r="H12" s="166">
        <f t="shared" si="4"/>
        <v>2.2956447114352834E-2</v>
      </c>
      <c r="I12" s="167">
        <f t="shared" si="5"/>
        <v>4.6461137646547357E-3</v>
      </c>
      <c r="J12" s="168">
        <v>23137</v>
      </c>
      <c r="K12" s="169">
        <f t="shared" si="6"/>
        <v>10930045</v>
      </c>
      <c r="L12" s="170">
        <f t="shared" si="7"/>
        <v>0.20238818931828051</v>
      </c>
      <c r="M12" s="171">
        <v>18369</v>
      </c>
      <c r="N12" s="172">
        <f t="shared" si="8"/>
        <v>54005350</v>
      </c>
      <c r="O12" s="167">
        <f>IF( (P12-M12)*Q12/'مدیریت سرمایه'!B5&gt;0, (P12-M12)*Q12/'مدیریت سرمایه'!B5, "Risk free")</f>
        <v>7.2344634115901569E-3</v>
      </c>
      <c r="P12" s="173">
        <v>23030</v>
      </c>
      <c r="Q12" s="174">
        <v>2345</v>
      </c>
      <c r="R12" s="175" t="s">
        <v>69</v>
      </c>
      <c r="S12" s="32" t="s">
        <v>76</v>
      </c>
      <c r="T12" s="32">
        <v>9</v>
      </c>
    </row>
    <row r="13" spans="2:20" ht="17.399999999999999" thickBot="1" x14ac:dyDescent="0.35">
      <c r="B13" s="166">
        <f t="shared" si="0"/>
        <v>-4.9401287553648068</v>
      </c>
      <c r="C13" s="167">
        <f t="shared" si="1"/>
        <v>-0.99960920538428133</v>
      </c>
      <c r="D13" s="168">
        <v>9</v>
      </c>
      <c r="E13" s="166">
        <f t="shared" si="2"/>
        <v>1.2199570815450647</v>
      </c>
      <c r="F13" s="167">
        <f t="shared" si="3"/>
        <v>0.24685193226226665</v>
      </c>
      <c r="G13" s="168">
        <v>28715</v>
      </c>
      <c r="H13" s="166">
        <f t="shared" si="4"/>
        <v>2.3175965665236376E-2</v>
      </c>
      <c r="I13" s="167">
        <f t="shared" si="5"/>
        <v>4.6895353886236002E-3</v>
      </c>
      <c r="J13" s="168">
        <v>23138</v>
      </c>
      <c r="K13" s="169">
        <f t="shared" si="6"/>
        <v>10927700</v>
      </c>
      <c r="L13" s="170">
        <f t="shared" si="7"/>
        <v>0.20234476769431176</v>
      </c>
      <c r="M13" s="171">
        <v>18370</v>
      </c>
      <c r="N13" s="172">
        <f t="shared" si="8"/>
        <v>54005350</v>
      </c>
      <c r="O13" s="167">
        <f>IF( (P13-M13)*Q13/'مدیریت سرمایه'!B5&gt;0, (P13-M13)*Q13/'مدیریت سرمایه'!B5, "Risk free")</f>
        <v>7.2329112847050268E-3</v>
      </c>
      <c r="P13" s="173">
        <v>23030</v>
      </c>
      <c r="Q13" s="174">
        <v>2345</v>
      </c>
      <c r="R13" s="175" t="s">
        <v>69</v>
      </c>
      <c r="S13" s="32" t="s">
        <v>77</v>
      </c>
      <c r="T13" s="32">
        <v>10</v>
      </c>
    </row>
    <row r="14" spans="2:20" ht="17.399999999999999" thickBot="1" x14ac:dyDescent="0.35">
      <c r="B14" s="166">
        <f t="shared" si="0"/>
        <v>-4.9409744580382062</v>
      </c>
      <c r="C14" s="167">
        <f t="shared" si="1"/>
        <v>-0.99956578376031269</v>
      </c>
      <c r="D14" s="168">
        <v>10</v>
      </c>
      <c r="E14" s="166">
        <f t="shared" si="2"/>
        <v>1.2204335694355011</v>
      </c>
      <c r="F14" s="167">
        <f t="shared" si="3"/>
        <v>0.24689535388623529</v>
      </c>
      <c r="G14" s="168">
        <v>28716</v>
      </c>
      <c r="H14" s="166">
        <f t="shared" si="4"/>
        <v>2.3395578450311091E-2</v>
      </c>
      <c r="I14" s="167">
        <f t="shared" si="5"/>
        <v>4.7329570125922427E-3</v>
      </c>
      <c r="J14" s="168">
        <v>23139</v>
      </c>
      <c r="K14" s="169">
        <f t="shared" si="6"/>
        <v>10925355</v>
      </c>
      <c r="L14" s="170">
        <f t="shared" si="7"/>
        <v>0.202301346070343</v>
      </c>
      <c r="M14" s="171">
        <v>18371</v>
      </c>
      <c r="N14" s="172">
        <f t="shared" si="8"/>
        <v>54005350</v>
      </c>
      <c r="O14" s="167">
        <f>IF( (P14-M14)*Q14/'مدیریت سرمایه'!B5&gt;0, (P14-M14)*Q14/'مدیریت سرمایه'!B5, "Risk free")</f>
        <v>7.2313591578198966E-3</v>
      </c>
      <c r="P14" s="173">
        <v>23030</v>
      </c>
      <c r="Q14" s="174">
        <v>2345</v>
      </c>
      <c r="R14" s="175" t="s">
        <v>69</v>
      </c>
      <c r="S14" s="32" t="s">
        <v>78</v>
      </c>
      <c r="T14" s="32">
        <v>11</v>
      </c>
    </row>
    <row r="15" spans="2:20" ht="17.399999999999999" thickBot="1" x14ac:dyDescent="0.35">
      <c r="B15" s="166">
        <f t="shared" si="0"/>
        <v>-4.9418205238299713</v>
      </c>
      <c r="C15" s="167">
        <f t="shared" si="1"/>
        <v>-0.99952236213634393</v>
      </c>
      <c r="D15" s="168">
        <v>11</v>
      </c>
      <c r="E15" s="166">
        <f t="shared" si="2"/>
        <v>1.2209102619149856</v>
      </c>
      <c r="F15" s="167">
        <f t="shared" si="3"/>
        <v>0.24693877551020416</v>
      </c>
      <c r="G15" s="168">
        <v>28717</v>
      </c>
      <c r="H15" s="166">
        <f t="shared" si="4"/>
        <v>2.3615285530271E-2</v>
      </c>
      <c r="I15" s="167">
        <f t="shared" si="5"/>
        <v>4.7763786365611072E-3</v>
      </c>
      <c r="J15" s="168">
        <v>23140</v>
      </c>
      <c r="K15" s="169">
        <f t="shared" si="6"/>
        <v>10923010</v>
      </c>
      <c r="L15" s="170">
        <f t="shared" si="7"/>
        <v>0.20225792444637425</v>
      </c>
      <c r="M15" s="171">
        <v>18372</v>
      </c>
      <c r="N15" s="172">
        <f t="shared" si="8"/>
        <v>54005350</v>
      </c>
      <c r="O15" s="167">
        <f>IF( (P15-M15)*Q15/'مدیریت سرمایه'!B5&gt;0, (P15-M15)*Q15/'مدیریت سرمایه'!B5, "Risk free")</f>
        <v>7.2298070309347673E-3</v>
      </c>
      <c r="P15" s="173">
        <v>23030</v>
      </c>
      <c r="Q15" s="174">
        <v>2345</v>
      </c>
      <c r="R15" s="175" t="s">
        <v>69</v>
      </c>
      <c r="S15" s="32" t="s">
        <v>80</v>
      </c>
      <c r="T15" s="32">
        <v>12</v>
      </c>
    </row>
    <row r="16" spans="2:20" ht="17.399999999999999" thickBot="1" x14ac:dyDescent="0.35">
      <c r="B16" s="166">
        <f t="shared" si="0"/>
        <v>-4.9426669529740161</v>
      </c>
      <c r="C16" s="167">
        <f t="shared" si="1"/>
        <v>-0.99947894051237518</v>
      </c>
      <c r="D16" s="168">
        <v>12</v>
      </c>
      <c r="E16" s="166">
        <f t="shared" si="2"/>
        <v>1.2213871591153098</v>
      </c>
      <c r="F16" s="167">
        <f t="shared" si="3"/>
        <v>0.2469821971341728</v>
      </c>
      <c r="G16" s="168">
        <v>28718</v>
      </c>
      <c r="H16" s="166">
        <f t="shared" si="4"/>
        <v>2.3835086965857871E-2</v>
      </c>
      <c r="I16" s="167">
        <f t="shared" si="5"/>
        <v>4.8198002605297496E-3</v>
      </c>
      <c r="J16" s="168">
        <v>23141</v>
      </c>
      <c r="K16" s="169">
        <f t="shared" si="6"/>
        <v>10920665</v>
      </c>
      <c r="L16" s="170">
        <f t="shared" si="7"/>
        <v>0.20221450282240561</v>
      </c>
      <c r="M16" s="171">
        <v>18373</v>
      </c>
      <c r="N16" s="172">
        <f t="shared" si="8"/>
        <v>54005350</v>
      </c>
      <c r="O16" s="167">
        <f>IF( (P16-M16)*Q16/'مدیریت سرمایه'!B5&gt;0, (P16-M16)*Q16/'مدیریت سرمایه'!B5, "Risk free")</f>
        <v>7.2282549040496372E-3</v>
      </c>
      <c r="P16" s="173">
        <v>23030</v>
      </c>
      <c r="Q16" s="174">
        <v>2345</v>
      </c>
      <c r="R16" s="175" t="s">
        <v>69</v>
      </c>
      <c r="S16" s="32" t="s">
        <v>81</v>
      </c>
      <c r="T16" s="32">
        <v>13</v>
      </c>
    </row>
    <row r="17" spans="2:20" ht="17.399999999999999" thickBot="1" x14ac:dyDescent="0.35">
      <c r="B17" s="166">
        <f t="shared" si="0"/>
        <v>-4.9435137457044664</v>
      </c>
      <c r="C17" s="167">
        <f t="shared" si="1"/>
        <v>-0.99943551888840643</v>
      </c>
      <c r="D17" s="168">
        <v>13</v>
      </c>
      <c r="E17" s="166">
        <f t="shared" si="2"/>
        <v>1.2218642611683852</v>
      </c>
      <c r="F17" s="167">
        <f t="shared" si="3"/>
        <v>0.24702561875814166</v>
      </c>
      <c r="G17" s="168">
        <v>28719</v>
      </c>
      <c r="H17" s="166">
        <f t="shared" si="4"/>
        <v>2.4054982817868976E-2</v>
      </c>
      <c r="I17" s="167">
        <f t="shared" si="5"/>
        <v>4.8632218844983921E-3</v>
      </c>
      <c r="J17" s="168">
        <v>23142</v>
      </c>
      <c r="K17" s="169">
        <f t="shared" si="6"/>
        <v>10918320</v>
      </c>
      <c r="L17" s="170">
        <f t="shared" si="7"/>
        <v>0.20217108119843685</v>
      </c>
      <c r="M17" s="171">
        <v>18374</v>
      </c>
      <c r="N17" s="172">
        <f t="shared" si="8"/>
        <v>54005350</v>
      </c>
      <c r="O17" s="167">
        <f>IF( (P17-M17)*Q17/'مدیریت سرمایه'!B5&gt;0, (P17-M17)*Q17/'مدیریت سرمایه'!B5, "Risk free")</f>
        <v>7.2267027771645079E-3</v>
      </c>
      <c r="P17" s="173">
        <v>23030</v>
      </c>
      <c r="Q17" s="174">
        <v>2345</v>
      </c>
      <c r="R17" s="175" t="s">
        <v>69</v>
      </c>
      <c r="S17" s="32" t="s">
        <v>82</v>
      </c>
      <c r="T17" s="32">
        <v>14</v>
      </c>
    </row>
    <row r="18" spans="2:20" ht="17.399999999999999" thickBot="1" x14ac:dyDescent="0.35">
      <c r="B18" s="166">
        <f t="shared" si="0"/>
        <v>-4.9443609022556387</v>
      </c>
      <c r="C18" s="167">
        <f t="shared" si="1"/>
        <v>-0.99939209726443767</v>
      </c>
      <c r="D18" s="168">
        <v>14</v>
      </c>
      <c r="E18" s="166">
        <f t="shared" si="2"/>
        <v>1.2223415682062297</v>
      </c>
      <c r="F18" s="167">
        <f t="shared" si="3"/>
        <v>0.24706904038211031</v>
      </c>
      <c r="G18" s="168">
        <v>28720</v>
      </c>
      <c r="H18" s="166">
        <f t="shared" si="4"/>
        <v>2.4274973147153794E-2</v>
      </c>
      <c r="I18" s="167">
        <f t="shared" si="5"/>
        <v>4.9066435084672566E-3</v>
      </c>
      <c r="J18" s="168">
        <v>23143</v>
      </c>
      <c r="K18" s="169">
        <f t="shared" si="6"/>
        <v>10915975</v>
      </c>
      <c r="L18" s="170">
        <f t="shared" si="7"/>
        <v>0.2021276595744681</v>
      </c>
      <c r="M18" s="171">
        <v>18375</v>
      </c>
      <c r="N18" s="172">
        <f t="shared" si="8"/>
        <v>54005350</v>
      </c>
      <c r="O18" s="167">
        <f>IF( (P18-M18)*Q18/'مدیریت سرمایه'!B5&gt;0, (P18-M18)*Q18/'مدیریت سرمایه'!B5, "Risk free")</f>
        <v>7.2251506502793777E-3</v>
      </c>
      <c r="P18" s="173">
        <v>23030</v>
      </c>
      <c r="Q18" s="174">
        <v>2345</v>
      </c>
      <c r="R18" s="175" t="s">
        <v>69</v>
      </c>
      <c r="S18" s="32" t="s">
        <v>83</v>
      </c>
      <c r="T18" s="32">
        <v>15</v>
      </c>
    </row>
    <row r="19" spans="2:20" ht="17.399999999999999" thickBot="1" x14ac:dyDescent="0.35">
      <c r="B19" s="166">
        <f t="shared" si="0"/>
        <v>-4.9452084228620539</v>
      </c>
      <c r="C19" s="167">
        <f t="shared" si="1"/>
        <v>-0.99934867564046892</v>
      </c>
      <c r="D19" s="168">
        <v>15</v>
      </c>
      <c r="E19" s="166">
        <f t="shared" si="2"/>
        <v>1.2228190803609795</v>
      </c>
      <c r="F19" s="167">
        <f t="shared" si="3"/>
        <v>0.24711246200607895</v>
      </c>
      <c r="G19" s="168">
        <v>28721</v>
      </c>
      <c r="H19" s="166">
        <f t="shared" si="4"/>
        <v>2.449505801461082E-2</v>
      </c>
      <c r="I19" s="167">
        <f t="shared" si="5"/>
        <v>4.9500651324358991E-3</v>
      </c>
      <c r="J19" s="168">
        <v>23144</v>
      </c>
      <c r="K19" s="169">
        <f t="shared" si="6"/>
        <v>10913630</v>
      </c>
      <c r="L19" s="170">
        <f t="shared" si="7"/>
        <v>0.20208423795049935</v>
      </c>
      <c r="M19" s="171">
        <v>18376</v>
      </c>
      <c r="N19" s="172">
        <f t="shared" si="8"/>
        <v>54005350</v>
      </c>
      <c r="O19" s="167">
        <f>IF( (P19-M19)*Q19/'مدیریت سرمایه'!B5&gt;0, (P19-M19)*Q19/'مدیریت سرمایه'!B5, "Risk free")</f>
        <v>7.2235985233942476E-3</v>
      </c>
      <c r="P19" s="173">
        <v>23030</v>
      </c>
      <c r="Q19" s="174">
        <v>2345</v>
      </c>
      <c r="R19" s="175" t="s">
        <v>69</v>
      </c>
      <c r="S19" s="32" t="s">
        <v>84</v>
      </c>
      <c r="T19" s="32">
        <v>16</v>
      </c>
    </row>
    <row r="20" spans="2:20" ht="17.399999999999999" thickBot="1" x14ac:dyDescent="0.35">
      <c r="B20" s="166">
        <f t="shared" si="0"/>
        <v>-4.9460563077584361</v>
      </c>
      <c r="C20" s="167">
        <f t="shared" si="1"/>
        <v>-0.99930525401650017</v>
      </c>
      <c r="D20" s="168">
        <v>16</v>
      </c>
      <c r="E20" s="166">
        <f t="shared" si="2"/>
        <v>1.2232967977648832</v>
      </c>
      <c r="F20" s="167">
        <f t="shared" si="3"/>
        <v>0.24715588363004781</v>
      </c>
      <c r="G20" s="168">
        <v>28722</v>
      </c>
      <c r="H20" s="166">
        <f t="shared" si="4"/>
        <v>2.4715237481195296E-2</v>
      </c>
      <c r="I20" s="167">
        <f t="shared" si="5"/>
        <v>4.9934867564047636E-3</v>
      </c>
      <c r="J20" s="168">
        <v>23145</v>
      </c>
      <c r="K20" s="169">
        <f t="shared" si="6"/>
        <v>10911285</v>
      </c>
      <c r="L20" s="170">
        <f t="shared" si="7"/>
        <v>0.20204081632653059</v>
      </c>
      <c r="M20" s="171">
        <v>18377</v>
      </c>
      <c r="N20" s="172">
        <f t="shared" si="8"/>
        <v>54005350</v>
      </c>
      <c r="O20" s="167">
        <f>IF( (P20-M20)*Q20/'مدیریت سرمایه'!B5&gt;0, (P20-M20)*Q20/'مدیریت سرمایه'!B5, "Risk free")</f>
        <v>7.2220463965091183E-3</v>
      </c>
      <c r="P20" s="173">
        <v>23030</v>
      </c>
      <c r="Q20" s="174">
        <v>2345</v>
      </c>
      <c r="R20" s="175" t="s">
        <v>69</v>
      </c>
      <c r="S20" s="32" t="s">
        <v>85</v>
      </c>
      <c r="T20" s="32">
        <v>17</v>
      </c>
    </row>
    <row r="21" spans="2:20" ht="17.399999999999999" thickBot="1" x14ac:dyDescent="0.35">
      <c r="B21" s="166">
        <f t="shared" si="0"/>
        <v>-4.9469045571797086</v>
      </c>
      <c r="C21" s="167">
        <f t="shared" si="1"/>
        <v>-0.99926183239253152</v>
      </c>
      <c r="D21" s="168">
        <v>17</v>
      </c>
      <c r="E21" s="166">
        <f t="shared" si="2"/>
        <v>1.2237747205503009</v>
      </c>
      <c r="F21" s="167">
        <f t="shared" si="3"/>
        <v>0.24719930525401645</v>
      </c>
      <c r="G21" s="168">
        <v>28723</v>
      </c>
      <c r="H21" s="166">
        <f t="shared" si="4"/>
        <v>2.4935511607910483E-2</v>
      </c>
      <c r="I21" s="167">
        <f t="shared" si="5"/>
        <v>5.036908380373406E-3</v>
      </c>
      <c r="J21" s="168">
        <v>23146</v>
      </c>
      <c r="K21" s="169">
        <f t="shared" si="6"/>
        <v>10908940</v>
      </c>
      <c r="L21" s="170">
        <f t="shared" si="7"/>
        <v>0.20199739470256184</v>
      </c>
      <c r="M21" s="171">
        <v>18378</v>
      </c>
      <c r="N21" s="172">
        <f t="shared" si="8"/>
        <v>54005350</v>
      </c>
      <c r="O21" s="167">
        <f>IF( (P21-M21)*Q21/'مدیریت سرمایه'!B5&gt;0, (P21-M21)*Q21/'مدیریت سرمایه'!B5, "Risk free")</f>
        <v>7.2204942696239881E-3</v>
      </c>
      <c r="P21" s="173">
        <v>23030</v>
      </c>
      <c r="Q21" s="174">
        <v>2345</v>
      </c>
      <c r="R21" s="175" t="s">
        <v>69</v>
      </c>
      <c r="S21" s="32" t="s">
        <v>86</v>
      </c>
      <c r="T21" s="32">
        <v>18</v>
      </c>
    </row>
    <row r="22" spans="2:20" ht="17.399999999999999" thickBot="1" x14ac:dyDescent="0.35">
      <c r="B22" s="166">
        <f t="shared" si="0"/>
        <v>-4.9477531713609988</v>
      </c>
      <c r="C22" s="167">
        <f t="shared" si="1"/>
        <v>-0.99921841076856277</v>
      </c>
      <c r="D22" s="168">
        <v>18</v>
      </c>
      <c r="E22" s="166">
        <f t="shared" si="2"/>
        <v>1.2242528488497104</v>
      </c>
      <c r="F22" s="167">
        <f t="shared" si="3"/>
        <v>0.24724272687798532</v>
      </c>
      <c r="G22" s="168">
        <v>28724</v>
      </c>
      <c r="H22" s="166">
        <f t="shared" si="4"/>
        <v>2.5155880455816494E-2</v>
      </c>
      <c r="I22" s="167">
        <f t="shared" si="5"/>
        <v>5.0803300043422706E-3</v>
      </c>
      <c r="J22" s="168">
        <v>23147</v>
      </c>
      <c r="K22" s="169">
        <f t="shared" si="6"/>
        <v>10906595</v>
      </c>
      <c r="L22" s="170">
        <f t="shared" si="7"/>
        <v>0.20195397307859309</v>
      </c>
      <c r="M22" s="171">
        <v>18379</v>
      </c>
      <c r="N22" s="172">
        <f t="shared" si="8"/>
        <v>54005350</v>
      </c>
      <c r="O22" s="167">
        <f>IF( (P22-M22)*Q22/'مدیریت سرمایه'!B5&gt;0, (P22-M22)*Q22/'مدیریت سرمایه'!B5, "Risk free")</f>
        <v>7.218942142738858E-3</v>
      </c>
      <c r="P22" s="173">
        <v>23030</v>
      </c>
      <c r="Q22" s="174">
        <v>2345</v>
      </c>
      <c r="R22" s="175" t="s">
        <v>69</v>
      </c>
      <c r="S22" s="32" t="s">
        <v>87</v>
      </c>
      <c r="T22" s="32">
        <v>19</v>
      </c>
    </row>
    <row r="23" spans="2:20" ht="17.399999999999999" thickBot="1" x14ac:dyDescent="0.35">
      <c r="B23" s="166">
        <f t="shared" si="0"/>
        <v>-4.9486021505376332</v>
      </c>
      <c r="C23" s="167">
        <f t="shared" si="1"/>
        <v>-0.99917498914459402</v>
      </c>
      <c r="D23" s="168">
        <v>19</v>
      </c>
      <c r="E23" s="166">
        <f t="shared" si="2"/>
        <v>1.2247311827956986</v>
      </c>
      <c r="F23" s="167">
        <f t="shared" si="3"/>
        <v>0.24728614850195396</v>
      </c>
      <c r="G23" s="168">
        <v>28725</v>
      </c>
      <c r="H23" s="166">
        <f t="shared" si="4"/>
        <v>2.537634408602157E-2</v>
      </c>
      <c r="I23" s="167">
        <f t="shared" si="5"/>
        <v>5.123751628310913E-3</v>
      </c>
      <c r="J23" s="168">
        <v>23148</v>
      </c>
      <c r="K23" s="169">
        <f t="shared" si="6"/>
        <v>10904250</v>
      </c>
      <c r="L23" s="170">
        <f t="shared" si="7"/>
        <v>0.20191055145462444</v>
      </c>
      <c r="M23" s="171">
        <v>18380</v>
      </c>
      <c r="N23" s="172">
        <f t="shared" si="8"/>
        <v>54005350</v>
      </c>
      <c r="O23" s="167">
        <f>IF( (P23-M23)*Q23/'مدیریت سرمایه'!B5&gt;0, (P23-M23)*Q23/'مدیریت سرمایه'!B5, "Risk free")</f>
        <v>7.2173900158537287E-3</v>
      </c>
      <c r="P23" s="173">
        <v>23030</v>
      </c>
      <c r="Q23" s="174">
        <v>2345</v>
      </c>
      <c r="R23" s="175" t="s">
        <v>69</v>
      </c>
      <c r="S23" s="32" t="s">
        <v>88</v>
      </c>
      <c r="T23" s="32">
        <v>20</v>
      </c>
    </row>
    <row r="24" spans="2:20" ht="17.399999999999999" thickBot="1" x14ac:dyDescent="0.35">
      <c r="B24" s="166">
        <f t="shared" si="0"/>
        <v>-4.9494514949451487</v>
      </c>
      <c r="C24" s="167">
        <f t="shared" si="1"/>
        <v>-0.99913156752062526</v>
      </c>
      <c r="D24" s="168">
        <v>20</v>
      </c>
      <c r="E24" s="166">
        <f t="shared" si="2"/>
        <v>1.2252097225209715</v>
      </c>
      <c r="F24" s="167">
        <f t="shared" si="3"/>
        <v>0.2473295701259226</v>
      </c>
      <c r="G24" s="168">
        <v>28726</v>
      </c>
      <c r="H24" s="166">
        <f t="shared" si="4"/>
        <v>2.5596902559689858E-2</v>
      </c>
      <c r="I24" s="167">
        <f t="shared" si="5"/>
        <v>5.1671732522795555E-3</v>
      </c>
      <c r="J24" s="168">
        <v>23149</v>
      </c>
      <c r="K24" s="169">
        <f t="shared" si="6"/>
        <v>10901905</v>
      </c>
      <c r="L24" s="170">
        <f t="shared" si="7"/>
        <v>0.20186712983065569</v>
      </c>
      <c r="M24" s="171">
        <v>18381</v>
      </c>
      <c r="N24" s="172">
        <f t="shared" si="8"/>
        <v>54005350</v>
      </c>
      <c r="O24" s="167">
        <f>IF( (P24-M24)*Q24/'مدیریت سرمایه'!B5&gt;0, (P24-M24)*Q24/'مدیریت سرمایه'!B5, "Risk free")</f>
        <v>7.2158378889685985E-3</v>
      </c>
      <c r="P24" s="173">
        <v>23030</v>
      </c>
      <c r="Q24" s="174">
        <v>2345</v>
      </c>
      <c r="R24" s="175" t="s">
        <v>69</v>
      </c>
      <c r="S24" s="32" t="s">
        <v>89</v>
      </c>
      <c r="T24" s="32">
        <v>21</v>
      </c>
    </row>
    <row r="25" spans="2:20" ht="17.399999999999999" thickBot="1" x14ac:dyDescent="0.35">
      <c r="B25" s="166">
        <f>IF(L25&gt;0, C25/L25,"RF")</f>
        <v>-4.9503012048192767</v>
      </c>
      <c r="C25" s="167">
        <f>(D25/P25)-1</f>
        <v>-0.99908814589665651</v>
      </c>
      <c r="D25" s="168">
        <v>21</v>
      </c>
      <c r="E25" s="166">
        <f>IF(L25&gt;0, F25/L25,"RF")</f>
        <v>1.2256884681583478</v>
      </c>
      <c r="F25" s="167">
        <f>(G25/P25)-1</f>
        <v>0.24737299174989147</v>
      </c>
      <c r="G25" s="168">
        <v>28727</v>
      </c>
      <c r="H25" s="166">
        <f>IF(L25&gt;0, I25/L25,"RF")</f>
        <v>2.5817555938038105E-2</v>
      </c>
      <c r="I25" s="167">
        <f>(J25/P25)-1</f>
        <v>5.21059487624842E-3</v>
      </c>
      <c r="J25" s="168">
        <v>23150</v>
      </c>
      <c r="K25" s="169">
        <f>IF(L25&gt;0, N25-M25*Q25, 0)</f>
        <v>10899560</v>
      </c>
      <c r="L25" s="170">
        <f>IF(1-(M25/P25)&gt;0, 1-(M25/P25), 0)</f>
        <v>0.20182370820668694</v>
      </c>
      <c r="M25" s="171">
        <v>18382</v>
      </c>
      <c r="N25" s="172">
        <f>Q25*P25</f>
        <v>54005350</v>
      </c>
      <c r="O25" s="167">
        <f>IF( (P25-M25)*Q25/'مدیریت سرمایه'!B5&gt;0, (P25-M25)*Q25/'مدیریت سرمایه'!B5, "Risk free")</f>
        <v>7.2142857620834692E-3</v>
      </c>
      <c r="P25" s="173">
        <v>23030</v>
      </c>
      <c r="Q25" s="174">
        <v>2345</v>
      </c>
      <c r="R25" s="175" t="s">
        <v>69</v>
      </c>
      <c r="S25" s="32" t="s">
        <v>95</v>
      </c>
      <c r="T25" s="32">
        <v>22</v>
      </c>
    </row>
    <row r="26" spans="2:20" ht="17.399999999999999" thickBot="1" x14ac:dyDescent="0.35">
      <c r="B26" s="166">
        <f>IF(L26&gt;0, C26/L26,"RF")</f>
        <v>-4.9511512803959548</v>
      </c>
      <c r="C26" s="167">
        <f>(D26/P26)-1</f>
        <v>-0.99904472427268776</v>
      </c>
      <c r="D26" s="168">
        <v>22</v>
      </c>
      <c r="E26" s="166">
        <f>IF(L26&gt;0, F26/L26,"RF")</f>
        <v>1.2261674198407573</v>
      </c>
      <c r="F26" s="167">
        <f>(G26/P26)-1</f>
        <v>0.24741641337386011</v>
      </c>
      <c r="G26" s="168">
        <v>28728</v>
      </c>
      <c r="H26" s="166">
        <f>IF(L26&gt;0, I26/L26,"RF")</f>
        <v>2.6038304282332461E-2</v>
      </c>
      <c r="I26" s="167">
        <f>(J26/P26)-1</f>
        <v>5.2540165002170625E-3</v>
      </c>
      <c r="J26" s="168">
        <v>23151</v>
      </c>
      <c r="K26" s="169">
        <f>IF(L26&gt;0, N26-M26*Q26, 0)</f>
        <v>10897215</v>
      </c>
      <c r="L26" s="170">
        <f>IF(1-(M26/P26)&gt;0, 1-(M26/P26), 0)</f>
        <v>0.20178028658271818</v>
      </c>
      <c r="M26" s="171">
        <v>18383</v>
      </c>
      <c r="N26" s="172">
        <f>Q26*P26</f>
        <v>54005350</v>
      </c>
      <c r="O26" s="167">
        <f>IF( (P26-M26)*Q26/'مدیریت سرمایه'!B5&gt;0, (P26-M26)*Q26/'مدیریت سرمایه'!B5, "Risk free")</f>
        <v>7.2127336351983391E-3</v>
      </c>
      <c r="P26" s="173">
        <v>23030</v>
      </c>
      <c r="Q26" s="174">
        <v>2345</v>
      </c>
      <c r="R26" s="175" t="s">
        <v>69</v>
      </c>
      <c r="S26" s="32" t="s">
        <v>96</v>
      </c>
      <c r="T26" s="32">
        <v>23</v>
      </c>
    </row>
    <row r="27" spans="2:20" ht="17.399999999999999" thickBot="1" x14ac:dyDescent="0.35">
      <c r="B27" s="166">
        <f t="shared" ref="B27:B28" si="9">IF(L27&gt;0, C27/L27,"RF")</f>
        <v>-4.9520017219113228</v>
      </c>
      <c r="C27" s="167">
        <f t="shared" ref="C27:C28" si="10">(D27/P27)-1</f>
        <v>-0.99900130264871911</v>
      </c>
      <c r="D27" s="168">
        <v>23</v>
      </c>
      <c r="E27" s="166">
        <f t="shared" ref="E27:E28" si="11">IF(L27&gt;0, F27/L27,"RF")</f>
        <v>1.2266465777012487</v>
      </c>
      <c r="F27" s="167">
        <f t="shared" ref="F27:F28" si="12">(G27/P27)-1</f>
        <v>0.24745983499782898</v>
      </c>
      <c r="G27" s="168">
        <v>28729</v>
      </c>
      <c r="H27" s="166">
        <f t="shared" ref="H27:H28" si="13">IF(L27&gt;0, I27/L27,"RF")</f>
        <v>2.6259147653896236E-2</v>
      </c>
      <c r="I27" s="167">
        <f t="shared" ref="I27:I28" si="14">(J27/P27)-1</f>
        <v>5.297438124185927E-3</v>
      </c>
      <c r="J27" s="168">
        <v>23152</v>
      </c>
      <c r="K27" s="169">
        <f t="shared" ref="K27:K28" si="15">IF(L27&gt;0, N27-M27*Q27, 0)</f>
        <v>10894870</v>
      </c>
      <c r="L27" s="170">
        <f t="shared" ref="L27:L28" si="16">IF(1-(M27/P27)&gt;0, 1-(M27/P27), 0)</f>
        <v>0.20173686495874943</v>
      </c>
      <c r="M27" s="171">
        <v>18384</v>
      </c>
      <c r="N27" s="172">
        <f t="shared" ref="N27:N28" si="17">Q27*P27</f>
        <v>54005350</v>
      </c>
      <c r="O27" s="167">
        <f>IF( (P27-M27)*Q27/'مدیریت سرمایه'!B5&gt;0, (P27-M27)*Q27/'مدیریت سرمایه'!B5, "Risk free")</f>
        <v>7.2111815083132089E-3</v>
      </c>
      <c r="P27" s="173">
        <v>23030</v>
      </c>
      <c r="Q27" s="174">
        <v>2345</v>
      </c>
      <c r="R27" s="175" t="s">
        <v>69</v>
      </c>
      <c r="S27" s="32" t="s">
        <v>97</v>
      </c>
      <c r="T27" s="32">
        <v>24</v>
      </c>
    </row>
    <row r="28" spans="2:20" ht="17.399999999999999" thickBot="1" x14ac:dyDescent="0.35">
      <c r="B28" s="166">
        <f t="shared" si="9"/>
        <v>-4.9528525296017234</v>
      </c>
      <c r="C28" s="167">
        <f t="shared" si="10"/>
        <v>-0.99895788102475036</v>
      </c>
      <c r="D28" s="168">
        <v>24</v>
      </c>
      <c r="E28" s="166">
        <f t="shared" si="11"/>
        <v>1.2271259418729819</v>
      </c>
      <c r="F28" s="167">
        <f t="shared" si="12"/>
        <v>0.24750325662179762</v>
      </c>
      <c r="G28" s="168">
        <v>28730</v>
      </c>
      <c r="H28" s="166">
        <f t="shared" si="13"/>
        <v>2.6480086114101131E-2</v>
      </c>
      <c r="I28" s="167">
        <f t="shared" si="14"/>
        <v>5.3408597481545694E-3</v>
      </c>
      <c r="J28" s="168">
        <v>23153</v>
      </c>
      <c r="K28" s="169">
        <f t="shared" si="15"/>
        <v>10892525</v>
      </c>
      <c r="L28" s="170">
        <f t="shared" si="16"/>
        <v>0.20169344333478068</v>
      </c>
      <c r="M28" s="171">
        <v>18385</v>
      </c>
      <c r="N28" s="172">
        <f t="shared" si="17"/>
        <v>54005350</v>
      </c>
      <c r="O28" s="167">
        <f>IF( (P28-M28)*Q28/'مدیریت سرمایه'!B5&gt;0, (P28-M28)*Q28/'مدیریت سرمایه'!B5, "Risk free")</f>
        <v>7.2096293814280796E-3</v>
      </c>
      <c r="P28" s="173">
        <v>23030</v>
      </c>
      <c r="Q28" s="174">
        <v>2345</v>
      </c>
      <c r="R28" s="175" t="s">
        <v>69</v>
      </c>
      <c r="S28" s="32" t="s">
        <v>98</v>
      </c>
      <c r="T28" s="32">
        <v>25</v>
      </c>
    </row>
  </sheetData>
  <mergeCells count="9">
    <mergeCell ref="T2:T3"/>
    <mergeCell ref="R2:R3"/>
    <mergeCell ref="Q2:Q3"/>
    <mergeCell ref="N2:N3"/>
    <mergeCell ref="O2:O3"/>
    <mergeCell ref="P2:P3"/>
    <mergeCell ref="S2:S3"/>
    <mergeCell ref="K2:M2"/>
    <mergeCell ref="B2:J2"/>
  </mergeCells>
  <pageMargins left="0.7" right="0.7" top="0.75" bottom="0.75" header="0.3" footer="0.3"/>
  <pageSetup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workbookViewId="0">
      <pane ySplit="3" topLeftCell="A4" activePane="bottomLeft" state="frozen"/>
      <selection pane="bottomLeft" activeCell="I20" sqref="I20"/>
    </sheetView>
  </sheetViews>
  <sheetFormatPr defaultRowHeight="14.4" x14ac:dyDescent="0.3"/>
  <cols>
    <col min="1" max="1" width="2.88671875" customWidth="1"/>
    <col min="2" max="2" width="5.33203125" customWidth="1"/>
    <col min="3" max="3" width="3.6640625" customWidth="1"/>
    <col min="4" max="4" width="5.88671875" customWidth="1"/>
    <col min="7" max="7" width="14.33203125" bestFit="1" customWidth="1"/>
    <col min="8" max="8" width="4.6640625" bestFit="1" customWidth="1"/>
    <col min="10" max="10" width="14.109375" bestFit="1" customWidth="1"/>
    <col min="11" max="11" width="13.44140625" bestFit="1" customWidth="1"/>
    <col min="17" max="17" width="4.44140625" bestFit="1" customWidth="1"/>
    <col min="18" max="18" width="7" bestFit="1" customWidth="1"/>
    <col min="19" max="19" width="7" customWidth="1"/>
    <col min="20" max="20" width="9.44140625" bestFit="1" customWidth="1"/>
  </cols>
  <sheetData>
    <row r="1" spans="1:21" ht="15" thickBot="1" x14ac:dyDescent="0.35"/>
    <row r="2" spans="1:21" ht="19.2" thickBot="1" x14ac:dyDescent="0.35">
      <c r="B2" s="105" t="s">
        <v>8</v>
      </c>
      <c r="C2" s="106"/>
      <c r="D2" s="107"/>
      <c r="E2" s="108" t="s">
        <v>7</v>
      </c>
      <c r="F2" s="105" t="s">
        <v>6</v>
      </c>
      <c r="G2" s="107"/>
      <c r="H2" s="116" t="s">
        <v>5</v>
      </c>
      <c r="I2" s="117"/>
      <c r="J2" s="82" t="s">
        <v>17</v>
      </c>
      <c r="K2" s="83"/>
      <c r="L2" s="110" t="s">
        <v>14</v>
      </c>
      <c r="M2" s="111"/>
      <c r="N2" s="57" t="s">
        <v>4</v>
      </c>
      <c r="O2" s="58"/>
      <c r="P2" s="42" t="s">
        <v>1</v>
      </c>
      <c r="Q2" s="43"/>
      <c r="R2" s="44"/>
      <c r="S2" s="57" t="s">
        <v>36</v>
      </c>
      <c r="T2" s="58"/>
      <c r="U2" s="108" t="s">
        <v>0</v>
      </c>
    </row>
    <row r="3" spans="1:21" ht="19.2" thickBot="1" x14ac:dyDescent="0.35">
      <c r="B3" s="3">
        <v>20</v>
      </c>
      <c r="C3" s="2">
        <v>9</v>
      </c>
      <c r="D3" s="4">
        <v>4</v>
      </c>
      <c r="E3" s="113"/>
      <c r="F3" s="5" t="s">
        <v>13</v>
      </c>
      <c r="G3" s="6" t="s">
        <v>12</v>
      </c>
      <c r="H3" s="26" t="s">
        <v>39</v>
      </c>
      <c r="I3" s="11" t="s">
        <v>40</v>
      </c>
      <c r="J3" s="7" t="s">
        <v>16</v>
      </c>
      <c r="K3" s="7" t="s">
        <v>15</v>
      </c>
      <c r="L3" s="8" t="s">
        <v>3</v>
      </c>
      <c r="M3" s="9" t="s">
        <v>2</v>
      </c>
      <c r="N3" s="24" t="s">
        <v>39</v>
      </c>
      <c r="O3" s="25" t="s">
        <v>40</v>
      </c>
      <c r="P3" s="10" t="s">
        <v>10</v>
      </c>
      <c r="Q3" s="1" t="s">
        <v>11</v>
      </c>
      <c r="R3" s="9" t="s">
        <v>9</v>
      </c>
      <c r="S3" s="24" t="s">
        <v>38</v>
      </c>
      <c r="T3" s="25" t="s">
        <v>37</v>
      </c>
      <c r="U3" s="109"/>
    </row>
    <row r="4" spans="1:21" ht="16.8" customHeight="1" x14ac:dyDescent="0.3">
      <c r="A4" s="27"/>
      <c r="B4" s="84">
        <v>1</v>
      </c>
      <c r="C4" s="63">
        <v>2</v>
      </c>
      <c r="D4" s="86">
        <v>3</v>
      </c>
      <c r="E4" s="76" t="s">
        <v>55</v>
      </c>
      <c r="F4" s="84" t="s">
        <v>56</v>
      </c>
      <c r="G4" s="86" t="s">
        <v>46</v>
      </c>
      <c r="H4" s="101"/>
      <c r="I4" s="103" t="s">
        <v>45</v>
      </c>
      <c r="J4" s="76" t="s">
        <v>57</v>
      </c>
      <c r="K4" s="78" t="s">
        <v>45</v>
      </c>
      <c r="L4" s="84">
        <v>25070</v>
      </c>
      <c r="M4" s="112" t="s">
        <v>58</v>
      </c>
      <c r="N4" s="101"/>
      <c r="O4" s="86" t="s">
        <v>59</v>
      </c>
      <c r="P4" s="84" t="s">
        <v>60</v>
      </c>
      <c r="Q4" s="63" t="s">
        <v>61</v>
      </c>
      <c r="R4" s="65" t="s">
        <v>62</v>
      </c>
      <c r="S4" s="59" t="s">
        <v>44</v>
      </c>
      <c r="T4" s="114" t="s">
        <v>43</v>
      </c>
      <c r="U4" s="80" t="s">
        <v>42</v>
      </c>
    </row>
    <row r="5" spans="1:21" ht="17.399999999999999" customHeight="1" thickBot="1" x14ac:dyDescent="0.35">
      <c r="A5" s="27"/>
      <c r="B5" s="85"/>
      <c r="C5" s="64"/>
      <c r="D5" s="87"/>
      <c r="E5" s="77"/>
      <c r="F5" s="85"/>
      <c r="G5" s="87"/>
      <c r="H5" s="102"/>
      <c r="I5" s="104"/>
      <c r="J5" s="77"/>
      <c r="K5" s="79"/>
      <c r="L5" s="85"/>
      <c r="M5" s="87"/>
      <c r="N5" s="102"/>
      <c r="O5" s="87"/>
      <c r="P5" s="85"/>
      <c r="Q5" s="64"/>
      <c r="R5" s="66"/>
      <c r="S5" s="60"/>
      <c r="T5" s="115"/>
      <c r="U5" s="94"/>
    </row>
    <row r="6" spans="1:21" ht="14.4" customHeight="1" x14ac:dyDescent="0.3">
      <c r="A6" s="27"/>
      <c r="B6" s="90">
        <v>1</v>
      </c>
      <c r="C6" s="69">
        <v>2</v>
      </c>
      <c r="D6" s="92">
        <v>3</v>
      </c>
      <c r="E6" s="95" t="s">
        <v>53</v>
      </c>
      <c r="F6" s="90" t="s">
        <v>52</v>
      </c>
      <c r="G6" s="92" t="s">
        <v>46</v>
      </c>
      <c r="H6" s="53"/>
      <c r="I6" s="73" t="s">
        <v>45</v>
      </c>
      <c r="J6" s="95" t="s">
        <v>45</v>
      </c>
      <c r="K6" s="97" t="s">
        <v>45</v>
      </c>
      <c r="L6" s="90" t="s">
        <v>63</v>
      </c>
      <c r="M6" s="92">
        <v>25070</v>
      </c>
      <c r="N6" s="53"/>
      <c r="O6" s="73" t="s">
        <v>45</v>
      </c>
      <c r="P6" s="90" t="s">
        <v>45</v>
      </c>
      <c r="Q6" s="69" t="s">
        <v>64</v>
      </c>
      <c r="R6" s="67" t="s">
        <v>65</v>
      </c>
      <c r="S6" s="61" t="s">
        <v>51</v>
      </c>
      <c r="T6" s="99" t="s">
        <v>50</v>
      </c>
      <c r="U6" s="88" t="s">
        <v>49</v>
      </c>
    </row>
    <row r="7" spans="1:21" ht="15" customHeight="1" thickBot="1" x14ac:dyDescent="0.35">
      <c r="A7" s="27"/>
      <c r="B7" s="91"/>
      <c r="C7" s="70"/>
      <c r="D7" s="93"/>
      <c r="E7" s="96"/>
      <c r="F7" s="91"/>
      <c r="G7" s="93"/>
      <c r="H7" s="54"/>
      <c r="I7" s="74"/>
      <c r="J7" s="96"/>
      <c r="K7" s="98"/>
      <c r="L7" s="91"/>
      <c r="M7" s="93"/>
      <c r="N7" s="54"/>
      <c r="O7" s="74"/>
      <c r="P7" s="91"/>
      <c r="Q7" s="70"/>
      <c r="R7" s="68"/>
      <c r="S7" s="62"/>
      <c r="T7" s="100"/>
      <c r="U7" s="89"/>
    </row>
    <row r="8" spans="1:21" ht="14.4" customHeight="1" x14ac:dyDescent="0.3">
      <c r="A8" s="27"/>
      <c r="B8" s="84"/>
      <c r="C8" s="63"/>
      <c r="D8" s="86"/>
      <c r="E8" s="76"/>
      <c r="F8" s="84"/>
      <c r="G8" s="86"/>
      <c r="H8" s="55"/>
      <c r="I8" s="71"/>
      <c r="J8" s="76"/>
      <c r="K8" s="78"/>
      <c r="L8" s="84"/>
      <c r="M8" s="86"/>
      <c r="N8" s="55"/>
      <c r="O8" s="71"/>
      <c r="P8" s="84"/>
      <c r="Q8" s="63"/>
      <c r="R8" s="65"/>
      <c r="S8" s="55"/>
      <c r="T8" s="71"/>
      <c r="U8" s="80"/>
    </row>
    <row r="9" spans="1:21" ht="15" customHeight="1" thickBot="1" x14ac:dyDescent="0.35">
      <c r="A9" s="27"/>
      <c r="B9" s="85"/>
      <c r="C9" s="64"/>
      <c r="D9" s="87"/>
      <c r="E9" s="77"/>
      <c r="F9" s="85"/>
      <c r="G9" s="87"/>
      <c r="H9" s="56"/>
      <c r="I9" s="72"/>
      <c r="J9" s="77"/>
      <c r="K9" s="79"/>
      <c r="L9" s="85"/>
      <c r="M9" s="87"/>
      <c r="N9" s="56"/>
      <c r="O9" s="72"/>
      <c r="P9" s="85"/>
      <c r="Q9" s="64"/>
      <c r="R9" s="66"/>
      <c r="S9" s="56"/>
      <c r="T9" s="72"/>
      <c r="U9" s="94"/>
    </row>
    <row r="10" spans="1:21" ht="14.4" customHeight="1" x14ac:dyDescent="0.3">
      <c r="A10" s="27"/>
      <c r="B10" s="90"/>
      <c r="C10" s="69"/>
      <c r="D10" s="92"/>
      <c r="E10" s="95"/>
      <c r="F10" s="90"/>
      <c r="G10" s="92"/>
      <c r="H10" s="53"/>
      <c r="I10" s="73"/>
      <c r="J10" s="95"/>
      <c r="K10" s="97"/>
      <c r="L10" s="90"/>
      <c r="M10" s="92"/>
      <c r="N10" s="53"/>
      <c r="O10" s="73"/>
      <c r="P10" s="90"/>
      <c r="Q10" s="69"/>
      <c r="R10" s="67"/>
      <c r="S10" s="53"/>
      <c r="T10" s="73"/>
      <c r="U10" s="88"/>
    </row>
    <row r="11" spans="1:21" ht="15" customHeight="1" thickBot="1" x14ac:dyDescent="0.35">
      <c r="A11" s="27"/>
      <c r="B11" s="91"/>
      <c r="C11" s="70"/>
      <c r="D11" s="93"/>
      <c r="E11" s="96"/>
      <c r="F11" s="91"/>
      <c r="G11" s="93"/>
      <c r="H11" s="54"/>
      <c r="I11" s="74"/>
      <c r="J11" s="96"/>
      <c r="K11" s="98"/>
      <c r="L11" s="91"/>
      <c r="M11" s="93"/>
      <c r="N11" s="54"/>
      <c r="O11" s="74"/>
      <c r="P11" s="91"/>
      <c r="Q11" s="70"/>
      <c r="R11" s="68"/>
      <c r="S11" s="54"/>
      <c r="T11" s="74"/>
      <c r="U11" s="89"/>
    </row>
    <row r="12" spans="1:21" ht="14.4" customHeight="1" x14ac:dyDescent="0.3">
      <c r="A12" s="27"/>
      <c r="B12" s="84"/>
      <c r="C12" s="63"/>
      <c r="D12" s="86"/>
      <c r="E12" s="76"/>
      <c r="F12" s="84"/>
      <c r="G12" s="86"/>
      <c r="H12" s="55"/>
      <c r="I12" s="71"/>
      <c r="J12" s="76"/>
      <c r="K12" s="78"/>
      <c r="L12" s="84"/>
      <c r="M12" s="86"/>
      <c r="N12" s="55"/>
      <c r="O12" s="71"/>
      <c r="P12" s="84"/>
      <c r="Q12" s="63"/>
      <c r="R12" s="65"/>
      <c r="S12" s="55"/>
      <c r="T12" s="71"/>
      <c r="U12" s="80"/>
    </row>
    <row r="13" spans="1:21" ht="15" customHeight="1" thickBot="1" x14ac:dyDescent="0.35">
      <c r="A13" s="27"/>
      <c r="B13" s="85"/>
      <c r="C13" s="64"/>
      <c r="D13" s="87"/>
      <c r="E13" s="77"/>
      <c r="F13" s="85"/>
      <c r="G13" s="87"/>
      <c r="H13" s="56"/>
      <c r="I13" s="72"/>
      <c r="J13" s="77"/>
      <c r="K13" s="79"/>
      <c r="L13" s="85"/>
      <c r="M13" s="87"/>
      <c r="N13" s="56"/>
      <c r="O13" s="72"/>
      <c r="P13" s="85"/>
      <c r="Q13" s="64"/>
      <c r="R13" s="66"/>
      <c r="S13" s="56"/>
      <c r="T13" s="72"/>
      <c r="U13" s="94"/>
    </row>
    <row r="14" spans="1:21" ht="14.4" customHeight="1" x14ac:dyDescent="0.3">
      <c r="A14" s="27"/>
      <c r="B14" s="90"/>
      <c r="C14" s="69"/>
      <c r="D14" s="92"/>
      <c r="E14" s="95"/>
      <c r="F14" s="90"/>
      <c r="G14" s="92"/>
      <c r="H14" s="53"/>
      <c r="I14" s="73"/>
      <c r="J14" s="95"/>
      <c r="K14" s="97"/>
      <c r="L14" s="90"/>
      <c r="M14" s="92"/>
      <c r="N14" s="53"/>
      <c r="O14" s="73"/>
      <c r="P14" s="90"/>
      <c r="Q14" s="69"/>
      <c r="R14" s="67"/>
      <c r="S14" s="53"/>
      <c r="T14" s="73"/>
      <c r="U14" s="88"/>
    </row>
    <row r="15" spans="1:21" ht="15" customHeight="1" thickBot="1" x14ac:dyDescent="0.35">
      <c r="A15" s="27"/>
      <c r="B15" s="91"/>
      <c r="C15" s="70"/>
      <c r="D15" s="93"/>
      <c r="E15" s="96"/>
      <c r="F15" s="91"/>
      <c r="G15" s="93"/>
      <c r="H15" s="54"/>
      <c r="I15" s="74"/>
      <c r="J15" s="96"/>
      <c r="K15" s="98"/>
      <c r="L15" s="91"/>
      <c r="M15" s="93"/>
      <c r="N15" s="54"/>
      <c r="O15" s="74"/>
      <c r="P15" s="91"/>
      <c r="Q15" s="70"/>
      <c r="R15" s="68"/>
      <c r="S15" s="54"/>
      <c r="T15" s="74"/>
      <c r="U15" s="89"/>
    </row>
    <row r="16" spans="1:21" ht="14.4" customHeight="1" x14ac:dyDescent="0.3">
      <c r="A16" s="27"/>
      <c r="B16" s="84"/>
      <c r="C16" s="63"/>
      <c r="D16" s="86"/>
      <c r="E16" s="76"/>
      <c r="F16" s="84"/>
      <c r="G16" s="86"/>
      <c r="H16" s="55"/>
      <c r="I16" s="71"/>
      <c r="J16" s="76"/>
      <c r="K16" s="78"/>
      <c r="L16" s="84"/>
      <c r="M16" s="86"/>
      <c r="N16" s="55"/>
      <c r="O16" s="71"/>
      <c r="P16" s="84"/>
      <c r="Q16" s="63"/>
      <c r="R16" s="65"/>
      <c r="S16" s="55"/>
      <c r="T16" s="71"/>
      <c r="U16" s="80"/>
    </row>
    <row r="17" spans="1:21" ht="15" customHeight="1" thickBot="1" x14ac:dyDescent="0.35">
      <c r="A17" s="27"/>
      <c r="B17" s="85"/>
      <c r="C17" s="64"/>
      <c r="D17" s="87"/>
      <c r="E17" s="77"/>
      <c r="F17" s="85"/>
      <c r="G17" s="87"/>
      <c r="H17" s="56"/>
      <c r="I17" s="75"/>
      <c r="J17" s="77"/>
      <c r="K17" s="79"/>
      <c r="L17" s="85"/>
      <c r="M17" s="87"/>
      <c r="N17" s="56"/>
      <c r="O17" s="75"/>
      <c r="P17" s="85"/>
      <c r="Q17" s="64"/>
      <c r="R17" s="66"/>
      <c r="S17" s="56"/>
      <c r="T17" s="75"/>
      <c r="U17" s="81"/>
    </row>
    <row r="18" spans="1:21" x14ac:dyDescent="0.3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8"/>
    </row>
    <row r="25" spans="1:21" x14ac:dyDescent="0.3">
      <c r="P25" s="12"/>
    </row>
    <row r="28" spans="1:21" x14ac:dyDescent="0.3">
      <c r="P28" s="12"/>
    </row>
  </sheetData>
  <mergeCells count="150">
    <mergeCell ref="U4:U5"/>
    <mergeCell ref="B4:B5"/>
    <mergeCell ref="C4:C5"/>
    <mergeCell ref="D4:D5"/>
    <mergeCell ref="E4:E5"/>
    <mergeCell ref="F4:F5"/>
    <mergeCell ref="G4:G5"/>
    <mergeCell ref="I4:I5"/>
    <mergeCell ref="B2:D2"/>
    <mergeCell ref="F2:G2"/>
    <mergeCell ref="P2:R2"/>
    <mergeCell ref="U2:U3"/>
    <mergeCell ref="Q4:Q5"/>
    <mergeCell ref="R4:R5"/>
    <mergeCell ref="L2:M2"/>
    <mergeCell ref="L4:L5"/>
    <mergeCell ref="M4:M5"/>
    <mergeCell ref="O4:O5"/>
    <mergeCell ref="P4:P5"/>
    <mergeCell ref="E2:E3"/>
    <mergeCell ref="T4:T5"/>
    <mergeCell ref="N2:O2"/>
    <mergeCell ref="N4:N5"/>
    <mergeCell ref="H2:I2"/>
    <mergeCell ref="D6:D7"/>
    <mergeCell ref="E6:E7"/>
    <mergeCell ref="F6:F7"/>
    <mergeCell ref="G6:G7"/>
    <mergeCell ref="I6:I7"/>
    <mergeCell ref="J4:J5"/>
    <mergeCell ref="K4:K5"/>
    <mergeCell ref="H4:H5"/>
    <mergeCell ref="H6:H7"/>
    <mergeCell ref="U6:U7"/>
    <mergeCell ref="B8:B9"/>
    <mergeCell ref="C8:C9"/>
    <mergeCell ref="D8:D9"/>
    <mergeCell ref="E8:E9"/>
    <mergeCell ref="F8:F9"/>
    <mergeCell ref="G8:G9"/>
    <mergeCell ref="I8:I9"/>
    <mergeCell ref="J6:J7"/>
    <mergeCell ref="K6:K7"/>
    <mergeCell ref="L6:L7"/>
    <mergeCell ref="M6:M7"/>
    <mergeCell ref="O6:O7"/>
    <mergeCell ref="P6:P7"/>
    <mergeCell ref="Q8:Q9"/>
    <mergeCell ref="R8:R9"/>
    <mergeCell ref="U8:U9"/>
    <mergeCell ref="L8:L9"/>
    <mergeCell ref="M8:M9"/>
    <mergeCell ref="O8:O9"/>
    <mergeCell ref="P8:P9"/>
    <mergeCell ref="T6:T7"/>
    <mergeCell ref="B6:B7"/>
    <mergeCell ref="C6:C7"/>
    <mergeCell ref="U10:U11"/>
    <mergeCell ref="B12:B13"/>
    <mergeCell ref="C12:C13"/>
    <mergeCell ref="D12:D13"/>
    <mergeCell ref="E12:E13"/>
    <mergeCell ref="F12:F13"/>
    <mergeCell ref="G12:G13"/>
    <mergeCell ref="I12:I13"/>
    <mergeCell ref="J10:J11"/>
    <mergeCell ref="K10:K11"/>
    <mergeCell ref="L10:L11"/>
    <mergeCell ref="M10:M11"/>
    <mergeCell ref="O10:O11"/>
    <mergeCell ref="P10:P11"/>
    <mergeCell ref="B10:B11"/>
    <mergeCell ref="C10:C11"/>
    <mergeCell ref="D10:D11"/>
    <mergeCell ref="E10:E11"/>
    <mergeCell ref="F10:F11"/>
    <mergeCell ref="G10:G11"/>
    <mergeCell ref="I10:I11"/>
    <mergeCell ref="B16:B17"/>
    <mergeCell ref="C16:C17"/>
    <mergeCell ref="D16:D17"/>
    <mergeCell ref="E16:E17"/>
    <mergeCell ref="F16:F17"/>
    <mergeCell ref="G16:G17"/>
    <mergeCell ref="I16:I17"/>
    <mergeCell ref="J14:J15"/>
    <mergeCell ref="K14:K15"/>
    <mergeCell ref="B14:B15"/>
    <mergeCell ref="C14:C15"/>
    <mergeCell ref="D14:D15"/>
    <mergeCell ref="E14:E15"/>
    <mergeCell ref="F14:F15"/>
    <mergeCell ref="G14:G15"/>
    <mergeCell ref="I14:I15"/>
    <mergeCell ref="U16:U17"/>
    <mergeCell ref="J2:K2"/>
    <mergeCell ref="J16:J17"/>
    <mergeCell ref="K16:K17"/>
    <mergeCell ref="L16:L17"/>
    <mergeCell ref="M16:M17"/>
    <mergeCell ref="O16:O17"/>
    <mergeCell ref="P16:P17"/>
    <mergeCell ref="Q14:Q15"/>
    <mergeCell ref="R14:R15"/>
    <mergeCell ref="U14:U15"/>
    <mergeCell ref="L14:L15"/>
    <mergeCell ref="M14:M15"/>
    <mergeCell ref="O14:O15"/>
    <mergeCell ref="P14:P15"/>
    <mergeCell ref="Q12:Q13"/>
    <mergeCell ref="R12:R13"/>
    <mergeCell ref="U12:U13"/>
    <mergeCell ref="J12:J13"/>
    <mergeCell ref="K12:K13"/>
    <mergeCell ref="L12:L13"/>
    <mergeCell ref="M12:M13"/>
    <mergeCell ref="P12:P13"/>
    <mergeCell ref="Q10:Q11"/>
    <mergeCell ref="H8:H9"/>
    <mergeCell ref="H10:H11"/>
    <mergeCell ref="H12:H13"/>
    <mergeCell ref="H14:H15"/>
    <mergeCell ref="H16:H17"/>
    <mergeCell ref="T8:T9"/>
    <mergeCell ref="T10:T11"/>
    <mergeCell ref="T12:T13"/>
    <mergeCell ref="T14:T15"/>
    <mergeCell ref="T16:T17"/>
    <mergeCell ref="O12:O13"/>
    <mergeCell ref="J8:J9"/>
    <mergeCell ref="K8:K9"/>
    <mergeCell ref="N6:N7"/>
    <mergeCell ref="N8:N9"/>
    <mergeCell ref="N10:N11"/>
    <mergeCell ref="N12:N13"/>
    <mergeCell ref="N14:N15"/>
    <mergeCell ref="N16:N17"/>
    <mergeCell ref="S2:T2"/>
    <mergeCell ref="S4:S5"/>
    <mergeCell ref="S6:S7"/>
    <mergeCell ref="S8:S9"/>
    <mergeCell ref="S16:S17"/>
    <mergeCell ref="S10:S11"/>
    <mergeCell ref="S12:S13"/>
    <mergeCell ref="S14:S15"/>
    <mergeCell ref="Q16:Q17"/>
    <mergeCell ref="R16:R17"/>
    <mergeCell ref="R10:R11"/>
    <mergeCell ref="Q6:Q7"/>
    <mergeCell ref="R6:R7"/>
  </mergeCells>
  <hyperlinks>
    <hyperlink ref="T4:T5" r:id="rId1" display="tot_990106.png"/>
    <hyperlink ref="S4:S5" r:id="rId2" display="sig_990106.png"/>
    <hyperlink ref="T6:T7" r:id="rId3" display="tot_990112.png"/>
    <hyperlink ref="S6:S7" r:id="rId4" display="tech_990112.png"/>
  </hyperlinks>
  <pageMargins left="0.7" right="0.7" top="0.75" bottom="0.75" header="0.3" footer="0.3"/>
  <pageSetup orientation="portrait" horizontalDpi="300" verticalDpi="0" copies="0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1"/>
  <sheetViews>
    <sheetView workbookViewId="0">
      <selection activeCell="L4" sqref="L4:L5"/>
    </sheetView>
  </sheetViews>
  <sheetFormatPr defaultRowHeight="14.4" x14ac:dyDescent="0.3"/>
  <cols>
    <col min="2" max="2" width="5.5546875" bestFit="1" customWidth="1"/>
    <col min="5" max="5" width="5.33203125" bestFit="1" customWidth="1"/>
    <col min="8" max="8" width="4.33203125" bestFit="1" customWidth="1"/>
    <col min="11" max="11" width="10.21875" bestFit="1" customWidth="1"/>
    <col min="13" max="13" width="11.44140625" bestFit="1" customWidth="1"/>
    <col min="14" max="14" width="15.6640625" bestFit="1" customWidth="1"/>
    <col min="15" max="15" width="15.6640625" customWidth="1"/>
    <col min="16" max="16" width="13.44140625" bestFit="1" customWidth="1"/>
    <col min="17" max="17" width="8.77734375" bestFit="1" customWidth="1"/>
    <col min="18" max="19" width="8.77734375" customWidth="1"/>
    <col min="20" max="20" width="10.33203125" customWidth="1"/>
  </cols>
  <sheetData>
    <row r="1" spans="2:20" ht="15" thickBot="1" x14ac:dyDescent="0.35"/>
    <row r="2" spans="2:20" ht="19.2" thickBot="1" x14ac:dyDescent="0.35">
      <c r="B2" s="42" t="s">
        <v>18</v>
      </c>
      <c r="C2" s="43"/>
      <c r="D2" s="43"/>
      <c r="E2" s="43"/>
      <c r="F2" s="43"/>
      <c r="G2" s="43"/>
      <c r="H2" s="43"/>
      <c r="I2" s="43"/>
      <c r="J2" s="44"/>
      <c r="K2" s="105" t="s">
        <v>19</v>
      </c>
      <c r="L2" s="107"/>
      <c r="M2" s="45" t="s">
        <v>20</v>
      </c>
      <c r="N2" s="46" t="s">
        <v>21</v>
      </c>
      <c r="O2" s="48" t="s">
        <v>31</v>
      </c>
      <c r="P2" s="46" t="s">
        <v>32</v>
      </c>
      <c r="Q2" s="51" t="s">
        <v>23</v>
      </c>
      <c r="R2" s="57" t="s">
        <v>40</v>
      </c>
      <c r="S2" s="58"/>
      <c r="T2" s="118" t="s">
        <v>0</v>
      </c>
    </row>
    <row r="3" spans="2:20" ht="18.600000000000001" customHeight="1" thickBot="1" x14ac:dyDescent="0.35">
      <c r="B3" s="18" t="s">
        <v>26</v>
      </c>
      <c r="C3" s="19" t="s">
        <v>25</v>
      </c>
      <c r="D3" s="22" t="s">
        <v>28</v>
      </c>
      <c r="E3" s="23" t="s">
        <v>26</v>
      </c>
      <c r="F3" s="17" t="s">
        <v>25</v>
      </c>
      <c r="G3" s="20" t="s">
        <v>27</v>
      </c>
      <c r="H3" s="21" t="s">
        <v>26</v>
      </c>
      <c r="I3" s="15" t="s">
        <v>25</v>
      </c>
      <c r="J3" s="16" t="s">
        <v>24</v>
      </c>
      <c r="K3" s="14" t="s">
        <v>30</v>
      </c>
      <c r="L3" s="13" t="s">
        <v>29</v>
      </c>
      <c r="M3" s="45"/>
      <c r="N3" s="46"/>
      <c r="O3" s="48"/>
      <c r="P3" s="46"/>
      <c r="Q3" s="51"/>
      <c r="R3" s="24" t="s">
        <v>36</v>
      </c>
      <c r="S3" s="25" t="s">
        <v>41</v>
      </c>
      <c r="T3" s="118"/>
    </row>
    <row r="4" spans="2:20" ht="15" customHeight="1" thickBot="1" x14ac:dyDescent="0.35">
      <c r="B4" s="40">
        <f>IF(K4&gt;0, C4/K4,"RF")</f>
        <v>-9.9261059795819158</v>
      </c>
      <c r="C4" s="41">
        <f>(D4/P4)-1</f>
        <v>-1</v>
      </c>
      <c r="D4" s="39">
        <v>0</v>
      </c>
      <c r="E4" s="40">
        <f>IF(K4&gt;0, F4/K4,"RF")</f>
        <v>4.124939231891104</v>
      </c>
      <c r="F4" s="41">
        <f>(G4/P4)-1</f>
        <v>0.41556469781565286</v>
      </c>
      <c r="G4" s="39">
        <v>28903</v>
      </c>
      <c r="H4" s="40">
        <f>IF(K4&gt;0, I4/K4,"RF")</f>
        <v>3.068546426835197</v>
      </c>
      <c r="I4" s="41">
        <f>(J4/P4)-1</f>
        <v>0.30913899500440789</v>
      </c>
      <c r="J4" s="39">
        <v>26730</v>
      </c>
      <c r="K4" s="120">
        <f>IF(1-(L4/P4)&gt;0, 1-(L4/P4), 0)</f>
        <v>0.10074444117935155</v>
      </c>
      <c r="L4" s="35">
        <v>18361</v>
      </c>
      <c r="M4" s="49">
        <f>P4*Q4</f>
        <v>69543708</v>
      </c>
      <c r="N4" s="41">
        <f>IF( (P4-L4)*Q4/O4&gt;0, (P4-L4)*Q4/O4, "Risk free")</f>
        <v>1.1120860317460318E-2</v>
      </c>
      <c r="O4" s="50">
        <v>630000000</v>
      </c>
      <c r="P4" s="50">
        <v>20418</v>
      </c>
      <c r="Q4" s="119">
        <v>3406</v>
      </c>
      <c r="R4" s="59" t="s">
        <v>44</v>
      </c>
      <c r="S4" s="103" t="s">
        <v>47</v>
      </c>
      <c r="T4" s="52" t="s">
        <v>42</v>
      </c>
    </row>
    <row r="5" spans="2:20" ht="15" customHeight="1" thickBot="1" x14ac:dyDescent="0.35">
      <c r="B5" s="40"/>
      <c r="C5" s="41"/>
      <c r="D5" s="39"/>
      <c r="E5" s="40"/>
      <c r="F5" s="41"/>
      <c r="G5" s="39"/>
      <c r="H5" s="40"/>
      <c r="I5" s="41"/>
      <c r="J5" s="39"/>
      <c r="K5" s="120"/>
      <c r="L5" s="35"/>
      <c r="M5" s="49"/>
      <c r="N5" s="41"/>
      <c r="O5" s="50"/>
      <c r="P5" s="50"/>
      <c r="Q5" s="119"/>
      <c r="R5" s="60"/>
      <c r="S5" s="104"/>
      <c r="T5" s="52"/>
    </row>
    <row r="6" spans="2:20" ht="15" customHeight="1" thickBot="1" x14ac:dyDescent="0.35">
      <c r="B6" s="40"/>
      <c r="C6" s="41"/>
      <c r="D6" s="39"/>
      <c r="E6" s="40"/>
      <c r="F6" s="41"/>
      <c r="G6" s="39"/>
      <c r="H6" s="40"/>
      <c r="I6" s="41"/>
      <c r="J6" s="39"/>
      <c r="K6" s="120"/>
      <c r="L6" s="35"/>
      <c r="M6" s="49"/>
      <c r="N6" s="41"/>
      <c r="O6" s="50"/>
      <c r="P6" s="50"/>
      <c r="Q6" s="119"/>
      <c r="R6" s="121"/>
      <c r="S6" s="103"/>
      <c r="T6" s="52"/>
    </row>
    <row r="7" spans="2:20" ht="15" customHeight="1" thickBot="1" x14ac:dyDescent="0.35">
      <c r="B7" s="40"/>
      <c r="C7" s="41"/>
      <c r="D7" s="39"/>
      <c r="E7" s="40"/>
      <c r="F7" s="41"/>
      <c r="G7" s="39"/>
      <c r="H7" s="40"/>
      <c r="I7" s="41"/>
      <c r="J7" s="39"/>
      <c r="K7" s="120"/>
      <c r="L7" s="35"/>
      <c r="M7" s="49"/>
      <c r="N7" s="41"/>
      <c r="O7" s="50"/>
      <c r="P7" s="50"/>
      <c r="Q7" s="119"/>
      <c r="R7" s="122"/>
      <c r="S7" s="104"/>
      <c r="T7" s="52"/>
    </row>
    <row r="8" spans="2:20" ht="15" customHeight="1" x14ac:dyDescent="0.3">
      <c r="B8" s="123"/>
      <c r="C8" s="125"/>
      <c r="D8" s="127"/>
      <c r="E8" s="123"/>
      <c r="F8" s="125"/>
      <c r="G8" s="127"/>
      <c r="H8" s="123"/>
      <c r="I8" s="125"/>
      <c r="J8" s="127"/>
      <c r="K8" s="123"/>
      <c r="L8" s="127"/>
      <c r="M8" s="123"/>
      <c r="N8" s="125"/>
      <c r="O8" s="125"/>
      <c r="P8" s="125"/>
      <c r="Q8" s="127"/>
      <c r="R8" s="137"/>
      <c r="S8" s="71"/>
      <c r="T8" s="129"/>
    </row>
    <row r="9" spans="2:20" ht="15" customHeight="1" thickBot="1" x14ac:dyDescent="0.35">
      <c r="B9" s="124"/>
      <c r="C9" s="126"/>
      <c r="D9" s="128"/>
      <c r="E9" s="124"/>
      <c r="F9" s="126"/>
      <c r="G9" s="128"/>
      <c r="H9" s="124"/>
      <c r="I9" s="126"/>
      <c r="J9" s="128"/>
      <c r="K9" s="124"/>
      <c r="L9" s="128"/>
      <c r="M9" s="124"/>
      <c r="N9" s="126"/>
      <c r="O9" s="126"/>
      <c r="P9" s="126"/>
      <c r="Q9" s="128"/>
      <c r="R9" s="138"/>
      <c r="S9" s="72"/>
      <c r="T9" s="130"/>
    </row>
    <row r="10" spans="2:20" ht="15" customHeight="1" x14ac:dyDescent="0.3">
      <c r="B10" s="131"/>
      <c r="C10" s="133"/>
      <c r="D10" s="135"/>
      <c r="E10" s="131"/>
      <c r="F10" s="133"/>
      <c r="G10" s="135"/>
      <c r="H10" s="131"/>
      <c r="I10" s="133"/>
      <c r="J10" s="135"/>
      <c r="K10" s="131"/>
      <c r="L10" s="135"/>
      <c r="M10" s="131"/>
      <c r="N10" s="133"/>
      <c r="O10" s="133"/>
      <c r="P10" s="133"/>
      <c r="Q10" s="135"/>
      <c r="R10" s="141"/>
      <c r="S10" s="143"/>
      <c r="T10" s="139"/>
    </row>
    <row r="11" spans="2:20" ht="15" customHeight="1" thickBot="1" x14ac:dyDescent="0.35">
      <c r="B11" s="132"/>
      <c r="C11" s="134"/>
      <c r="D11" s="136"/>
      <c r="E11" s="132"/>
      <c r="F11" s="134"/>
      <c r="G11" s="136"/>
      <c r="H11" s="132"/>
      <c r="I11" s="134"/>
      <c r="J11" s="136"/>
      <c r="K11" s="132"/>
      <c r="L11" s="136"/>
      <c r="M11" s="132"/>
      <c r="N11" s="134"/>
      <c r="O11" s="134"/>
      <c r="P11" s="134"/>
      <c r="Q11" s="136"/>
      <c r="R11" s="142"/>
      <c r="S11" s="144"/>
      <c r="T11" s="140"/>
    </row>
    <row r="12" spans="2:20" ht="15" customHeight="1" x14ac:dyDescent="0.3">
      <c r="B12" s="123"/>
      <c r="C12" s="125"/>
      <c r="D12" s="127"/>
      <c r="E12" s="123"/>
      <c r="F12" s="125"/>
      <c r="G12" s="127"/>
      <c r="H12" s="123"/>
      <c r="I12" s="125"/>
      <c r="J12" s="127"/>
      <c r="K12" s="123"/>
      <c r="L12" s="127"/>
      <c r="M12" s="123"/>
      <c r="N12" s="125"/>
      <c r="O12" s="125"/>
      <c r="P12" s="125"/>
      <c r="Q12" s="127"/>
      <c r="R12" s="137"/>
      <c r="S12" s="145"/>
      <c r="T12" s="129"/>
    </row>
    <row r="13" spans="2:20" ht="15" customHeight="1" thickBot="1" x14ac:dyDescent="0.35">
      <c r="B13" s="124"/>
      <c r="C13" s="126"/>
      <c r="D13" s="128"/>
      <c r="E13" s="124"/>
      <c r="F13" s="126"/>
      <c r="G13" s="128"/>
      <c r="H13" s="124"/>
      <c r="I13" s="126"/>
      <c r="J13" s="128"/>
      <c r="K13" s="124"/>
      <c r="L13" s="128"/>
      <c r="M13" s="124"/>
      <c r="N13" s="126"/>
      <c r="O13" s="126"/>
      <c r="P13" s="126"/>
      <c r="Q13" s="128"/>
      <c r="R13" s="138"/>
      <c r="S13" s="146"/>
      <c r="T13" s="130"/>
    </row>
    <row r="14" spans="2:20" ht="15" customHeight="1" x14ac:dyDescent="0.3">
      <c r="B14" s="131"/>
      <c r="C14" s="133"/>
      <c r="D14" s="135"/>
      <c r="E14" s="131"/>
      <c r="F14" s="133"/>
      <c r="G14" s="135"/>
      <c r="H14" s="131"/>
      <c r="I14" s="133"/>
      <c r="J14" s="135"/>
      <c r="K14" s="131"/>
      <c r="L14" s="135"/>
      <c r="M14" s="131"/>
      <c r="N14" s="133"/>
      <c r="O14" s="133"/>
      <c r="P14" s="133"/>
      <c r="Q14" s="135"/>
      <c r="R14" s="141"/>
      <c r="S14" s="143"/>
      <c r="T14" s="139"/>
    </row>
    <row r="15" spans="2:20" ht="15" customHeight="1" thickBot="1" x14ac:dyDescent="0.35">
      <c r="B15" s="132"/>
      <c r="C15" s="134"/>
      <c r="D15" s="136"/>
      <c r="E15" s="132"/>
      <c r="F15" s="134"/>
      <c r="G15" s="136"/>
      <c r="H15" s="132"/>
      <c r="I15" s="134"/>
      <c r="J15" s="136"/>
      <c r="K15" s="132"/>
      <c r="L15" s="136"/>
      <c r="M15" s="132"/>
      <c r="N15" s="134"/>
      <c r="O15" s="134"/>
      <c r="P15" s="134"/>
      <c r="Q15" s="136"/>
      <c r="R15" s="142"/>
      <c r="S15" s="144"/>
      <c r="T15" s="140"/>
    </row>
    <row r="16" spans="2:20" ht="15" customHeight="1" x14ac:dyDescent="0.3">
      <c r="B16" s="123"/>
      <c r="C16" s="125"/>
      <c r="D16" s="127"/>
      <c r="E16" s="123"/>
      <c r="F16" s="125"/>
      <c r="G16" s="127"/>
      <c r="H16" s="123"/>
      <c r="I16" s="125"/>
      <c r="J16" s="127"/>
      <c r="K16" s="123"/>
      <c r="L16" s="127"/>
      <c r="M16" s="123"/>
      <c r="N16" s="125"/>
      <c r="O16" s="125"/>
      <c r="P16" s="125"/>
      <c r="Q16" s="127"/>
      <c r="R16" s="137"/>
      <c r="S16" s="145"/>
      <c r="T16" s="129"/>
    </row>
    <row r="17" spans="2:20" ht="15" customHeight="1" thickBot="1" x14ac:dyDescent="0.35">
      <c r="B17" s="124"/>
      <c r="C17" s="126"/>
      <c r="D17" s="128"/>
      <c r="E17" s="124"/>
      <c r="F17" s="126"/>
      <c r="G17" s="128"/>
      <c r="H17" s="124"/>
      <c r="I17" s="126"/>
      <c r="J17" s="128"/>
      <c r="K17" s="124"/>
      <c r="L17" s="128"/>
      <c r="M17" s="124"/>
      <c r="N17" s="126"/>
      <c r="O17" s="126"/>
      <c r="P17" s="126"/>
      <c r="Q17" s="128"/>
      <c r="R17" s="138"/>
      <c r="S17" s="146"/>
      <c r="T17" s="130"/>
    </row>
    <row r="20" spans="2:20" x14ac:dyDescent="0.3">
      <c r="S20" s="31"/>
      <c r="T20" s="31"/>
    </row>
    <row r="21" spans="2:20" x14ac:dyDescent="0.3">
      <c r="S21" s="31"/>
      <c r="T21" s="31"/>
    </row>
  </sheetData>
  <mergeCells count="142">
    <mergeCell ref="T16:T17"/>
    <mergeCell ref="O16:O17"/>
    <mergeCell ref="P16:P17"/>
    <mergeCell ref="Q16:Q17"/>
    <mergeCell ref="R16:R17"/>
    <mergeCell ref="S16:S17"/>
    <mergeCell ref="I16:I17"/>
    <mergeCell ref="J16:J17"/>
    <mergeCell ref="K16:K17"/>
    <mergeCell ref="L16:L17"/>
    <mergeCell ref="M16:M17"/>
    <mergeCell ref="N16:N17"/>
    <mergeCell ref="B16:B17"/>
    <mergeCell ref="C16:C17"/>
    <mergeCell ref="D16:D17"/>
    <mergeCell ref="E16:E17"/>
    <mergeCell ref="F16:F17"/>
    <mergeCell ref="G16:G17"/>
    <mergeCell ref="H16:H17"/>
    <mergeCell ref="M14:M15"/>
    <mergeCell ref="N14:N15"/>
    <mergeCell ref="G14:G15"/>
    <mergeCell ref="H14:H15"/>
    <mergeCell ref="I14:I15"/>
    <mergeCell ref="J14:J15"/>
    <mergeCell ref="K14:K15"/>
    <mergeCell ref="L14:L15"/>
    <mergeCell ref="Q12:Q13"/>
    <mergeCell ref="R12:R13"/>
    <mergeCell ref="S12:S13"/>
    <mergeCell ref="T12:T13"/>
    <mergeCell ref="B14:B15"/>
    <mergeCell ref="C14:C15"/>
    <mergeCell ref="D14:D15"/>
    <mergeCell ref="E14:E15"/>
    <mergeCell ref="F14:F15"/>
    <mergeCell ref="K12:K13"/>
    <mergeCell ref="L12:L13"/>
    <mergeCell ref="M12:M13"/>
    <mergeCell ref="N12:N13"/>
    <mergeCell ref="O12:O13"/>
    <mergeCell ref="P12:P13"/>
    <mergeCell ref="S14:S15"/>
    <mergeCell ref="T14:T15"/>
    <mergeCell ref="O14:O15"/>
    <mergeCell ref="P14:P15"/>
    <mergeCell ref="Q14:Q15"/>
    <mergeCell ref="R14:R15"/>
    <mergeCell ref="R8:R9"/>
    <mergeCell ref="G8:G9"/>
    <mergeCell ref="H8:H9"/>
    <mergeCell ref="I8:I9"/>
    <mergeCell ref="J8:J9"/>
    <mergeCell ref="K8:K9"/>
    <mergeCell ref="L8:L9"/>
    <mergeCell ref="T10:T11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O10:O11"/>
    <mergeCell ref="P10:P11"/>
    <mergeCell ref="Q10:Q11"/>
    <mergeCell ref="R10:R11"/>
    <mergeCell ref="S10:S11"/>
    <mergeCell ref="I10:I11"/>
    <mergeCell ref="J10:J11"/>
    <mergeCell ref="B10:B11"/>
    <mergeCell ref="C10:C11"/>
    <mergeCell ref="D10:D11"/>
    <mergeCell ref="E10:E11"/>
    <mergeCell ref="F10:F11"/>
    <mergeCell ref="G10:G11"/>
    <mergeCell ref="H10:H11"/>
    <mergeCell ref="M8:M9"/>
    <mergeCell ref="N8:N9"/>
    <mergeCell ref="K10:K11"/>
    <mergeCell ref="L10:L11"/>
    <mergeCell ref="M10:M11"/>
    <mergeCell ref="N10:N11"/>
    <mergeCell ref="K4:K5"/>
    <mergeCell ref="L4:L5"/>
    <mergeCell ref="M4:M5"/>
    <mergeCell ref="N4:N5"/>
    <mergeCell ref="Q6:Q7"/>
    <mergeCell ref="R6:R7"/>
    <mergeCell ref="S6:S7"/>
    <mergeCell ref="T6:T7"/>
    <mergeCell ref="B8:B9"/>
    <mergeCell ref="C8:C9"/>
    <mergeCell ref="D8:D9"/>
    <mergeCell ref="E8:E9"/>
    <mergeCell ref="F8:F9"/>
    <mergeCell ref="K6:K7"/>
    <mergeCell ref="L6:L7"/>
    <mergeCell ref="M6:M7"/>
    <mergeCell ref="N6:N7"/>
    <mergeCell ref="O6:O7"/>
    <mergeCell ref="P6:P7"/>
    <mergeCell ref="S8:S9"/>
    <mergeCell ref="T8:T9"/>
    <mergeCell ref="O8:O9"/>
    <mergeCell ref="P8:P9"/>
    <mergeCell ref="Q8:Q9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Q2:Q3"/>
    <mergeCell ref="R2:S2"/>
    <mergeCell ref="T2:T3"/>
    <mergeCell ref="B4:B5"/>
    <mergeCell ref="C4:C5"/>
    <mergeCell ref="D4:D5"/>
    <mergeCell ref="E4:E5"/>
    <mergeCell ref="F4:F5"/>
    <mergeCell ref="G4:G5"/>
    <mergeCell ref="H4:H5"/>
    <mergeCell ref="B2:J2"/>
    <mergeCell ref="K2:L2"/>
    <mergeCell ref="M2:M3"/>
    <mergeCell ref="N2:N3"/>
    <mergeCell ref="O2:O3"/>
    <mergeCell ref="P2:P3"/>
    <mergeCell ref="T4:T5"/>
    <mergeCell ref="O4:O5"/>
    <mergeCell ref="P4:P5"/>
    <mergeCell ref="Q4:Q5"/>
    <mergeCell ref="R4:R5"/>
    <mergeCell ref="S4:S5"/>
    <mergeCell ref="I4:I5"/>
    <mergeCell ref="J4:J5"/>
  </mergeCells>
  <hyperlinks>
    <hyperlink ref="R4:R5" r:id="rId1" display="sig_990106.png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1"/>
  <sheetViews>
    <sheetView zoomScaleNormal="100" workbookViewId="0">
      <pane ySplit="3" topLeftCell="A4" activePane="bottomLeft" state="frozen"/>
      <selection pane="bottomLeft" activeCell="H4" sqref="H4:H5"/>
    </sheetView>
  </sheetViews>
  <sheetFormatPr defaultRowHeight="14.4" x14ac:dyDescent="0.3"/>
  <cols>
    <col min="2" max="2" width="16" bestFit="1" customWidth="1"/>
    <col min="3" max="3" width="12" bestFit="1" customWidth="1"/>
    <col min="4" max="4" width="11.44140625" bestFit="1" customWidth="1"/>
    <col min="5" max="5" width="9.33203125" bestFit="1" customWidth="1"/>
    <col min="6" max="6" width="8.5546875" bestFit="1" customWidth="1"/>
    <col min="7" max="7" width="8.77734375" bestFit="1" customWidth="1"/>
    <col min="8" max="8" width="11.77734375" customWidth="1"/>
    <col min="9" max="9" width="32.77734375" bestFit="1" customWidth="1"/>
    <col min="10" max="10" width="7" bestFit="1" customWidth="1"/>
  </cols>
  <sheetData>
    <row r="1" spans="2:10" ht="15" thickBot="1" x14ac:dyDescent="0.35"/>
    <row r="2" spans="2:10" ht="17.399999999999999" customHeight="1" thickBot="1" x14ac:dyDescent="0.35">
      <c r="B2" s="47" t="s">
        <v>33</v>
      </c>
      <c r="C2" s="118" t="s">
        <v>34</v>
      </c>
      <c r="D2" s="47" t="s">
        <v>20</v>
      </c>
      <c r="E2" s="118" t="s">
        <v>35</v>
      </c>
      <c r="F2" s="148" t="s">
        <v>22</v>
      </c>
      <c r="G2" s="118" t="s">
        <v>23</v>
      </c>
      <c r="H2" s="36" t="s">
        <v>54</v>
      </c>
      <c r="I2" s="38"/>
      <c r="J2" s="118" t="s">
        <v>0</v>
      </c>
    </row>
    <row r="3" spans="2:10" ht="15" customHeight="1" thickBot="1" x14ac:dyDescent="0.35">
      <c r="B3" s="47"/>
      <c r="C3" s="118"/>
      <c r="D3" s="47"/>
      <c r="E3" s="118"/>
      <c r="F3" s="149"/>
      <c r="G3" s="45"/>
      <c r="H3" s="29" t="s">
        <v>39</v>
      </c>
      <c r="I3" s="30" t="s">
        <v>41</v>
      </c>
      <c r="J3" s="118"/>
    </row>
    <row r="4" spans="2:10" ht="17.399999999999999" customHeight="1" thickBot="1" x14ac:dyDescent="0.35">
      <c r="B4" s="157">
        <f>D4-(F4*G4)</f>
        <v>4378033</v>
      </c>
      <c r="C4" s="160">
        <f>E4/F4-1</f>
        <v>0.28176119110588704</v>
      </c>
      <c r="D4" s="157">
        <f>E4*G4</f>
        <v>19916131</v>
      </c>
      <c r="E4" s="157">
        <v>26171</v>
      </c>
      <c r="F4" s="150">
        <v>20418</v>
      </c>
      <c r="G4" s="147">
        <v>761</v>
      </c>
      <c r="H4" s="155" t="s">
        <v>51</v>
      </c>
      <c r="I4" s="154" t="s">
        <v>66</v>
      </c>
      <c r="J4" s="147" t="s">
        <v>48</v>
      </c>
    </row>
    <row r="5" spans="2:10" ht="15" customHeight="1" thickBot="1" x14ac:dyDescent="0.35">
      <c r="B5" s="157"/>
      <c r="C5" s="160"/>
      <c r="D5" s="157"/>
      <c r="E5" s="157"/>
      <c r="F5" s="151"/>
      <c r="G5" s="147"/>
      <c r="H5" s="156"/>
      <c r="I5" s="154"/>
      <c r="J5" s="147"/>
    </row>
    <row r="6" spans="2:10" ht="15" customHeight="1" thickBot="1" x14ac:dyDescent="0.35">
      <c r="B6" s="157"/>
      <c r="C6" s="160"/>
      <c r="D6" s="157"/>
      <c r="E6" s="157"/>
      <c r="F6" s="150"/>
      <c r="G6" s="147"/>
      <c r="H6" s="155"/>
      <c r="I6" s="154"/>
      <c r="J6" s="147"/>
    </row>
    <row r="7" spans="2:10" ht="15" customHeight="1" thickBot="1" x14ac:dyDescent="0.35">
      <c r="B7" s="157"/>
      <c r="C7" s="160"/>
      <c r="D7" s="157"/>
      <c r="E7" s="157"/>
      <c r="F7" s="151"/>
      <c r="G7" s="147"/>
      <c r="H7" s="156"/>
      <c r="I7" s="154"/>
      <c r="J7" s="147"/>
    </row>
    <row r="8" spans="2:10" ht="15" thickBot="1" x14ac:dyDescent="0.35">
      <c r="B8" s="147"/>
      <c r="C8" s="147"/>
      <c r="D8" s="147"/>
      <c r="E8" s="147"/>
      <c r="F8" s="152"/>
      <c r="G8" s="147"/>
      <c r="H8" s="158"/>
      <c r="I8" s="154"/>
      <c r="J8" s="147"/>
    </row>
    <row r="9" spans="2:10" ht="15" thickBot="1" x14ac:dyDescent="0.35">
      <c r="B9" s="147"/>
      <c r="C9" s="147"/>
      <c r="D9" s="147"/>
      <c r="E9" s="147"/>
      <c r="F9" s="153"/>
      <c r="G9" s="147"/>
      <c r="H9" s="159"/>
      <c r="I9" s="154"/>
      <c r="J9" s="147"/>
    </row>
    <row r="10" spans="2:10" ht="15" thickBot="1" x14ac:dyDescent="0.35">
      <c r="B10" s="147"/>
      <c r="C10" s="147"/>
      <c r="D10" s="147"/>
      <c r="E10" s="147"/>
      <c r="F10" s="152"/>
      <c r="G10" s="147"/>
      <c r="H10" s="158"/>
      <c r="I10" s="154"/>
      <c r="J10" s="147"/>
    </row>
    <row r="11" spans="2:10" ht="15" thickBot="1" x14ac:dyDescent="0.35">
      <c r="B11" s="147"/>
      <c r="C11" s="147"/>
      <c r="D11" s="147"/>
      <c r="E11" s="147"/>
      <c r="F11" s="153"/>
      <c r="G11" s="147"/>
      <c r="H11" s="159"/>
      <c r="I11" s="154"/>
      <c r="J11" s="147"/>
    </row>
  </sheetData>
  <mergeCells count="44">
    <mergeCell ref="H6:H7"/>
    <mergeCell ref="H8:H9"/>
    <mergeCell ref="H10:H11"/>
    <mergeCell ref="B2:B3"/>
    <mergeCell ref="C2:C3"/>
    <mergeCell ref="D2:D3"/>
    <mergeCell ref="E2:E3"/>
    <mergeCell ref="G2:G3"/>
    <mergeCell ref="B4:B5"/>
    <mergeCell ref="C4:C5"/>
    <mergeCell ref="D4:D5"/>
    <mergeCell ref="E4:E5"/>
    <mergeCell ref="G4:G5"/>
    <mergeCell ref="B6:B7"/>
    <mergeCell ref="C6:C7"/>
    <mergeCell ref="D6:D7"/>
    <mergeCell ref="E6:E7"/>
    <mergeCell ref="G6:G7"/>
    <mergeCell ref="B8:B9"/>
    <mergeCell ref="C8:C9"/>
    <mergeCell ref="D8:D9"/>
    <mergeCell ref="E8:E9"/>
    <mergeCell ref="G8:G9"/>
    <mergeCell ref="B10:B11"/>
    <mergeCell ref="C10:C11"/>
    <mergeCell ref="D10:D11"/>
    <mergeCell ref="E10:E11"/>
    <mergeCell ref="G10:G11"/>
    <mergeCell ref="J10:J11"/>
    <mergeCell ref="F2:F3"/>
    <mergeCell ref="F4:F5"/>
    <mergeCell ref="F6:F7"/>
    <mergeCell ref="F8:F9"/>
    <mergeCell ref="F10:F11"/>
    <mergeCell ref="I10:I11"/>
    <mergeCell ref="J6:J7"/>
    <mergeCell ref="I8:I9"/>
    <mergeCell ref="J8:J9"/>
    <mergeCell ref="I6:I7"/>
    <mergeCell ref="J2:J3"/>
    <mergeCell ref="I4:I5"/>
    <mergeCell ref="J4:J5"/>
    <mergeCell ref="H2:I2"/>
    <mergeCell ref="H4:H5"/>
  </mergeCells>
  <hyperlinks>
    <hyperlink ref="H4:H5" r:id="rId1" display="tech_990112.pn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مدیریت سرمایه</vt:lpstr>
      <vt:lpstr>محاسبه مدیریت سرمایه</vt:lpstr>
      <vt:lpstr>پرتفوی</vt:lpstr>
      <vt:lpstr>تحلیل</vt:lpstr>
      <vt:lpstr>تاریخچه خرید</vt:lpstr>
      <vt:lpstr>تاریخچه فروش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2020-03-31T17:55:32Z</dcterms:modified>
</cp:coreProperties>
</file>