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پرتفوی" sheetId="3" r:id="rId1"/>
    <sheet name="سرمایه" sheetId="7" r:id="rId2"/>
    <sheet name="مجموع واریز" sheetId="9" r:id="rId3"/>
    <sheet name="محاسبه مدیریت سرمایه" sheetId="8" r:id="rId4"/>
    <sheet name="تحلیل" sheetId="2" r:id="rId5"/>
    <sheet name="تاریخچه خرید" sheetId="6" r:id="rId6"/>
    <sheet name="تاریخچه فروش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calcPr calcId="152511"/>
</workbook>
</file>

<file path=xl/calcChain.xml><?xml version="1.0" encoding="utf-8"?>
<calcChain xmlns="http://schemas.openxmlformats.org/spreadsheetml/2006/main">
  <c r="C5" i="7" l="1"/>
  <c r="B5" i="7" s="1"/>
  <c r="C26" i="9"/>
  <c r="D17" i="3" l="1"/>
  <c r="G17" i="3"/>
  <c r="J17" i="3"/>
  <c r="M17" i="3"/>
  <c r="P17" i="3"/>
  <c r="Q17" i="3"/>
  <c r="D26" i="3" l="1"/>
  <c r="G26" i="3"/>
  <c r="J26" i="3"/>
  <c r="M26" i="3"/>
  <c r="P26" i="3"/>
  <c r="Q26" i="3"/>
  <c r="D25" i="3"/>
  <c r="G25" i="3"/>
  <c r="J25" i="3"/>
  <c r="M25" i="3"/>
  <c r="P25" i="3"/>
  <c r="Q25" i="3"/>
  <c r="D24" i="3"/>
  <c r="G24" i="3"/>
  <c r="J24" i="3"/>
  <c r="M24" i="3"/>
  <c r="P24" i="3"/>
  <c r="Q24" i="3"/>
  <c r="D23" i="3"/>
  <c r="G23" i="3"/>
  <c r="J23" i="3"/>
  <c r="M23" i="3"/>
  <c r="P23" i="3"/>
  <c r="Q23" i="3"/>
  <c r="D22" i="3"/>
  <c r="G22" i="3"/>
  <c r="J22" i="3"/>
  <c r="M22" i="3"/>
  <c r="P22" i="3"/>
  <c r="Q22" i="3"/>
  <c r="D21" i="3"/>
  <c r="G21" i="3"/>
  <c r="J21" i="3"/>
  <c r="M21" i="3"/>
  <c r="P21" i="3"/>
  <c r="Q21" i="3"/>
  <c r="D20" i="3"/>
  <c r="G20" i="3"/>
  <c r="P20" i="3"/>
  <c r="J20" i="3"/>
  <c r="M20" i="3"/>
  <c r="Q20" i="3"/>
  <c r="D19" i="3"/>
  <c r="G19" i="3"/>
  <c r="F19" i="3" s="1"/>
  <c r="J19" i="3"/>
  <c r="M19" i="3"/>
  <c r="L19" i="3" s="1"/>
  <c r="P19" i="3"/>
  <c r="I19" i="3" s="1"/>
  <c r="Q19" i="3"/>
  <c r="N19" i="3" s="1"/>
  <c r="K19" i="3" l="1"/>
  <c r="H19" i="3"/>
  <c r="D18" i="3" l="1"/>
  <c r="G18" i="3"/>
  <c r="J18" i="3"/>
  <c r="I18" i="3" s="1"/>
  <c r="M18" i="3"/>
  <c r="P18" i="3"/>
  <c r="Q18" i="3"/>
  <c r="D16" i="3" l="1"/>
  <c r="G16" i="3"/>
  <c r="J16" i="3"/>
  <c r="M16" i="3"/>
  <c r="P16" i="3"/>
  <c r="Q16" i="3"/>
  <c r="D15" i="3" l="1"/>
  <c r="G15" i="3"/>
  <c r="J15" i="3"/>
  <c r="M15" i="3"/>
  <c r="P15" i="3"/>
  <c r="Q15" i="3"/>
  <c r="D14" i="3"/>
  <c r="G14" i="3"/>
  <c r="J14" i="3"/>
  <c r="M14" i="3"/>
  <c r="P14" i="3"/>
  <c r="Q14" i="3"/>
  <c r="D13" i="3"/>
  <c r="G13" i="3"/>
  <c r="D12" i="3"/>
  <c r="G12" i="3"/>
  <c r="J13" i="3"/>
  <c r="M13" i="3"/>
  <c r="P13" i="3"/>
  <c r="P12" i="3"/>
  <c r="Q13" i="3"/>
  <c r="J12" i="3"/>
  <c r="M12" i="3"/>
  <c r="Q12" i="3"/>
  <c r="D11" i="3"/>
  <c r="G11" i="3"/>
  <c r="J11" i="3"/>
  <c r="M11" i="3"/>
  <c r="P11" i="3"/>
  <c r="Q11" i="3"/>
  <c r="D10" i="3"/>
  <c r="G10" i="3"/>
  <c r="J10" i="3"/>
  <c r="M10" i="3"/>
  <c r="P10" i="3"/>
  <c r="Q4" i="3"/>
  <c r="Q10" i="3"/>
  <c r="D9" i="3"/>
  <c r="G9" i="3"/>
  <c r="J9" i="3"/>
  <c r="M9" i="3"/>
  <c r="P9" i="3"/>
  <c r="Q9" i="3"/>
  <c r="D8" i="3"/>
  <c r="G8" i="3"/>
  <c r="J8" i="3"/>
  <c r="M8" i="3"/>
  <c r="P8" i="3"/>
  <c r="Q8" i="3"/>
  <c r="D7" i="3"/>
  <c r="G7" i="3"/>
  <c r="J7" i="3"/>
  <c r="M7" i="3"/>
  <c r="P7" i="3"/>
  <c r="Q7" i="3"/>
  <c r="I24" i="3" l="1"/>
  <c r="L24" i="3"/>
  <c r="C25" i="3"/>
  <c r="I25" i="3"/>
  <c r="L25" i="3"/>
  <c r="N25" i="3"/>
  <c r="I26" i="3"/>
  <c r="C7" i="3"/>
  <c r="I7" i="3"/>
  <c r="L7" i="3"/>
  <c r="N7" i="3"/>
  <c r="I8" i="3"/>
  <c r="C9" i="3"/>
  <c r="I9" i="3"/>
  <c r="N9" i="3"/>
  <c r="I10" i="3"/>
  <c r="C10" i="3"/>
  <c r="I11" i="3"/>
  <c r="N11" i="3"/>
  <c r="C12" i="3"/>
  <c r="I12" i="3"/>
  <c r="N12" i="3"/>
  <c r="C13" i="3"/>
  <c r="I13" i="3"/>
  <c r="N13" i="3"/>
  <c r="C14" i="3"/>
  <c r="I14" i="3"/>
  <c r="N14" i="3"/>
  <c r="C15" i="3"/>
  <c r="I15" i="3"/>
  <c r="N15" i="3"/>
  <c r="C16" i="3"/>
  <c r="I16" i="3"/>
  <c r="N16" i="3"/>
  <c r="C17" i="3"/>
  <c r="I17" i="3"/>
  <c r="N17" i="3"/>
  <c r="C18" i="3"/>
  <c r="N18" i="3"/>
  <c r="C19" i="3"/>
  <c r="C20" i="3"/>
  <c r="I20" i="3"/>
  <c r="N20" i="3"/>
  <c r="C21" i="3"/>
  <c r="I21" i="3"/>
  <c r="N21" i="3"/>
  <c r="C22" i="3"/>
  <c r="I22" i="3"/>
  <c r="N22" i="3"/>
  <c r="C23" i="3"/>
  <c r="I23" i="3"/>
  <c r="N23" i="3"/>
  <c r="D6" i="3"/>
  <c r="G6" i="3"/>
  <c r="J6" i="3"/>
  <c r="M6" i="3"/>
  <c r="P6" i="3"/>
  <c r="Q6" i="3"/>
  <c r="I6" i="3" l="1"/>
  <c r="F6" i="3"/>
  <c r="L6" i="3"/>
  <c r="F26" i="3"/>
  <c r="F23" i="3"/>
  <c r="F22" i="3"/>
  <c r="F21" i="3"/>
  <c r="F20" i="3"/>
  <c r="F18" i="3"/>
  <c r="F17" i="3"/>
  <c r="F16" i="3"/>
  <c r="F15" i="3"/>
  <c r="F14" i="3"/>
  <c r="F13" i="3"/>
  <c r="F12" i="3"/>
  <c r="C11" i="3"/>
  <c r="F11" i="3"/>
  <c r="N8" i="3"/>
  <c r="F7" i="3"/>
  <c r="L26" i="3"/>
  <c r="E26" i="3" s="1"/>
  <c r="C26" i="3"/>
  <c r="N24" i="3"/>
  <c r="K24" i="3" s="1"/>
  <c r="F8" i="3"/>
  <c r="F24" i="3"/>
  <c r="F10" i="3"/>
  <c r="C6" i="3"/>
  <c r="B6" i="3" s="1"/>
  <c r="N10" i="3"/>
  <c r="F9" i="3"/>
  <c r="L8" i="3"/>
  <c r="E8" i="3" s="1"/>
  <c r="C8" i="3"/>
  <c r="N26" i="3"/>
  <c r="F25" i="3"/>
  <c r="E25" i="3" s="1"/>
  <c r="C24" i="3"/>
  <c r="B24" i="3" s="1"/>
  <c r="B25" i="3"/>
  <c r="K25" i="3"/>
  <c r="H25" i="3"/>
  <c r="H24" i="3"/>
  <c r="E24" i="3"/>
  <c r="B7" i="3"/>
  <c r="K7" i="3"/>
  <c r="H7" i="3"/>
  <c r="E7" i="3"/>
  <c r="L23" i="3"/>
  <c r="L22" i="3"/>
  <c r="L21" i="3"/>
  <c r="L20" i="3"/>
  <c r="L18" i="3"/>
  <c r="L17" i="3"/>
  <c r="L16" i="3"/>
  <c r="L15" i="3"/>
  <c r="L14" i="3"/>
  <c r="L13" i="3"/>
  <c r="L12" i="3"/>
  <c r="L11" i="3"/>
  <c r="L10" i="3"/>
  <c r="L9" i="3"/>
  <c r="E6" i="3"/>
  <c r="N6" i="3"/>
  <c r="K6" i="3"/>
  <c r="H6" i="3"/>
  <c r="D5" i="3"/>
  <c r="G5" i="3"/>
  <c r="J5" i="3"/>
  <c r="P5" i="3"/>
  <c r="M5" i="3"/>
  <c r="Q5" i="3"/>
  <c r="D4" i="3"/>
  <c r="G4" i="3"/>
  <c r="J4" i="3"/>
  <c r="M4" i="3"/>
  <c r="B26" i="3" l="1"/>
  <c r="B8" i="3"/>
  <c r="K8" i="3"/>
  <c r="L5" i="3"/>
  <c r="K5" i="3" s="1"/>
  <c r="H8" i="3"/>
  <c r="H26" i="3"/>
  <c r="K26" i="3"/>
  <c r="B12" i="3"/>
  <c r="K12" i="3"/>
  <c r="H12" i="3"/>
  <c r="E12" i="3"/>
  <c r="B20" i="3"/>
  <c r="K20" i="3"/>
  <c r="E20" i="3"/>
  <c r="H20" i="3"/>
  <c r="B9" i="3"/>
  <c r="E9" i="3"/>
  <c r="K9" i="3"/>
  <c r="H9" i="3"/>
  <c r="B13" i="3"/>
  <c r="E13" i="3"/>
  <c r="K13" i="3"/>
  <c r="H13" i="3"/>
  <c r="B17" i="3"/>
  <c r="K17" i="3"/>
  <c r="E17" i="3"/>
  <c r="H17" i="3"/>
  <c r="B21" i="3"/>
  <c r="K21" i="3"/>
  <c r="H21" i="3"/>
  <c r="E21" i="3"/>
  <c r="B14" i="3"/>
  <c r="K14" i="3"/>
  <c r="H14" i="3"/>
  <c r="E14" i="3"/>
  <c r="B22" i="3"/>
  <c r="K22" i="3"/>
  <c r="E22" i="3"/>
  <c r="H22" i="3"/>
  <c r="B16" i="3"/>
  <c r="K16" i="3"/>
  <c r="H16" i="3"/>
  <c r="E16" i="3"/>
  <c r="B10" i="3"/>
  <c r="E10" i="3"/>
  <c r="K10" i="3"/>
  <c r="H10" i="3"/>
  <c r="B18" i="3"/>
  <c r="E18" i="3"/>
  <c r="K18" i="3"/>
  <c r="H18" i="3"/>
  <c r="B11" i="3"/>
  <c r="K11" i="3"/>
  <c r="H11" i="3"/>
  <c r="E11" i="3"/>
  <c r="B15" i="3"/>
  <c r="E15" i="3"/>
  <c r="K15" i="3"/>
  <c r="H15" i="3"/>
  <c r="B19" i="3"/>
  <c r="E19" i="3"/>
  <c r="B23" i="3"/>
  <c r="K23" i="3"/>
  <c r="H23" i="3"/>
  <c r="E23" i="3"/>
  <c r="N5" i="3"/>
  <c r="F5" i="3"/>
  <c r="C5" i="3"/>
  <c r="B5" i="3" s="1"/>
  <c r="I5" i="3"/>
  <c r="H5" i="3" l="1"/>
  <c r="E5" i="3"/>
  <c r="P4" i="3"/>
  <c r="N4" i="6" l="1"/>
  <c r="M4" i="6"/>
  <c r="K4" i="6"/>
  <c r="I4" i="6"/>
  <c r="F4" i="6"/>
  <c r="C4" i="6"/>
  <c r="B4" i="6" l="1"/>
  <c r="N4" i="3"/>
  <c r="H4" i="6"/>
  <c r="E4" i="6"/>
  <c r="L4" i="3"/>
  <c r="K4" i="3" l="1"/>
  <c r="H5" i="7" s="1"/>
  <c r="C4" i="4"/>
  <c r="D4" i="4"/>
  <c r="B4" i="4" s="1"/>
  <c r="C4" i="3"/>
  <c r="B4" i="3" s="1"/>
  <c r="F4" i="3"/>
  <c r="E4" i="3" s="1"/>
  <c r="I4" i="3"/>
  <c r="H4" i="3" s="1"/>
  <c r="J5" i="7" l="1"/>
  <c r="I5" i="7" s="1"/>
  <c r="F5" i="7" l="1"/>
  <c r="E5" i="7" s="1"/>
  <c r="D5" i="7" s="1"/>
  <c r="O17" i="3" l="1"/>
  <c r="O25" i="3"/>
  <c r="O26" i="3"/>
  <c r="O23" i="3"/>
  <c r="O24" i="3"/>
  <c r="O21" i="3"/>
  <c r="O22" i="3"/>
  <c r="O19" i="3"/>
  <c r="O20" i="3"/>
  <c r="O16" i="3"/>
  <c r="O18" i="3"/>
  <c r="O14" i="3"/>
  <c r="O15" i="3"/>
  <c r="O12" i="3"/>
  <c r="O13" i="3"/>
  <c r="O9" i="3"/>
  <c r="O11" i="3"/>
  <c r="O10" i="3"/>
  <c r="O7" i="3"/>
  <c r="O8" i="3"/>
  <c r="O5" i="3"/>
  <c r="O6" i="3"/>
  <c r="O4" i="3"/>
  <c r="G5" i="7"/>
  <c r="C5" i="8"/>
  <c r="B5" i="8" s="1"/>
  <c r="G5" i="8"/>
  <c r="F5" i="8" s="1"/>
  <c r="Q5" i="8"/>
  <c r="P5" i="8" s="1"/>
  <c r="K5" i="8"/>
  <c r="J5" i="8" s="1"/>
  <c r="I5" i="8"/>
  <c r="H5" i="8" s="1"/>
  <c r="M5" i="8"/>
  <c r="L5" i="8" s="1"/>
  <c r="E5" i="8"/>
  <c r="D5" i="8" s="1"/>
  <c r="U5" i="8"/>
  <c r="O5" i="8"/>
  <c r="N5" i="8" s="1"/>
  <c r="S5" i="8"/>
  <c r="R5" i="8" l="1"/>
  <c r="T5" i="8"/>
</calcChain>
</file>

<file path=xl/sharedStrings.xml><?xml version="1.0" encoding="utf-8"?>
<sst xmlns="http://schemas.openxmlformats.org/spreadsheetml/2006/main" count="238" uniqueCount="146">
  <si>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</si>
  <si>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</si>
  <si>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</si>
  <si>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</si>
  <si>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</si>
  <si>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</si>
  <si>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</si>
  <si>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</si>
  <si>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</si>
  <si>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</si>
  <si>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</si>
  <si>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</si>
  <si>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</si>
  <si>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</si>
  <si>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</si>
  <si>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</si>
  <si>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</si>
  <si>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</si>
  <si>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</si>
  <si>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</si>
  <si>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</si>
  <si>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</si>
  <si>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</si>
  <si>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</si>
  <si>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</si>
  <si>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</si>
  <si>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</si>
  <si>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</si>
  <si>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</si>
  <si>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</si>
  <si>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</si>
  <si>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</si>
  <si>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</si>
  <si>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</si>
  <si>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</si>
  <si>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</si>
  <si>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</si>
  <si>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</si>
  <si>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</si>
  <si>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</si>
  <si>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</si>
  <si>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</si>
  <si>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</si>
  <si>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tot_990106.png</t>
  </si>
  <si>
    <t>sig_990106.png</t>
  </si>
  <si>
    <t>*</t>
  </si>
  <si>
    <t>Bullish</t>
  </si>
  <si>
    <t>خرید قبلی</t>
  </si>
  <si>
    <t>99/01/11</t>
  </si>
  <si>
    <t>99/01/12</t>
  </si>
  <si>
    <t>tot_990112.png</t>
  </si>
  <si>
    <t>tech_990112.png</t>
  </si>
  <si>
    <t>OB</t>
  </si>
  <si>
    <t>HD-</t>
  </si>
  <si>
    <t>خروج</t>
  </si>
  <si>
    <t>HD+</t>
  </si>
  <si>
    <t>middle</t>
  </si>
  <si>
    <t>abc?</t>
  </si>
  <si>
    <t>18929
15623</t>
  </si>
  <si>
    <t>احتمالا آغاز موج b، در صورت شکست سقف آغاز موج 5</t>
  </si>
  <si>
    <t>شکست سقف چنگال بلند مدت، پولبک و صعود مجدد</t>
  </si>
  <si>
    <t>عبور از خط میدلاین، حرکت به سمت بالا</t>
  </si>
  <si>
    <t>برخورد به خط روند و برگشت</t>
  </si>
  <si>
    <t>~28000</t>
  </si>
  <si>
    <t>قیمت در نزدیکی سقف کانال</t>
  </si>
  <si>
    <t>بسته شدن کندل بالای خط روند</t>
  </si>
  <si>
    <t>سیو سود به دلیل نزدیکی شاخص به مقاومت تاریخی</t>
  </si>
  <si>
    <t>میزان ضرر</t>
  </si>
  <si>
    <t>سهم</t>
  </si>
  <si>
    <t>بترانس</t>
  </si>
  <si>
    <t>ریسک %</t>
  </si>
  <si>
    <t>99/01/07</t>
  </si>
  <si>
    <t>99/01/08</t>
  </si>
  <si>
    <t>99/01/09</t>
  </si>
  <si>
    <t>99/01/10</t>
  </si>
  <si>
    <t>99/01/13</t>
  </si>
  <si>
    <t>99/01/14</t>
  </si>
  <si>
    <t>99/01/15</t>
  </si>
  <si>
    <t>99/01/16</t>
  </si>
  <si>
    <t>مبلغ نقدی</t>
  </si>
  <si>
    <t>99/01/17</t>
  </si>
  <si>
    <t>99/01/18</t>
  </si>
  <si>
    <t>99/01/19</t>
  </si>
  <si>
    <t>99/01/20</t>
  </si>
  <si>
    <t>99/01/21</t>
  </si>
  <si>
    <t>99/01/22</t>
  </si>
  <si>
    <t>99/01/23</t>
  </si>
  <si>
    <t>99/01/24</t>
  </si>
  <si>
    <t>99/01/25</t>
  </si>
  <si>
    <t>99/01/26</t>
  </si>
  <si>
    <t>سهام (ریال)</t>
  </si>
  <si>
    <t>مجموع دارایی (ریال)</t>
  </si>
  <si>
    <t>سرمایه بدون ریسک (ریال)</t>
  </si>
  <si>
    <t>99/01/27</t>
  </si>
  <si>
    <t>قیمت سهم</t>
  </si>
  <si>
    <t>تعداد سهم</t>
  </si>
  <si>
    <t>قیمت (ریال)</t>
  </si>
  <si>
    <t>درازک</t>
  </si>
  <si>
    <t>رمپنا</t>
  </si>
  <si>
    <t>سفارس</t>
  </si>
  <si>
    <t>شپنا</t>
  </si>
  <si>
    <t>شتران</t>
  </si>
  <si>
    <t>شخارک</t>
  </si>
  <si>
    <t>شسپا</t>
  </si>
  <si>
    <t>فخوز</t>
  </si>
  <si>
    <t>فملی</t>
  </si>
  <si>
    <t>فولاژ</t>
  </si>
  <si>
    <t>کبافق</t>
  </si>
  <si>
    <t>کفرا</t>
  </si>
  <si>
    <t>کهمدا</t>
  </si>
  <si>
    <t>هرمز</t>
  </si>
  <si>
    <t>شگویا</t>
  </si>
  <si>
    <t>تملت</t>
  </si>
  <si>
    <t>زکوثر</t>
  </si>
  <si>
    <t>ساوه</t>
  </si>
  <si>
    <t>شصدف</t>
  </si>
  <si>
    <t>قرن</t>
  </si>
  <si>
    <t>کلر</t>
  </si>
  <si>
    <t>ومهان</t>
  </si>
  <si>
    <t>توضیح</t>
  </si>
  <si>
    <t>مقدار</t>
  </si>
  <si>
    <t>واریز</t>
  </si>
  <si>
    <t>98/11/17</t>
  </si>
  <si>
    <t>برداشت</t>
  </si>
  <si>
    <t>98/11/20</t>
  </si>
  <si>
    <t>98/11/21</t>
  </si>
  <si>
    <t>98/11/26</t>
  </si>
  <si>
    <t>98/11/27</t>
  </si>
  <si>
    <t>98/11/29</t>
  </si>
  <si>
    <t>سود</t>
  </si>
  <si>
    <t>98/11/30</t>
  </si>
  <si>
    <t>98/12/04</t>
  </si>
  <si>
    <t>98/12/05</t>
  </si>
  <si>
    <t>98/12/06</t>
  </si>
  <si>
    <t>98/12/07</t>
  </si>
  <si>
    <t>98/12/09</t>
  </si>
  <si>
    <t>98/12/29</t>
  </si>
  <si>
    <t>99/01/03</t>
  </si>
  <si>
    <t>98/01/10</t>
  </si>
  <si>
    <t>مجموع</t>
  </si>
  <si>
    <t>رشد سرمایه</t>
  </si>
  <si>
    <t>سرمایه لحظه ای</t>
  </si>
  <si>
    <t>رشد سرمایه لحظه ای</t>
  </si>
  <si>
    <t>درصد</t>
  </si>
  <si>
    <t>مبلغ (ریال)</t>
  </si>
  <si>
    <t>ریسک کلی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</si>
</sst>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0202"/>
        <bgColor indexed="64"/>
      </patternFill>
    </fill>
    <fill>
      <patternFill patternType="solid">
        <fgColor rgb="FFF00202"/>
        <bgColor indexed="64"/>
      </patternFill>
    </fill>
    <fill>
      <patternFill patternType="solid">
        <fgColor rgb="FFFD1313"/>
        <bgColor indexed="64"/>
      </patternFill>
    </fill>
    <fill>
      <patternFill patternType="solid">
        <fgColor rgb="FFFD3D3D"/>
        <bgColor indexed="64"/>
      </patternFill>
    </fill>
    <fill>
      <patternFill patternType="solid">
        <fgColor rgb="FFFD5959"/>
        <bgColor indexed="64"/>
      </patternFill>
    </fill>
    <fill>
      <patternFill patternType="solid">
        <fgColor rgb="FFFD6F6F"/>
        <bgColor indexed="64"/>
      </patternFill>
    </fill>
    <fill>
      <patternFill patternType="solid">
        <fgColor rgb="FFFD8D8D"/>
        <bgColor indexed="64"/>
      </patternFill>
    </fill>
    <fill>
      <patternFill patternType="solid">
        <fgColor rgb="FFFDA1A1"/>
        <bgColor indexed="64"/>
      </patternFill>
    </fill>
    <fill>
      <patternFill patternType="solid">
        <fgColor rgb="FFFDB5B5"/>
        <bgColor indexed="64"/>
      </patternFill>
    </fill>
    <fill>
      <patternFill patternType="solid">
        <fgColor rgb="FFFED2D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10" fontId="2" fillId="0" borderId="23" xfId="0" applyNumberFormat="1" applyFont="1" applyBorder="1" applyAlignment="1">
      <alignment horizontal="center" vertical="center"/>
    </xf>
    <xf numFmtId="3" fontId="2" fillId="0" borderId="22" xfId="0" applyNumberFormat="1" applyFont="1" applyBorder="1" applyAlignment="1">
      <alignment horizontal="center" vertical="center"/>
    </xf>
    <xf numFmtId="3" fontId="2" fillId="0" borderId="25" xfId="0" applyNumberFormat="1" applyFont="1" applyBorder="1" applyAlignment="1">
      <alignment horizontal="center" vertical="center"/>
    </xf>
    <xf numFmtId="10" fontId="2" fillId="0" borderId="44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23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0" fontId="3" fillId="9" borderId="3" xfId="0" applyNumberFormat="1" applyFont="1" applyFill="1" applyBorder="1" applyAlignment="1">
      <alignment vertical="center"/>
    </xf>
    <xf numFmtId="10" fontId="3" fillId="9" borderId="7" xfId="0" applyNumberFormat="1" applyFont="1" applyFill="1" applyBorder="1" applyAlignment="1">
      <alignment vertical="center"/>
    </xf>
    <xf numFmtId="10" fontId="3" fillId="10" borderId="3" xfId="0" applyNumberFormat="1" applyFont="1" applyFill="1" applyBorder="1" applyAlignment="1">
      <alignment vertical="center"/>
    </xf>
    <xf numFmtId="10" fontId="3" fillId="10" borderId="7" xfId="0" applyNumberFormat="1" applyFont="1" applyFill="1" applyBorder="1" applyAlignment="1">
      <alignment vertical="center"/>
    </xf>
    <xf numFmtId="10" fontId="3" fillId="11" borderId="3" xfId="0" applyNumberFormat="1" applyFont="1" applyFill="1" applyBorder="1" applyAlignment="1">
      <alignment vertical="center"/>
    </xf>
    <xf numFmtId="10" fontId="3" fillId="11" borderId="7" xfId="0" applyNumberFormat="1" applyFont="1" applyFill="1" applyBorder="1" applyAlignment="1">
      <alignment vertical="center"/>
    </xf>
    <xf numFmtId="10" fontId="3" fillId="12" borderId="3" xfId="0" applyNumberFormat="1" applyFont="1" applyFill="1" applyBorder="1" applyAlignment="1">
      <alignment vertical="center"/>
    </xf>
    <xf numFmtId="10" fontId="3" fillId="12" borderId="7" xfId="0" applyNumberFormat="1" applyFont="1" applyFill="1" applyBorder="1" applyAlignment="1">
      <alignment vertical="center"/>
    </xf>
    <xf numFmtId="10" fontId="3" fillId="13" borderId="3" xfId="0" applyNumberFormat="1" applyFont="1" applyFill="1" applyBorder="1" applyAlignment="1">
      <alignment vertical="center"/>
    </xf>
    <xf numFmtId="10" fontId="3" fillId="13" borderId="7" xfId="0" applyNumberFormat="1" applyFont="1" applyFill="1" applyBorder="1" applyAlignment="1">
      <alignment vertical="center"/>
    </xf>
    <xf numFmtId="10" fontId="3" fillId="14" borderId="3" xfId="0" applyNumberFormat="1" applyFont="1" applyFill="1" applyBorder="1" applyAlignment="1">
      <alignment vertical="center"/>
    </xf>
    <xf numFmtId="10" fontId="3" fillId="14" borderId="7" xfId="0" applyNumberFormat="1" applyFont="1" applyFill="1" applyBorder="1" applyAlignment="1">
      <alignment vertical="center"/>
    </xf>
    <xf numFmtId="10" fontId="3" fillId="15" borderId="3" xfId="0" applyNumberFormat="1" applyFont="1" applyFill="1" applyBorder="1" applyAlignment="1">
      <alignment vertical="center"/>
    </xf>
    <xf numFmtId="10" fontId="3" fillId="15" borderId="7" xfId="0" applyNumberFormat="1" applyFont="1" applyFill="1" applyBorder="1" applyAlignment="1">
      <alignment vertical="center"/>
    </xf>
    <xf numFmtId="10" fontId="3" fillId="16" borderId="3" xfId="0" applyNumberFormat="1" applyFont="1" applyFill="1" applyBorder="1" applyAlignment="1">
      <alignment vertical="center"/>
    </xf>
    <xf numFmtId="10" fontId="3" fillId="16" borderId="7" xfId="0" applyNumberFormat="1" applyFont="1" applyFill="1" applyBorder="1" applyAlignment="1">
      <alignment vertical="center"/>
    </xf>
    <xf numFmtId="10" fontId="3" fillId="17" borderId="3" xfId="0" applyNumberFormat="1" applyFont="1" applyFill="1" applyBorder="1" applyAlignment="1">
      <alignment vertical="center"/>
    </xf>
    <xf numFmtId="10" fontId="3" fillId="17" borderId="7" xfId="0" applyNumberFormat="1" applyFont="1" applyFill="1" applyBorder="1" applyAlignment="1">
      <alignment vertical="center"/>
    </xf>
    <xf numFmtId="10" fontId="3" fillId="18" borderId="3" xfId="0" applyNumberFormat="1" applyFont="1" applyFill="1" applyBorder="1" applyAlignment="1">
      <alignment vertical="center"/>
    </xf>
    <xf numFmtId="10" fontId="3" fillId="18" borderId="7" xfId="0" applyNumberFormat="1" applyFont="1" applyFill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0" fontId="3" fillId="9" borderId="6" xfId="0" applyNumberFormat="1" applyFont="1" applyFill="1" applyBorder="1" applyAlignment="1">
      <alignment horizontal="center" vertical="center"/>
    </xf>
    <xf numFmtId="10" fontId="3" fillId="9" borderId="5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10" fontId="3" fillId="10" borderId="6" xfId="0" applyNumberFormat="1" applyFont="1" applyFill="1" applyBorder="1" applyAlignment="1">
      <alignment horizontal="center" vertical="center"/>
    </xf>
    <xf numFmtId="10" fontId="3" fillId="10" borderId="5" xfId="0" applyNumberFormat="1" applyFont="1" applyFill="1" applyBorder="1" applyAlignment="1">
      <alignment horizontal="center" vertical="center"/>
    </xf>
    <xf numFmtId="10" fontId="3" fillId="11" borderId="6" xfId="0" applyNumberFormat="1" applyFont="1" applyFill="1" applyBorder="1" applyAlignment="1">
      <alignment horizontal="center" vertical="center"/>
    </xf>
    <xf numFmtId="10" fontId="3" fillId="11" borderId="5" xfId="0" applyNumberFormat="1" applyFont="1" applyFill="1" applyBorder="1" applyAlignment="1">
      <alignment horizontal="center" vertical="center"/>
    </xf>
    <xf numFmtId="10" fontId="3" fillId="12" borderId="6" xfId="0" applyNumberFormat="1" applyFont="1" applyFill="1" applyBorder="1" applyAlignment="1">
      <alignment horizontal="center" vertical="center"/>
    </xf>
    <xf numFmtId="10" fontId="3" fillId="12" borderId="5" xfId="0" applyNumberFormat="1" applyFont="1" applyFill="1" applyBorder="1" applyAlignment="1">
      <alignment horizontal="center" vertical="center"/>
    </xf>
    <xf numFmtId="10" fontId="3" fillId="17" borderId="6" xfId="0" applyNumberFormat="1" applyFont="1" applyFill="1" applyBorder="1" applyAlignment="1">
      <alignment horizontal="center" vertical="center"/>
    </xf>
    <xf numFmtId="10" fontId="3" fillId="17" borderId="5" xfId="0" applyNumberFormat="1" applyFont="1" applyFill="1" applyBorder="1" applyAlignment="1">
      <alignment horizontal="center" vertical="center"/>
    </xf>
    <xf numFmtId="10" fontId="3" fillId="16" borderId="6" xfId="0" applyNumberFormat="1" applyFont="1" applyFill="1" applyBorder="1" applyAlignment="1">
      <alignment horizontal="center" vertical="center"/>
    </xf>
    <xf numFmtId="10" fontId="3" fillId="16" borderId="5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0" fontId="3" fillId="18" borderId="6" xfId="0" applyNumberFormat="1" applyFont="1" applyFill="1" applyBorder="1" applyAlignment="1">
      <alignment horizontal="center" vertical="center"/>
    </xf>
    <xf numFmtId="10" fontId="3" fillId="18" borderId="5" xfId="0" applyNumberFormat="1" applyFont="1" applyFill="1" applyBorder="1" applyAlignment="1">
      <alignment horizontal="center" vertical="center"/>
    </xf>
    <xf numFmtId="10" fontId="3" fillId="15" borderId="6" xfId="0" applyNumberFormat="1" applyFont="1" applyFill="1" applyBorder="1" applyAlignment="1">
      <alignment horizontal="center" vertical="center"/>
    </xf>
    <xf numFmtId="10" fontId="3" fillId="15" borderId="5" xfId="0" applyNumberFormat="1" applyFont="1" applyFill="1" applyBorder="1" applyAlignment="1">
      <alignment horizontal="center" vertical="center"/>
    </xf>
    <xf numFmtId="10" fontId="3" fillId="13" borderId="6" xfId="0" applyNumberFormat="1" applyFont="1" applyFill="1" applyBorder="1" applyAlignment="1">
      <alignment horizontal="center" vertical="center"/>
    </xf>
    <xf numFmtId="10" fontId="3" fillId="13" borderId="5" xfId="0" applyNumberFormat="1" applyFont="1" applyFill="1" applyBorder="1" applyAlignment="1">
      <alignment horizontal="center" vertical="center"/>
    </xf>
    <xf numFmtId="10" fontId="3" fillId="14" borderId="6" xfId="0" applyNumberFormat="1" applyFont="1" applyFill="1" applyBorder="1" applyAlignment="1">
      <alignment horizontal="center" vertical="center"/>
    </xf>
    <xf numFmtId="10" fontId="3" fillId="14" borderId="5" xfId="0" applyNumberFormat="1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19" borderId="47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19" borderId="48" xfId="0" applyFont="1" applyFill="1" applyBorder="1" applyAlignment="1">
      <alignment horizontal="center" vertical="center"/>
    </xf>
    <xf numFmtId="3" fontId="2" fillId="0" borderId="47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3" fillId="20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2" borderId="45" xfId="0" applyFont="1" applyFill="1" applyBorder="1" applyAlignment="1">
      <alignment horizontal="center" vertical="center"/>
    </xf>
    <xf numFmtId="0" fontId="3" fillId="22" borderId="46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3" fontId="3" fillId="19" borderId="1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5" borderId="4" xfId="0" applyFont="1" applyFill="1" applyBorder="1" applyAlignment="1">
      <alignment horizontal="center" vertical="center"/>
    </xf>
    <xf numFmtId="0" fontId="3" fillId="25" borderId="34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6" borderId="4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34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" fontId="3" fillId="14" borderId="1" xfId="0" applyNumberFormat="1" applyFont="1" applyFill="1" applyBorder="1" applyAlignment="1">
      <alignment horizontal="center" vertical="center"/>
    </xf>
    <xf numFmtId="3" fontId="3" fillId="14" borderId="1" xfId="0" applyNumberFormat="1" applyFont="1" applyFill="1" applyBorder="1" applyAlignment="1">
      <alignment horizontal="center" vertical="center"/>
    </xf>
    <xf numFmtId="10" fontId="3" fillId="23" borderId="1" xfId="0" applyNumberFormat="1" applyFont="1" applyFill="1" applyBorder="1" applyAlignment="1">
      <alignment horizontal="center" vertical="center"/>
    </xf>
    <xf numFmtId="3" fontId="3" fillId="23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D6F6F"/>
      <color rgb="FFFD3D3D"/>
      <color rgb="FFFED2D2"/>
      <color rgb="FFFDB5B5"/>
      <color rgb="FFFDA1A1"/>
      <color rgb="FFFD8D8D"/>
      <color rgb="FFFD5959"/>
      <color rgb="FFFD1313"/>
      <color rgb="FFF00202"/>
      <color rgb="FFDC02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8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76;&#1578;&#1585;&#1575;&#1606;&#1587;\&#1576;&#1578;&#1585;&#1575;&#1606;&#158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3;&#1585;&#1575;&#1586;&#1705;\&#1583;&#1585;&#1575;&#1586;&#170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5;&#1605;&#1662;&#1606;&#1575;\&#1585;&#1605;&#1662;&#1606;&#157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7;&#1601;&#1575;&#1585;&#1587;\&#1587;&#1601;&#1575;&#1585;&#1587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662;&#1606;&#1575;\&#1588;&#1662;&#1606;&#1575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78;&#1585;&#1575;&#1606;\&#1588;&#1578;&#1585;&#1575;&#1606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82;&#1575;&#1585;&#1705;\&#1588;&#1582;&#1575;&#1585;&#1705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87;&#1662;&#1575;\&#1588;&#1587;&#1662;&#1575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1;&#1582;&#1608;&#1586;\&#1601;&#1582;&#1608;&#1586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1;&#1605;&#1604;&#1740;\&#1601;&#1605;&#1604;&#1740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1;&#1608;&#1604;&#1575;&#1688;\&#1601;&#1608;&#1604;&#1575;&#1688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576;&#1575;&#1601;&#1602;\&#1705;&#1576;&#1575;&#1601;&#1602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601;&#1585;&#1575;\&#1705;&#1601;&#1585;&#1575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607;&#1605;&#1583;&#1575;\&#1705;&#1607;&#1605;&#1583;&#1575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7;&#1585;&#1605;&#1586;\&#1607;&#1585;&#1605;&#1586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78;&#1605;&#1604;&#1578;\&#1578;&#1605;&#1604;&#1578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6;&#1705;&#1608;&#1579;&#1585;\&#1586;&#1705;&#1608;&#1579;&#1585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7;&#1575;&#1608;&#1607;\&#1587;&#1575;&#1608;&#1607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89;&#1583;&#1601;\&#1588;&#1589;&#1583;&#1601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711;&#1608;&#1740;&#1575;\&#1588;&#1711;&#1608;&#1740;&#1575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2;&#1585;&#1606;\&#1602;&#1585;&#1606;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604;&#1585;\&#1705;&#1604;&#1585;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8;&#1605;&#1607;&#1575;&#1606;\&#1608;&#1605;&#1607;&#1575;&#16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28706</v>
          </cell>
          <cell r="J4">
            <v>23129</v>
          </cell>
          <cell r="M4">
            <v>18361</v>
          </cell>
          <cell r="Q4">
            <v>20418</v>
          </cell>
          <cell r="R4">
            <v>2645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52000</v>
          </cell>
          <cell r="J4">
            <v>47242</v>
          </cell>
          <cell r="M4">
            <v>36278</v>
          </cell>
          <cell r="Q4">
            <v>41268</v>
          </cell>
          <cell r="R4">
            <v>244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19485</v>
          </cell>
          <cell r="J4">
            <v>17073</v>
          </cell>
          <cell r="M4">
            <v>13992</v>
          </cell>
          <cell r="Q4">
            <v>15010</v>
          </cell>
          <cell r="R4">
            <v>672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11642</v>
          </cell>
          <cell r="M4">
            <v>8425</v>
          </cell>
          <cell r="Q4">
            <v>9614</v>
          </cell>
          <cell r="R4">
            <v>2926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7537</v>
          </cell>
          <cell r="G4">
            <v>7166</v>
          </cell>
          <cell r="J4">
            <v>6171</v>
          </cell>
          <cell r="M4">
            <v>5128</v>
          </cell>
          <cell r="Q4">
            <v>5679</v>
          </cell>
          <cell r="R4">
            <v>7110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11971</v>
          </cell>
          <cell r="J4">
            <v>9730</v>
          </cell>
          <cell r="M4">
            <v>6159</v>
          </cell>
          <cell r="Q4">
            <v>7254</v>
          </cell>
          <cell r="R4">
            <v>5788</v>
          </cell>
        </row>
      </sheetData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30268</v>
          </cell>
          <cell r="M4">
            <v>23065</v>
          </cell>
          <cell r="Q4">
            <v>28698</v>
          </cell>
          <cell r="R4">
            <v>107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17664</v>
          </cell>
          <cell r="M4">
            <v>10232</v>
          </cell>
          <cell r="Q4">
            <v>11764</v>
          </cell>
          <cell r="R4">
            <v>429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18136</v>
          </cell>
          <cell r="J4">
            <v>15866</v>
          </cell>
          <cell r="M4">
            <v>11931</v>
          </cell>
          <cell r="Q4">
            <v>13403</v>
          </cell>
          <cell r="R4">
            <v>4894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8381</v>
          </cell>
          <cell r="M4">
            <v>5897</v>
          </cell>
          <cell r="Q4">
            <v>7489</v>
          </cell>
          <cell r="R4">
            <v>1348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14900</v>
          </cell>
          <cell r="J4">
            <v>13080</v>
          </cell>
          <cell r="M4">
            <v>9700</v>
          </cell>
          <cell r="Q4">
            <v>11317</v>
          </cell>
          <cell r="R4">
            <v>6527</v>
          </cell>
        </row>
      </sheetData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45154</v>
          </cell>
          <cell r="M4">
            <v>28676</v>
          </cell>
          <cell r="Q4">
            <v>38204</v>
          </cell>
          <cell r="R4">
            <v>1584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85410</v>
          </cell>
          <cell r="M4">
            <v>38246</v>
          </cell>
          <cell r="Q4">
            <v>45968</v>
          </cell>
          <cell r="R4">
            <v>365</v>
          </cell>
        </row>
      </sheetData>
      <sheetData sheetId="1"/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28706</v>
          </cell>
          <cell r="J4">
            <v>23129</v>
          </cell>
          <cell r="M4">
            <v>17800</v>
          </cell>
          <cell r="Q4">
            <v>18674</v>
          </cell>
          <cell r="R4">
            <v>1273</v>
          </cell>
        </row>
      </sheetData>
      <sheetData sheetId="1"/>
      <sheetData sheetId="2"/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6228</v>
          </cell>
          <cell r="M4">
            <v>4722</v>
          </cell>
          <cell r="Q4">
            <v>5833</v>
          </cell>
          <cell r="R4">
            <v>531</v>
          </cell>
        </row>
      </sheetData>
      <sheetData sheetId="1"/>
      <sheetData sheetId="2"/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3450</v>
          </cell>
          <cell r="Q4">
            <v>3450</v>
          </cell>
          <cell r="R4">
            <v>420</v>
          </cell>
        </row>
      </sheetData>
      <sheetData sheetId="1"/>
      <sheetData sheetId="2"/>
      <sheetData sheetId="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13310</v>
          </cell>
          <cell r="Q4">
            <v>13310</v>
          </cell>
          <cell r="R4">
            <v>201</v>
          </cell>
        </row>
      </sheetData>
      <sheetData sheetId="1"/>
      <sheetData sheetId="2"/>
      <sheetData sheetId="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23838</v>
          </cell>
          <cell r="Q4">
            <v>23838</v>
          </cell>
          <cell r="R4">
            <v>37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20185</v>
          </cell>
          <cell r="Q4">
            <v>20185</v>
          </cell>
          <cell r="R4">
            <v>21</v>
          </cell>
        </row>
      </sheetData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4443</v>
          </cell>
          <cell r="Q4">
            <v>4443</v>
          </cell>
          <cell r="R4">
            <v>1337</v>
          </cell>
        </row>
      </sheetData>
      <sheetData sheetId="1"/>
      <sheetData sheetId="2"/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17246</v>
          </cell>
          <cell r="Q4">
            <v>17246</v>
          </cell>
          <cell r="R4">
            <v>67</v>
          </cell>
        </row>
      </sheetData>
      <sheetData sheetId="1"/>
      <sheetData sheetId="2"/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29923</v>
          </cell>
          <cell r="Q4">
            <v>29923</v>
          </cell>
          <cell r="R4">
            <v>38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5707</v>
          </cell>
          <cell r="Q4">
            <v>5707</v>
          </cell>
          <cell r="R4">
            <v>369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tot_990112.png" TargetMode="External"/><Relationship Id="rId2" Type="http://schemas.openxmlformats.org/officeDocument/2006/relationships/hyperlink" Target="sig_990106.png" TargetMode="External"/><Relationship Id="rId1" Type="http://schemas.openxmlformats.org/officeDocument/2006/relationships/hyperlink" Target="tot_990106.png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tech_990112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tech_9901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tabSelected="1" topLeftCell="B1" zoomScaleNormal="100" workbookViewId="0">
      <pane ySplit="3" topLeftCell="A4" activePane="bottomLeft" state="frozen"/>
      <selection pane="bottomLeft" activeCell="V3" sqref="V3"/>
    </sheetView>
  </sheetViews>
  <sheetFormatPr defaultRowHeight="14.4" x14ac:dyDescent="0.3"/>
  <cols>
    <col min="1" max="1" width="8.88671875" style="27"/>
    <col min="2" max="2" width="5.5546875" style="27" bestFit="1" customWidth="1"/>
    <col min="3" max="4" width="8.88671875" style="27"/>
    <col min="5" max="5" width="5.33203125" style="27" bestFit="1" customWidth="1"/>
    <col min="6" max="7" width="8.88671875" style="27"/>
    <col min="8" max="8" width="4.44140625" style="27" bestFit="1" customWidth="1"/>
    <col min="9" max="9" width="10.88671875" style="27" bestFit="1" customWidth="1"/>
    <col min="10" max="10" width="8.88671875" style="27"/>
    <col min="11" max="11" width="12.109375" style="27" bestFit="1" customWidth="1"/>
    <col min="12" max="12" width="10.21875" style="27" bestFit="1" customWidth="1"/>
    <col min="13" max="13" width="8.88671875" style="27"/>
    <col min="14" max="14" width="15.88671875" style="27" bestFit="1" customWidth="1"/>
    <col min="15" max="15" width="15.6640625" style="27" bestFit="1" customWidth="1"/>
    <col min="16" max="16" width="13.44140625" style="27" bestFit="1" customWidth="1"/>
    <col min="17" max="17" width="9.88671875" style="27" bestFit="1" customWidth="1"/>
    <col min="18" max="18" width="9.88671875" style="243" customWidth="1"/>
    <col min="19" max="19" width="10.33203125" style="27" customWidth="1"/>
    <col min="20" max="16384" width="8.88671875" style="27"/>
  </cols>
  <sheetData>
    <row r="1" spans="2:20" ht="15" thickBot="1" x14ac:dyDescent="0.35"/>
    <row r="2" spans="2:20" ht="18.600000000000001" x14ac:dyDescent="0.3">
      <c r="B2" s="252" t="s">
        <v>18</v>
      </c>
      <c r="C2" s="253"/>
      <c r="D2" s="253"/>
      <c r="E2" s="253"/>
      <c r="F2" s="253"/>
      <c r="G2" s="253"/>
      <c r="H2" s="253"/>
      <c r="I2" s="253"/>
      <c r="J2" s="254"/>
      <c r="K2" s="94" t="s">
        <v>19</v>
      </c>
      <c r="L2" s="95"/>
      <c r="M2" s="96"/>
      <c r="N2" s="248" t="s">
        <v>20</v>
      </c>
      <c r="O2" s="246" t="s">
        <v>70</v>
      </c>
      <c r="P2" s="246" t="s">
        <v>32</v>
      </c>
      <c r="Q2" s="250" t="s">
        <v>23</v>
      </c>
      <c r="R2" s="101" t="s">
        <v>68</v>
      </c>
      <c r="S2" s="212" t="s">
        <v>0</v>
      </c>
      <c r="T2" s="212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67</v>
      </c>
      <c r="L3" s="33" t="s">
        <v>30</v>
      </c>
      <c r="M3" s="13" t="s">
        <v>29</v>
      </c>
      <c r="N3" s="249"/>
      <c r="O3" s="247"/>
      <c r="P3" s="247"/>
      <c r="Q3" s="251"/>
      <c r="R3" s="102"/>
      <c r="S3" s="213"/>
      <c r="T3" s="213"/>
    </row>
    <row r="4" spans="2:20" ht="15" customHeight="1" thickBot="1" x14ac:dyDescent="0.35">
      <c r="B4" s="35">
        <f>IF(L4&gt;0, C4/L4,"RF")</f>
        <v>-9.9261059795819158</v>
      </c>
      <c r="C4" s="36">
        <f>(D4/P4)-1</f>
        <v>-1</v>
      </c>
      <c r="D4" s="37">
        <f>'[1]دارایی فعلی'!$D$4</f>
        <v>0</v>
      </c>
      <c r="E4" s="35">
        <f>IF(L4&gt;0, F4/L4,"RF")</f>
        <v>4.0291686922702974</v>
      </c>
      <c r="F4" s="36">
        <f>(G4/P4)-1</f>
        <v>0.40591634832010981</v>
      </c>
      <c r="G4" s="37">
        <f>'[1]دارایی فعلی'!$G$4</f>
        <v>28706</v>
      </c>
      <c r="H4" s="35">
        <f>IF(L4&gt;0, I4/L4,"RF")</f>
        <v>1.3179387457462326</v>
      </c>
      <c r="I4" s="36">
        <f>(J4/P4)-1</f>
        <v>0.13277500244881968</v>
      </c>
      <c r="J4" s="37">
        <f>'[1]دارایی فعلی'!$J$4</f>
        <v>23129</v>
      </c>
      <c r="K4" s="38">
        <f>IF(L4&gt;0, N4-M4*Q4, 0)</f>
        <v>5440765</v>
      </c>
      <c r="L4" s="39">
        <f>IF(1-(M4/P4)&gt;0, 1-(M4/P4), 0)</f>
        <v>0.10074444117935155</v>
      </c>
      <c r="M4" s="40">
        <f>'[1]دارایی فعلی'!$M$4</f>
        <v>18361</v>
      </c>
      <c r="N4" s="41">
        <f>Q4*P4</f>
        <v>54005610</v>
      </c>
      <c r="O4" s="36">
        <f>IF( (P4-M4)*Q4/سرمایه!F5&gt;0, (P4-M4)*Q4/سرمایه!F5, "Risk free")</f>
        <v>8.7337710783804909E-3</v>
      </c>
      <c r="P4" s="42">
        <f>'[1]دارایی فعلی'!$Q$4</f>
        <v>20418</v>
      </c>
      <c r="Q4" s="43">
        <f>'[1]دارایی فعلی'!$R$4</f>
        <v>2645</v>
      </c>
      <c r="R4" s="244" t="s">
        <v>69</v>
      </c>
      <c r="S4" s="64" t="s">
        <v>42</v>
      </c>
      <c r="T4" s="64">
        <v>1</v>
      </c>
    </row>
    <row r="5" spans="2:20" ht="15" customHeight="1" thickBot="1" x14ac:dyDescent="0.35">
      <c r="B5" s="35">
        <f>IF(L5&gt;0, C5/L5,"RF")</f>
        <v>-8.2701402805611224</v>
      </c>
      <c r="C5" s="36">
        <f>(D5/P5)-1</f>
        <v>-1</v>
      </c>
      <c r="D5" s="37">
        <f>'[2]دارایی فعلی'!$D$4</f>
        <v>0</v>
      </c>
      <c r="E5" s="35">
        <f>IF(L5&gt;0, F5/L5,"RF")</f>
        <v>2.1507014028056113</v>
      </c>
      <c r="F5" s="36">
        <f>(G5/P5)-1</f>
        <v>0.26005621789279831</v>
      </c>
      <c r="G5" s="37">
        <f>'[2]دارایی فعلی'!$G$4</f>
        <v>52000</v>
      </c>
      <c r="H5" s="35">
        <f>IF(L5&gt;0, I5/L5,"RF")</f>
        <v>1.1971943887775558</v>
      </c>
      <c r="I5" s="36">
        <f>(J5/P5)-1</f>
        <v>0.14476107395560733</v>
      </c>
      <c r="J5" s="37">
        <f>'[2]دارایی فعلی'!$J$4</f>
        <v>47242</v>
      </c>
      <c r="K5" s="38">
        <f>IF(L5&gt;0, N5-M5*Q5, 0)</f>
        <v>1217560</v>
      </c>
      <c r="L5" s="39">
        <f>IF(1-(M5/P5)&gt;0, 1-(M5/P5), 0)</f>
        <v>0.12091693321702046</v>
      </c>
      <c r="M5" s="40">
        <f>'[2]دارایی فعلی'!$M$4</f>
        <v>36278</v>
      </c>
      <c r="N5" s="41">
        <f>Q5*P5</f>
        <v>10069392</v>
      </c>
      <c r="O5" s="36">
        <f>IF( (P5-M5)*Q5/سرمایه!F5&gt;0, (P5-M5)*Q5/سرمایه!F5, "Risk free")</f>
        <v>1.9544843995638389E-3</v>
      </c>
      <c r="P5" s="42">
        <f>'[2]دارایی فعلی'!$Q$4</f>
        <v>41268</v>
      </c>
      <c r="Q5" s="43">
        <f>'[2]دارایی فعلی'!$R$4</f>
        <v>244</v>
      </c>
      <c r="R5" s="244" t="s">
        <v>97</v>
      </c>
      <c r="S5" s="64" t="s">
        <v>71</v>
      </c>
      <c r="T5" s="64">
        <v>2</v>
      </c>
    </row>
    <row r="6" spans="2:20" ht="19.2" thickBot="1" x14ac:dyDescent="0.35">
      <c r="B6" s="35">
        <f>IF(L6&gt;0, C6/L6,"RF")</f>
        <v>-14.744597249508836</v>
      </c>
      <c r="C6" s="36">
        <f>(D6/P6)-1</f>
        <v>-1</v>
      </c>
      <c r="D6" s="37">
        <f>'[3]دارایی فعلی'!$D$4</f>
        <v>0</v>
      </c>
      <c r="E6" s="35">
        <f>IF(L6&gt;0, F6/L6,"RF")</f>
        <v>4.3958742632612964</v>
      </c>
      <c r="F6" s="36">
        <f>(G6/P6)-1</f>
        <v>0.29813457694870094</v>
      </c>
      <c r="G6" s="37">
        <f>'[3]دارایی فعلی'!$G$4</f>
        <v>19485</v>
      </c>
      <c r="H6" s="35">
        <f>IF(L6&gt;0, I6/L6,"RF")</f>
        <v>2.0265225933202342</v>
      </c>
      <c r="I6" s="36">
        <f>(J6/P6)-1</f>
        <v>0.13744170552964685</v>
      </c>
      <c r="J6" s="37">
        <f>'[3]دارایی فعلی'!$J$4</f>
        <v>17073</v>
      </c>
      <c r="K6" s="38">
        <f>IF(L6&gt;0, N6-M6*Q6, 0)</f>
        <v>684096</v>
      </c>
      <c r="L6" s="39">
        <f>IF(1-(M6/P6)&gt;0, 1-(M6/P6), 0)</f>
        <v>6.7821452365089963E-2</v>
      </c>
      <c r="M6" s="40">
        <f>'[3]دارایی فعلی'!$M$4</f>
        <v>13992</v>
      </c>
      <c r="N6" s="41">
        <f>Q6*P6</f>
        <v>10086720</v>
      </c>
      <c r="O6" s="36">
        <f>IF( (P6-M6)*Q6/سرمایه!F5&gt;0, (P6-M6)*Q6/سرمایه!F5, "Risk free")</f>
        <v>1.0981429743125793E-3</v>
      </c>
      <c r="P6" s="42">
        <f>'[3]دارایی فعلی'!$Q$4</f>
        <v>15010</v>
      </c>
      <c r="Q6" s="43">
        <f>'[3]دارایی فعلی'!$R$4</f>
        <v>672</v>
      </c>
      <c r="R6" s="244" t="s">
        <v>98</v>
      </c>
      <c r="S6" s="64" t="s">
        <v>71</v>
      </c>
      <c r="T6" s="64">
        <v>3</v>
      </c>
    </row>
    <row r="7" spans="2:20" ht="19.2" thickBot="1" x14ac:dyDescent="0.35">
      <c r="B7" s="35">
        <f t="shared" ref="B7:B23" si="0">IF(L7&gt;0, C7/L7,"RF")</f>
        <v>-8.0857863751051298</v>
      </c>
      <c r="C7" s="36">
        <f t="shared" ref="C7:C23" si="1">(D7/P7)-1</f>
        <v>-1</v>
      </c>
      <c r="D7" s="37">
        <f>'[4]دارایی فعلی'!$D$4</f>
        <v>0</v>
      </c>
      <c r="E7" s="35">
        <f t="shared" ref="E7:E23" si="2">IF(L7&gt;0, F7/L7,"RF")</f>
        <v>-8.0857863751051298</v>
      </c>
      <c r="F7" s="36">
        <f t="shared" ref="F7:F23" si="3">(G7/P7)-1</f>
        <v>-1</v>
      </c>
      <c r="G7" s="37">
        <f>'[4]دارایی فعلی'!$G$4</f>
        <v>0</v>
      </c>
      <c r="H7" s="35">
        <f t="shared" ref="H7:H23" si="4">IF(L7&gt;0, I7/L7,"RF")</f>
        <v>1.705634987384357</v>
      </c>
      <c r="I7" s="36">
        <f t="shared" ref="I7:I23" si="5">(J7/P7)-1</f>
        <v>0.21094237570210117</v>
      </c>
      <c r="J7" s="37">
        <f>'[4]دارایی فعلی'!$J$4</f>
        <v>11642</v>
      </c>
      <c r="K7" s="38">
        <f t="shared" ref="K7:K23" si="6">IF(L7&gt;0, N7-M7*Q7, 0)</f>
        <v>3479014</v>
      </c>
      <c r="L7" s="39">
        <f t="shared" ref="L7:L23" si="7">IF(1-(M7/P7)&gt;0, 1-(M7/P7), 0)</f>
        <v>0.12367380902850011</v>
      </c>
      <c r="M7" s="40">
        <f>'[4]دارایی فعلی'!$M$4</f>
        <v>8425</v>
      </c>
      <c r="N7" s="41">
        <f t="shared" ref="N7:N23" si="8">Q7*P7</f>
        <v>28130564</v>
      </c>
      <c r="O7" s="36">
        <f>IF( (P7-M7)*Q7/سرمایه!F5&gt;0, (P7-M7)*Q7/سرمایه!F5, "Risk free")</f>
        <v>5.5846763928382908E-3</v>
      </c>
      <c r="P7" s="42">
        <f>'[4]دارایی فعلی'!$Q$4</f>
        <v>9614</v>
      </c>
      <c r="Q7" s="43">
        <f>'[4]دارایی فعلی'!$R$4</f>
        <v>2926</v>
      </c>
      <c r="R7" s="244" t="s">
        <v>99</v>
      </c>
      <c r="S7" s="64" t="s">
        <v>72</v>
      </c>
      <c r="T7" s="64">
        <v>4</v>
      </c>
    </row>
    <row r="8" spans="2:20" ht="19.2" thickBot="1" x14ac:dyDescent="0.35">
      <c r="B8" s="35">
        <f t="shared" si="0"/>
        <v>3.3720508166969148</v>
      </c>
      <c r="C8" s="36">
        <f t="shared" si="1"/>
        <v>0.32717027645712271</v>
      </c>
      <c r="D8" s="37">
        <f>'[5]دارایی فعلی'!$D$4</f>
        <v>7537</v>
      </c>
      <c r="E8" s="35">
        <f t="shared" si="2"/>
        <v>2.6987295825771334</v>
      </c>
      <c r="F8" s="36">
        <f t="shared" si="3"/>
        <v>0.26184187356929045</v>
      </c>
      <c r="G8" s="37">
        <f>'[5]دارایی فعلی'!$G$4</f>
        <v>7166</v>
      </c>
      <c r="H8" s="35">
        <f t="shared" si="4"/>
        <v>0.89292196007259439</v>
      </c>
      <c r="I8" s="36">
        <f t="shared" si="5"/>
        <v>8.6634970945588918E-2</v>
      </c>
      <c r="J8" s="37">
        <f>'[5]دارایی فعلی'!$J$4</f>
        <v>6171</v>
      </c>
      <c r="K8" s="38">
        <f t="shared" si="6"/>
        <v>3917610</v>
      </c>
      <c r="L8" s="39">
        <f t="shared" si="7"/>
        <v>9.7024123965486875E-2</v>
      </c>
      <c r="M8" s="40">
        <f>'[5]دارایی فعلی'!$M$4</f>
        <v>5128</v>
      </c>
      <c r="N8" s="41">
        <f t="shared" si="8"/>
        <v>40377690</v>
      </c>
      <c r="O8" s="36">
        <f>IF( (P8-M8)*Q8/سرمایه!F5&gt;0, (P8-M8)*Q8/سرمایه!F5, "Risk free")</f>
        <v>6.2887312564270277E-3</v>
      </c>
      <c r="P8" s="42">
        <f>'[5]دارایی فعلی'!$Q$4</f>
        <v>5679</v>
      </c>
      <c r="Q8" s="43">
        <f>'[5]دارایی فعلی'!$R$4</f>
        <v>7110</v>
      </c>
      <c r="R8" s="244" t="s">
        <v>100</v>
      </c>
      <c r="S8" s="64" t="s">
        <v>73</v>
      </c>
      <c r="T8" s="64">
        <v>5</v>
      </c>
    </row>
    <row r="9" spans="2:20" ht="19.2" thickBot="1" x14ac:dyDescent="0.35">
      <c r="B9" s="35">
        <f t="shared" si="0"/>
        <v>-6.6246575342465741</v>
      </c>
      <c r="C9" s="36">
        <f t="shared" si="1"/>
        <v>-1</v>
      </c>
      <c r="D9" s="37">
        <f>'[6]دارایی فعلی'!$D$4</f>
        <v>0</v>
      </c>
      <c r="E9" s="35">
        <f t="shared" si="2"/>
        <v>4.3077625570776243</v>
      </c>
      <c r="F9" s="36">
        <f t="shared" si="3"/>
        <v>0.65026192445547282</v>
      </c>
      <c r="G9" s="37">
        <f>'[6]دارایی فعلی'!$G$4</f>
        <v>11971</v>
      </c>
      <c r="H9" s="35">
        <f t="shared" si="4"/>
        <v>2.261187214611871</v>
      </c>
      <c r="I9" s="36">
        <f t="shared" si="5"/>
        <v>0.34132892197408315</v>
      </c>
      <c r="J9" s="37">
        <f>'[6]دارایی فعلی'!$J$4</f>
        <v>9730</v>
      </c>
      <c r="K9" s="38">
        <f t="shared" si="6"/>
        <v>6337860</v>
      </c>
      <c r="L9" s="39">
        <f t="shared" si="7"/>
        <v>0.15095119933829615</v>
      </c>
      <c r="M9" s="40">
        <f>'[6]دارایی فعلی'!$M$4</f>
        <v>6159</v>
      </c>
      <c r="N9" s="41">
        <f t="shared" si="8"/>
        <v>41986152</v>
      </c>
      <c r="O9" s="36">
        <f>IF( (P9-M9)*Q9/سرمایه!F5&gt;0, (P9-M9)*Q9/سرمایه!F5, "Risk free")</f>
        <v>1.0173830034347114E-2</v>
      </c>
      <c r="P9" s="42">
        <f>'[6]دارایی فعلی'!$Q$4</f>
        <v>7254</v>
      </c>
      <c r="Q9" s="43">
        <f>'[6]دارایی فعلی'!$R$4</f>
        <v>5788</v>
      </c>
      <c r="R9" s="244" t="s">
        <v>101</v>
      </c>
      <c r="S9" s="64" t="s">
        <v>74</v>
      </c>
      <c r="T9" s="64">
        <v>6</v>
      </c>
    </row>
    <row r="10" spans="2:20" ht="19.2" thickBot="1" x14ac:dyDescent="0.35">
      <c r="B10" s="35">
        <f t="shared" si="0"/>
        <v>-5.0946209834901461</v>
      </c>
      <c r="C10" s="36">
        <f t="shared" si="1"/>
        <v>-1</v>
      </c>
      <c r="D10" s="37">
        <f>'[7]دارایی فعلی'!$D$4</f>
        <v>0</v>
      </c>
      <c r="E10" s="35">
        <f t="shared" si="2"/>
        <v>-5.0946209834901461</v>
      </c>
      <c r="F10" s="36">
        <f t="shared" si="3"/>
        <v>-1</v>
      </c>
      <c r="G10" s="37">
        <f>'[7]دارایی فعلی'!$G$4</f>
        <v>0</v>
      </c>
      <c r="H10" s="35">
        <f t="shared" si="4"/>
        <v>0.2787147168471506</v>
      </c>
      <c r="I10" s="36">
        <f t="shared" si="5"/>
        <v>5.4707645132064942E-2</v>
      </c>
      <c r="J10" s="37">
        <f>'[7]دارایی فعلی'!$J$4</f>
        <v>30268</v>
      </c>
      <c r="K10" s="38">
        <f t="shared" si="6"/>
        <v>602731</v>
      </c>
      <c r="L10" s="39">
        <f t="shared" si="7"/>
        <v>0.19628545543243436</v>
      </c>
      <c r="M10" s="40">
        <f>'[7]دارایی فعلی'!$M$4</f>
        <v>23065</v>
      </c>
      <c r="N10" s="41">
        <f t="shared" si="8"/>
        <v>3070686</v>
      </c>
      <c r="O10" s="36">
        <f>IF( (P10-M10)*Q10/سرمایه!F5&gt;0, (P10-M10)*Q10/سرمایه!F5, "Risk free")</f>
        <v>9.6753206136331038E-4</v>
      </c>
      <c r="P10" s="42">
        <f>'[7]دارایی فعلی'!$Q$4</f>
        <v>28698</v>
      </c>
      <c r="Q10" s="43">
        <f>'[7]دارایی فعلی'!$R$4</f>
        <v>107</v>
      </c>
      <c r="R10" s="244" t="s">
        <v>102</v>
      </c>
      <c r="S10" s="64" t="s">
        <v>48</v>
      </c>
      <c r="T10" s="64">
        <v>7</v>
      </c>
    </row>
    <row r="11" spans="2:20" ht="19.2" thickBot="1" x14ac:dyDescent="0.35">
      <c r="B11" s="35">
        <f t="shared" si="0"/>
        <v>-7.6788511749347288</v>
      </c>
      <c r="C11" s="36">
        <f t="shared" si="1"/>
        <v>-1</v>
      </c>
      <c r="D11" s="37">
        <f>'[8]دارایی فعلی'!$D$4</f>
        <v>0</v>
      </c>
      <c r="E11" s="35">
        <f t="shared" si="2"/>
        <v>-7.6788511749347288</v>
      </c>
      <c r="F11" s="36">
        <f t="shared" si="3"/>
        <v>-1</v>
      </c>
      <c r="G11" s="37">
        <f>'[8]دارایی فعلی'!$G$4</f>
        <v>0</v>
      </c>
      <c r="H11" s="35">
        <f t="shared" si="4"/>
        <v>3.8511749347258499</v>
      </c>
      <c r="I11" s="36">
        <f t="shared" si="5"/>
        <v>0.50153009180550834</v>
      </c>
      <c r="J11" s="37">
        <f>'[8]دارایی فعلی'!$J$4</f>
        <v>17664</v>
      </c>
      <c r="K11" s="38">
        <f t="shared" si="6"/>
        <v>657228</v>
      </c>
      <c r="L11" s="39">
        <f t="shared" si="7"/>
        <v>0.13022781366882008</v>
      </c>
      <c r="M11" s="40">
        <f>'[8]دارایی فعلی'!$M$4</f>
        <v>10232</v>
      </c>
      <c r="N11" s="41">
        <f t="shared" si="8"/>
        <v>5046756</v>
      </c>
      <c r="O11" s="36">
        <f>IF( (P11-M11)*Q11/سرمایه!F5&gt;0, (P11-M11)*Q11/سرمایه!F5, "Risk free")</f>
        <v>1.0550132009564562E-3</v>
      </c>
      <c r="P11" s="42">
        <f>'[8]دارایی فعلی'!$Q$4</f>
        <v>11764</v>
      </c>
      <c r="Q11" s="43">
        <f>'[8]دارایی فعلی'!$R$4</f>
        <v>429</v>
      </c>
      <c r="R11" s="244" t="s">
        <v>103</v>
      </c>
      <c r="S11" s="64" t="s">
        <v>49</v>
      </c>
      <c r="T11" s="64">
        <v>8</v>
      </c>
    </row>
    <row r="12" spans="2:20" ht="19.2" thickBot="1" x14ac:dyDescent="0.35">
      <c r="B12" s="35">
        <f t="shared" si="0"/>
        <v>-9.1052989130434803</v>
      </c>
      <c r="C12" s="36">
        <f t="shared" si="1"/>
        <v>-1</v>
      </c>
      <c r="D12" s="37">
        <f>'[9]دارایی فعلی'!$D$4</f>
        <v>0</v>
      </c>
      <c r="E12" s="35">
        <f t="shared" si="2"/>
        <v>3.2153532608695659</v>
      </c>
      <c r="F12" s="36">
        <f t="shared" si="3"/>
        <v>0.35312989629187497</v>
      </c>
      <c r="G12" s="37">
        <f>'[9]دارایی فعلی'!$G$4</f>
        <v>18136</v>
      </c>
      <c r="H12" s="35">
        <f t="shared" si="4"/>
        <v>1.6732336956521745</v>
      </c>
      <c r="I12" s="36">
        <f t="shared" si="5"/>
        <v>0.18376482876967848</v>
      </c>
      <c r="J12" s="37">
        <f>'[9]دارایی فعلی'!$J$4</f>
        <v>15866</v>
      </c>
      <c r="K12" s="38">
        <f t="shared" si="6"/>
        <v>7203968</v>
      </c>
      <c r="L12" s="39">
        <f t="shared" si="7"/>
        <v>0.10982615832276355</v>
      </c>
      <c r="M12" s="40">
        <f>'[9]دارایی فعلی'!$M$4</f>
        <v>11931</v>
      </c>
      <c r="N12" s="41">
        <f t="shared" si="8"/>
        <v>65594282</v>
      </c>
      <c r="O12" s="36">
        <f>IF( (P12-M12)*Q12/سرمایه!F5&gt;0, (P12-M12)*Q12/سرمایه!F5, "Risk free")</f>
        <v>1.1564147205030644E-2</v>
      </c>
      <c r="P12" s="42">
        <f>'[9]دارایی فعلی'!$Q$4</f>
        <v>13403</v>
      </c>
      <c r="Q12" s="43">
        <f>'[9]دارایی فعلی'!$R$4</f>
        <v>4894</v>
      </c>
      <c r="R12" s="244" t="s">
        <v>104</v>
      </c>
      <c r="S12" s="64" t="s">
        <v>75</v>
      </c>
      <c r="T12" s="64">
        <v>9</v>
      </c>
    </row>
    <row r="13" spans="2:20" ht="19.2" thickBot="1" x14ac:dyDescent="0.35">
      <c r="B13" s="35">
        <f t="shared" si="0"/>
        <v>-4.7041457286432165</v>
      </c>
      <c r="C13" s="36">
        <f t="shared" si="1"/>
        <v>-1</v>
      </c>
      <c r="D13" s="37">
        <f>'[10]دارایی فعلی'!$D$4</f>
        <v>0</v>
      </c>
      <c r="E13" s="35">
        <f t="shared" si="2"/>
        <v>-4.7041457286432165</v>
      </c>
      <c r="F13" s="36">
        <f t="shared" si="3"/>
        <v>-1</v>
      </c>
      <c r="G13" s="37">
        <f>'[10]دارایی فعلی'!$G$4</f>
        <v>0</v>
      </c>
      <c r="H13" s="35">
        <f t="shared" si="4"/>
        <v>0.56030150753768826</v>
      </c>
      <c r="I13" s="36">
        <f t="shared" si="5"/>
        <v>0.11910802510348506</v>
      </c>
      <c r="J13" s="37">
        <f>'[10]دارایی فعلی'!$J$4</f>
        <v>8381</v>
      </c>
      <c r="K13" s="38">
        <f t="shared" si="6"/>
        <v>2146016</v>
      </c>
      <c r="L13" s="39">
        <f t="shared" si="7"/>
        <v>0.2125784483909734</v>
      </c>
      <c r="M13" s="40">
        <f>'[10]دارایی فعلی'!$M$4</f>
        <v>5897</v>
      </c>
      <c r="N13" s="41">
        <f t="shared" si="8"/>
        <v>10095172</v>
      </c>
      <c r="O13" s="36">
        <f>IF( (P13-M13)*Q13/سرمایه!F5&gt;0, (P13-M13)*Q13/سرمایه!F5, "Risk free")</f>
        <v>3.4448855031492423E-3</v>
      </c>
      <c r="P13" s="42">
        <f>'[10]دارایی فعلی'!$Q$4</f>
        <v>7489</v>
      </c>
      <c r="Q13" s="43">
        <f>'[10]دارایی فعلی'!$R$4</f>
        <v>1348</v>
      </c>
      <c r="R13" s="244" t="s">
        <v>105</v>
      </c>
      <c r="S13" s="64" t="s">
        <v>76</v>
      </c>
      <c r="T13" s="64">
        <v>10</v>
      </c>
    </row>
    <row r="14" spans="2:20" ht="19.2" thickBot="1" x14ac:dyDescent="0.35">
      <c r="B14" s="35">
        <f t="shared" si="0"/>
        <v>-6.9987631416202873</v>
      </c>
      <c r="C14" s="36">
        <f t="shared" si="1"/>
        <v>-1</v>
      </c>
      <c r="D14" s="37">
        <f>'[11]دارایی فعلی'!$D$4</f>
        <v>0</v>
      </c>
      <c r="E14" s="35">
        <f t="shared" si="2"/>
        <v>2.2158317872603588</v>
      </c>
      <c r="F14" s="36">
        <f t="shared" si="3"/>
        <v>0.31660334010780233</v>
      </c>
      <c r="G14" s="37">
        <f>'[11]دارایی فعلی'!$G$4</f>
        <v>14900</v>
      </c>
      <c r="H14" s="35">
        <f t="shared" si="4"/>
        <v>1.0902906617192336</v>
      </c>
      <c r="I14" s="36">
        <f t="shared" si="5"/>
        <v>0.155783334806044</v>
      </c>
      <c r="J14" s="37">
        <f>'[11]دارایی فعلی'!$J$4</f>
        <v>13080</v>
      </c>
      <c r="K14" s="38">
        <f t="shared" si="6"/>
        <v>10554159</v>
      </c>
      <c r="L14" s="39">
        <f t="shared" si="7"/>
        <v>0.142882389325793</v>
      </c>
      <c r="M14" s="40">
        <f>'[11]دارایی فعلی'!$M$4</f>
        <v>9700</v>
      </c>
      <c r="N14" s="41">
        <f t="shared" si="8"/>
        <v>73866059</v>
      </c>
      <c r="O14" s="36">
        <f>IF( (P14-M14)*Q14/سرمایه!F5&gt;0, (P14-M14)*Q14/سرمایه!F5, "Risk free")</f>
        <v>1.6942030878163119E-2</v>
      </c>
      <c r="P14" s="42">
        <f>'[11]دارایی فعلی'!$Q$4</f>
        <v>11317</v>
      </c>
      <c r="Q14" s="43">
        <f>'[11]دارایی فعلی'!$R$4</f>
        <v>6527</v>
      </c>
      <c r="R14" s="244" t="s">
        <v>106</v>
      </c>
      <c r="S14" s="64" t="s">
        <v>77</v>
      </c>
      <c r="T14" s="64">
        <v>11</v>
      </c>
    </row>
    <row r="15" spans="2:20" ht="19.2" thickBot="1" x14ac:dyDescent="0.35">
      <c r="B15" s="35">
        <f t="shared" si="0"/>
        <v>-4.0096557514693538</v>
      </c>
      <c r="C15" s="36">
        <f t="shared" si="1"/>
        <v>-1</v>
      </c>
      <c r="D15" s="37">
        <f>'[12]دارایی فعلی'!$D$4</f>
        <v>0</v>
      </c>
      <c r="E15" s="35">
        <f t="shared" si="2"/>
        <v>-4.0096557514693538</v>
      </c>
      <c r="F15" s="36">
        <f t="shared" si="3"/>
        <v>-1</v>
      </c>
      <c r="G15" s="37">
        <f>'[12]دارایی فعلی'!$G$4</f>
        <v>0</v>
      </c>
      <c r="H15" s="35">
        <f t="shared" si="4"/>
        <v>0.72942905121746449</v>
      </c>
      <c r="I15" s="36">
        <f t="shared" si="5"/>
        <v>0.18191812375667471</v>
      </c>
      <c r="J15" s="37">
        <f>'[12]دارایی فعلی'!$J$4</f>
        <v>45154</v>
      </c>
      <c r="K15" s="38">
        <f t="shared" si="6"/>
        <v>15092352</v>
      </c>
      <c r="L15" s="39">
        <f t="shared" si="7"/>
        <v>0.24939796879907861</v>
      </c>
      <c r="M15" s="40">
        <f>'[12]دارایی فعلی'!$M$4</f>
        <v>28676</v>
      </c>
      <c r="N15" s="41">
        <f t="shared" si="8"/>
        <v>60515136</v>
      </c>
      <c r="O15" s="36">
        <f>IF( (P15-M15)*Q15/سرمایه!F5&gt;0, (P15-M15)*Q15/سرمایه!F5, "Risk free")</f>
        <v>2.4226951063377661E-2</v>
      </c>
      <c r="P15" s="42">
        <f>'[12]دارایی فعلی'!$Q$4</f>
        <v>38204</v>
      </c>
      <c r="Q15" s="43">
        <f>'[12]دارایی فعلی'!$R$4</f>
        <v>1584</v>
      </c>
      <c r="R15" s="244" t="s">
        <v>107</v>
      </c>
      <c r="S15" s="64" t="s">
        <v>78</v>
      </c>
      <c r="T15" s="64">
        <v>12</v>
      </c>
    </row>
    <row r="16" spans="2:20" ht="19.2" thickBot="1" x14ac:dyDescent="0.35">
      <c r="B16" s="35">
        <f t="shared" si="0"/>
        <v>-5.9528619528619542</v>
      </c>
      <c r="C16" s="36">
        <f t="shared" si="1"/>
        <v>-1</v>
      </c>
      <c r="D16" s="37">
        <f>'[13]دارایی فعلی'!$D$4</f>
        <v>0</v>
      </c>
      <c r="E16" s="35">
        <f t="shared" si="2"/>
        <v>-5.9528619528619542</v>
      </c>
      <c r="F16" s="36">
        <f t="shared" si="3"/>
        <v>-1</v>
      </c>
      <c r="G16" s="37">
        <f>'[13]دارایی فعلی'!$G$4</f>
        <v>0</v>
      </c>
      <c r="H16" s="35">
        <f t="shared" si="4"/>
        <v>5.107744107744109</v>
      </c>
      <c r="I16" s="36">
        <f t="shared" si="5"/>
        <v>0.85803167420814486</v>
      </c>
      <c r="J16" s="37">
        <f>'[13]دارایی فعلی'!$J$4</f>
        <v>85410</v>
      </c>
      <c r="K16" s="38">
        <f t="shared" si="6"/>
        <v>2818530</v>
      </c>
      <c r="L16" s="39">
        <f t="shared" si="7"/>
        <v>0.16798642533936647</v>
      </c>
      <c r="M16" s="40">
        <f>'[13]دارایی فعلی'!$M$4</f>
        <v>38246</v>
      </c>
      <c r="N16" s="41">
        <f t="shared" si="8"/>
        <v>16778320</v>
      </c>
      <c r="O16" s="36">
        <f>IF( (P16-M16)*Q16/سرمایه!F5&gt;0, (P16-M16)*Q16/سرمایه!F5, "Risk free")</f>
        <v>4.5244365080182227E-3</v>
      </c>
      <c r="P16" s="42">
        <f>'[13]دارایی فعلی'!$Q$4</f>
        <v>45968</v>
      </c>
      <c r="Q16" s="43">
        <f>'[13]دارایی فعلی'!$R$4</f>
        <v>365</v>
      </c>
      <c r="R16" s="244" t="s">
        <v>108</v>
      </c>
      <c r="S16" s="64" t="s">
        <v>80</v>
      </c>
      <c r="T16" s="64">
        <v>13</v>
      </c>
    </row>
    <row r="17" spans="2:20" ht="19.2" thickBot="1" x14ac:dyDescent="0.35">
      <c r="B17" s="35">
        <f t="shared" si="0"/>
        <v>-21.366132723112113</v>
      </c>
      <c r="C17" s="36">
        <f t="shared" si="1"/>
        <v>-1</v>
      </c>
      <c r="D17" s="37">
        <f>'[14]دارایی فعلی'!$D$4</f>
        <v>0</v>
      </c>
      <c r="E17" s="35">
        <f t="shared" si="2"/>
        <v>11.478260869565208</v>
      </c>
      <c r="F17" s="36">
        <f t="shared" si="3"/>
        <v>0.53721752168790826</v>
      </c>
      <c r="G17" s="37">
        <f>'[14]دارایی فعلی'!$G$4</f>
        <v>28706</v>
      </c>
      <c r="H17" s="35">
        <f t="shared" si="4"/>
        <v>5.0972540045766559</v>
      </c>
      <c r="I17" s="36">
        <f t="shared" si="5"/>
        <v>0.23856699153903826</v>
      </c>
      <c r="J17" s="37">
        <f>'[14]دارایی فعلی'!$J$4</f>
        <v>23129</v>
      </c>
      <c r="K17" s="38">
        <f t="shared" si="6"/>
        <v>1112602</v>
      </c>
      <c r="L17" s="39">
        <f t="shared" si="7"/>
        <v>4.680304166220417E-2</v>
      </c>
      <c r="M17" s="40">
        <f>'[14]دارایی فعلی'!$M$4</f>
        <v>17800</v>
      </c>
      <c r="N17" s="41">
        <f t="shared" si="8"/>
        <v>23772002</v>
      </c>
      <c r="O17" s="36">
        <f>IF( (P17-M17)*Q17/سرمایه!F5&gt;0, (P17-M17)*Q17/سرمایه!F5, "Risk free")</f>
        <v>1.7860008968129098E-3</v>
      </c>
      <c r="P17" s="42">
        <f>'[14]دارایی فعلی'!$Q$4</f>
        <v>18674</v>
      </c>
      <c r="Q17" s="43">
        <f>'[14]دارایی فعلی'!$R$4</f>
        <v>1273</v>
      </c>
      <c r="R17" s="244" t="s">
        <v>109</v>
      </c>
      <c r="S17" s="64" t="s">
        <v>81</v>
      </c>
      <c r="T17" s="64">
        <v>14</v>
      </c>
    </row>
    <row r="18" spans="2:20" ht="19.2" thickBot="1" x14ac:dyDescent="0.35">
      <c r="B18" s="35">
        <f t="shared" si="0"/>
        <v>-5.250225022502252</v>
      </c>
      <c r="C18" s="36">
        <f t="shared" si="1"/>
        <v>-1</v>
      </c>
      <c r="D18" s="37">
        <f>'[15]دارایی فعلی'!$D$4</f>
        <v>0</v>
      </c>
      <c r="E18" s="35">
        <f t="shared" si="2"/>
        <v>-5.250225022502252</v>
      </c>
      <c r="F18" s="36">
        <f t="shared" si="3"/>
        <v>-1</v>
      </c>
      <c r="G18" s="37">
        <f>'[15]دارایی فعلی'!$G$4</f>
        <v>0</v>
      </c>
      <c r="H18" s="35">
        <f t="shared" si="4"/>
        <v>0.35553555355535599</v>
      </c>
      <c r="I18" s="36">
        <f t="shared" si="5"/>
        <v>6.7718155323161389E-2</v>
      </c>
      <c r="J18" s="37">
        <f>'[15]دارایی فعلی'!$J$4</f>
        <v>6228</v>
      </c>
      <c r="K18" s="38">
        <f t="shared" si="6"/>
        <v>589941</v>
      </c>
      <c r="L18" s="39">
        <f t="shared" si="7"/>
        <v>0.19046802674438534</v>
      </c>
      <c r="M18" s="40">
        <f>'[15]دارایی فعلی'!$M$4</f>
        <v>4722</v>
      </c>
      <c r="N18" s="41">
        <f t="shared" si="8"/>
        <v>3097323</v>
      </c>
      <c r="O18" s="36">
        <f>IF( (P18-M18)*Q18/سرمایه!F5&gt;0, (P18-M18)*Q18/سرمایه!F5, "Risk free")</f>
        <v>9.47000953680386E-4</v>
      </c>
      <c r="P18" s="42">
        <f>'[15]دارایی فعلی'!$Q$4</f>
        <v>5833</v>
      </c>
      <c r="Q18" s="43">
        <f>'[15]دارایی فعلی'!$R$4</f>
        <v>531</v>
      </c>
      <c r="R18" s="244" t="s">
        <v>110</v>
      </c>
      <c r="S18" s="64" t="s">
        <v>82</v>
      </c>
      <c r="T18" s="64">
        <v>15</v>
      </c>
    </row>
    <row r="19" spans="2:20" ht="19.2" thickBot="1" x14ac:dyDescent="0.35">
      <c r="B19" s="35" t="str">
        <f t="shared" si="0"/>
        <v>RF</v>
      </c>
      <c r="C19" s="36">
        <f t="shared" si="1"/>
        <v>-1</v>
      </c>
      <c r="D19" s="37">
        <f>'[16]دارایی فعلی'!$D$4</f>
        <v>0</v>
      </c>
      <c r="E19" s="35" t="str">
        <f t="shared" si="2"/>
        <v>RF</v>
      </c>
      <c r="F19" s="36">
        <f t="shared" ref="F19" si="9">(G19/P19)-1</f>
        <v>-1</v>
      </c>
      <c r="G19" s="37">
        <f>'[16]دارایی فعلی'!$G$4</f>
        <v>0</v>
      </c>
      <c r="H19" s="35" t="str">
        <f t="shared" ref="H19" si="10">IF(L19&gt;0, I19/L19,"RF")</f>
        <v>RF</v>
      </c>
      <c r="I19" s="36">
        <f t="shared" ref="I19" si="11">(J19/P19)-1</f>
        <v>-1</v>
      </c>
      <c r="J19" s="37">
        <f>'[16]دارایی فعلی'!$J$4</f>
        <v>0</v>
      </c>
      <c r="K19" s="38">
        <f t="shared" ref="K19" si="12">IF(L19&gt;0, N19-M19*Q19, 0)</f>
        <v>0</v>
      </c>
      <c r="L19" s="39">
        <f t="shared" ref="L19" si="13">IF(1-(M19/P19)&gt;0, 1-(M19/P19), 0)</f>
        <v>0</v>
      </c>
      <c r="M19" s="40">
        <f>'[16]دارایی فعلی'!$M$4</f>
        <v>3450</v>
      </c>
      <c r="N19" s="41">
        <f t="shared" ref="N19" si="14">Q19*P19</f>
        <v>1449000</v>
      </c>
      <c r="O19" s="36" t="str">
        <f>IF( (P19-M19)*Q19/سرمایه!F5&gt;0, (P19-M19)*Q19/سرمایه!F5, "Risk free")</f>
        <v>Risk free</v>
      </c>
      <c r="P19" s="42">
        <f>'[16]دارایی فعلی'!$Q$4</f>
        <v>3450</v>
      </c>
      <c r="Q19" s="43">
        <f>'[16]دارایی فعلی'!$R$4</f>
        <v>420</v>
      </c>
      <c r="R19" s="244" t="s">
        <v>112</v>
      </c>
      <c r="S19" s="64" t="s">
        <v>83</v>
      </c>
      <c r="T19" s="64">
        <v>16</v>
      </c>
    </row>
    <row r="20" spans="2:20" ht="19.2" thickBot="1" x14ac:dyDescent="0.35">
      <c r="B20" s="35" t="str">
        <f t="shared" si="0"/>
        <v>RF</v>
      </c>
      <c r="C20" s="36">
        <f t="shared" si="1"/>
        <v>-1</v>
      </c>
      <c r="D20" s="37">
        <f>'[17]دارایی فعلی'!$D$4</f>
        <v>0</v>
      </c>
      <c r="E20" s="35" t="str">
        <f t="shared" si="2"/>
        <v>RF</v>
      </c>
      <c r="F20" s="36">
        <f t="shared" si="3"/>
        <v>-1</v>
      </c>
      <c r="G20" s="37">
        <f>'[17]دارایی فعلی'!$G$4</f>
        <v>0</v>
      </c>
      <c r="H20" s="35" t="str">
        <f t="shared" si="4"/>
        <v>RF</v>
      </c>
      <c r="I20" s="36">
        <f t="shared" si="5"/>
        <v>-1</v>
      </c>
      <c r="J20" s="37">
        <f>'[17]دارایی فعلی'!$J$4</f>
        <v>0</v>
      </c>
      <c r="K20" s="38">
        <f t="shared" si="6"/>
        <v>0</v>
      </c>
      <c r="L20" s="39">
        <f t="shared" si="7"/>
        <v>0</v>
      </c>
      <c r="M20" s="40">
        <f>'[17]دارایی فعلی'!$M$4</f>
        <v>13310</v>
      </c>
      <c r="N20" s="41">
        <f t="shared" si="8"/>
        <v>2675310</v>
      </c>
      <c r="O20" s="36" t="str">
        <f>IF( (P20-M20)*Q20/سرمایه!F5&gt;0, (P20-M20)*Q20/سرمایه!F5, "Risk free")</f>
        <v>Risk free</v>
      </c>
      <c r="P20" s="42">
        <f>'[17]دارایی فعلی'!$Q$4</f>
        <v>13310</v>
      </c>
      <c r="Q20" s="43">
        <f>'[17]دارایی فعلی'!$R$4</f>
        <v>201</v>
      </c>
      <c r="R20" s="244" t="s">
        <v>113</v>
      </c>
      <c r="S20" s="64" t="s">
        <v>84</v>
      </c>
      <c r="T20" s="64">
        <v>17</v>
      </c>
    </row>
    <row r="21" spans="2:20" ht="19.2" thickBot="1" x14ac:dyDescent="0.35">
      <c r="B21" s="35" t="str">
        <f t="shared" si="0"/>
        <v>RF</v>
      </c>
      <c r="C21" s="36">
        <f t="shared" si="1"/>
        <v>-1</v>
      </c>
      <c r="D21" s="37">
        <f>'[18]دارایی فعلی'!$D$4</f>
        <v>0</v>
      </c>
      <c r="E21" s="35" t="str">
        <f t="shared" si="2"/>
        <v>RF</v>
      </c>
      <c r="F21" s="36">
        <f t="shared" si="3"/>
        <v>-1</v>
      </c>
      <c r="G21" s="37">
        <f>'[18]دارایی فعلی'!$G$4</f>
        <v>0</v>
      </c>
      <c r="H21" s="35" t="str">
        <f t="shared" si="4"/>
        <v>RF</v>
      </c>
      <c r="I21" s="36">
        <f t="shared" si="5"/>
        <v>-1</v>
      </c>
      <c r="J21" s="37">
        <f>'[18]دارایی فعلی'!$J$4</f>
        <v>0</v>
      </c>
      <c r="K21" s="38">
        <f t="shared" si="6"/>
        <v>0</v>
      </c>
      <c r="L21" s="39">
        <f t="shared" si="7"/>
        <v>0</v>
      </c>
      <c r="M21" s="40">
        <f>'[18]دارایی فعلی'!$M$4</f>
        <v>23838</v>
      </c>
      <c r="N21" s="41">
        <f t="shared" si="8"/>
        <v>882006</v>
      </c>
      <c r="O21" s="36" t="str">
        <f>IF( (P21-M21)*Q21/سرمایه!F5&gt;0, (P21-M21)*Q21/سرمایه!F5, "Risk free")</f>
        <v>Risk free</v>
      </c>
      <c r="P21" s="42">
        <f>'[18]دارایی فعلی'!$Q$4</f>
        <v>23838</v>
      </c>
      <c r="Q21" s="43">
        <f>'[18]دارایی فعلی'!$R$4</f>
        <v>37</v>
      </c>
      <c r="R21" s="244" t="s">
        <v>114</v>
      </c>
      <c r="S21" s="64" t="s">
        <v>85</v>
      </c>
      <c r="T21" s="64">
        <v>18</v>
      </c>
    </row>
    <row r="22" spans="2:20" ht="19.2" thickBot="1" x14ac:dyDescent="0.35">
      <c r="B22" s="35" t="str">
        <f t="shared" si="0"/>
        <v>RF</v>
      </c>
      <c r="C22" s="36">
        <f t="shared" si="1"/>
        <v>-1</v>
      </c>
      <c r="D22" s="37">
        <f>'[19]دارایی فعلی'!$D$4</f>
        <v>0</v>
      </c>
      <c r="E22" s="35" t="str">
        <f t="shared" si="2"/>
        <v>RF</v>
      </c>
      <c r="F22" s="36">
        <f t="shared" si="3"/>
        <v>-1</v>
      </c>
      <c r="G22" s="37">
        <f>'[19]دارایی فعلی'!$G$4</f>
        <v>0</v>
      </c>
      <c r="H22" s="35" t="str">
        <f t="shared" si="4"/>
        <v>RF</v>
      </c>
      <c r="I22" s="36">
        <f t="shared" si="5"/>
        <v>-1</v>
      </c>
      <c r="J22" s="37">
        <f>'[19]دارایی فعلی'!$J$4</f>
        <v>0</v>
      </c>
      <c r="K22" s="38">
        <f t="shared" si="6"/>
        <v>0</v>
      </c>
      <c r="L22" s="39">
        <f t="shared" si="7"/>
        <v>0</v>
      </c>
      <c r="M22" s="40">
        <f>'[19]دارایی فعلی'!$M$4</f>
        <v>20185</v>
      </c>
      <c r="N22" s="41">
        <f t="shared" si="8"/>
        <v>423885</v>
      </c>
      <c r="O22" s="36" t="str">
        <f>IF( (P22-M22)*Q22/سرمایه!F5&gt;0, (P22-M22)*Q22/سرمایه!F5, "Risk free")</f>
        <v>Risk free</v>
      </c>
      <c r="P22" s="42">
        <f>'[19]دارایی فعلی'!$Q$4</f>
        <v>20185</v>
      </c>
      <c r="Q22" s="43">
        <f>'[19]دارایی فعلی'!$R$4</f>
        <v>21</v>
      </c>
      <c r="R22" s="244" t="s">
        <v>115</v>
      </c>
      <c r="S22" s="64" t="s">
        <v>86</v>
      </c>
      <c r="T22" s="64">
        <v>19</v>
      </c>
    </row>
    <row r="23" spans="2:20" ht="19.2" thickBot="1" x14ac:dyDescent="0.35">
      <c r="B23" s="35" t="str">
        <f t="shared" si="0"/>
        <v>RF</v>
      </c>
      <c r="C23" s="36">
        <f t="shared" si="1"/>
        <v>-1</v>
      </c>
      <c r="D23" s="37">
        <f>'[20]دارایی فعلی'!$D$4</f>
        <v>0</v>
      </c>
      <c r="E23" s="35" t="str">
        <f t="shared" si="2"/>
        <v>RF</v>
      </c>
      <c r="F23" s="36">
        <f t="shared" si="3"/>
        <v>-1</v>
      </c>
      <c r="G23" s="37">
        <f>'[20]دارایی فعلی'!$G$4</f>
        <v>0</v>
      </c>
      <c r="H23" s="35" t="str">
        <f t="shared" si="4"/>
        <v>RF</v>
      </c>
      <c r="I23" s="36">
        <f t="shared" si="5"/>
        <v>-1</v>
      </c>
      <c r="J23" s="37">
        <f>'[20]دارایی فعلی'!$J$4</f>
        <v>0</v>
      </c>
      <c r="K23" s="38">
        <f t="shared" si="6"/>
        <v>0</v>
      </c>
      <c r="L23" s="39">
        <f t="shared" si="7"/>
        <v>0</v>
      </c>
      <c r="M23" s="40">
        <f>'[20]دارایی فعلی'!$M$4</f>
        <v>4443</v>
      </c>
      <c r="N23" s="41">
        <f t="shared" si="8"/>
        <v>5940291</v>
      </c>
      <c r="O23" s="36" t="str">
        <f>IF( (P23-M23)*Q23/سرمایه!F5&gt;0, (P23-M23)*Q23/سرمایه!F5, "Risk free")</f>
        <v>Risk free</v>
      </c>
      <c r="P23" s="42">
        <f>'[20]دارایی فعلی'!$Q$4</f>
        <v>4443</v>
      </c>
      <c r="Q23" s="43">
        <f>'[20]دارایی فعلی'!$R$4</f>
        <v>1337</v>
      </c>
      <c r="R23" s="244" t="s">
        <v>111</v>
      </c>
      <c r="S23" s="64" t="s">
        <v>87</v>
      </c>
      <c r="T23" s="64">
        <v>20</v>
      </c>
    </row>
    <row r="24" spans="2:20" ht="19.2" thickBot="1" x14ac:dyDescent="0.35">
      <c r="B24" s="35" t="str">
        <f>IF(L24&gt;0, C24/L24,"RF")</f>
        <v>RF</v>
      </c>
      <c r="C24" s="36">
        <f>(D24/P24)-1</f>
        <v>-1</v>
      </c>
      <c r="D24" s="37">
        <f>'[21]دارایی فعلی'!$D$4</f>
        <v>0</v>
      </c>
      <c r="E24" s="35" t="str">
        <f>IF(L24&gt;0, F24/L24,"RF")</f>
        <v>RF</v>
      </c>
      <c r="F24" s="36">
        <f>(G24/P24)-1</f>
        <v>-1</v>
      </c>
      <c r="G24" s="37">
        <f>'[21]دارایی فعلی'!$G$4</f>
        <v>0</v>
      </c>
      <c r="H24" s="35" t="str">
        <f>IF(L24&gt;0, I24/L24,"RF")</f>
        <v>RF</v>
      </c>
      <c r="I24" s="36">
        <f>(J24/P24)-1</f>
        <v>-1</v>
      </c>
      <c r="J24" s="37">
        <f>'[21]دارایی فعلی'!$J$4</f>
        <v>0</v>
      </c>
      <c r="K24" s="38">
        <f>IF(L24&gt;0, N24-M24*Q24, 0)</f>
        <v>0</v>
      </c>
      <c r="L24" s="39">
        <f>IF(1-(M24/P24)&gt;0, 1-(M24/P24), 0)</f>
        <v>0</v>
      </c>
      <c r="M24" s="40">
        <f>'[21]دارایی فعلی'!$M$4</f>
        <v>17246</v>
      </c>
      <c r="N24" s="41">
        <f>Q24*P24</f>
        <v>1155482</v>
      </c>
      <c r="O24" s="36" t="str">
        <f>IF( (P24-M24)*Q24/سرمایه!F5&gt;0, (P24-M24)*Q24/سرمایه!F5, "Risk free")</f>
        <v>Risk free</v>
      </c>
      <c r="P24" s="42">
        <f>'[21]دارایی فعلی'!$Q$4</f>
        <v>17246</v>
      </c>
      <c r="Q24" s="43">
        <f>'[21]دارایی فعلی'!$R$4</f>
        <v>67</v>
      </c>
      <c r="R24" s="244" t="s">
        <v>116</v>
      </c>
      <c r="S24" s="64" t="s">
        <v>88</v>
      </c>
      <c r="T24" s="64">
        <v>21</v>
      </c>
    </row>
    <row r="25" spans="2:20" ht="19.2" thickBot="1" x14ac:dyDescent="0.35">
      <c r="B25" s="35" t="str">
        <f t="shared" ref="B25:B26" si="15">IF(L25&gt;0, C25/L25,"RF")</f>
        <v>RF</v>
      </c>
      <c r="C25" s="36">
        <f t="shared" ref="C25:C26" si="16">(D25/P25)-1</f>
        <v>-1</v>
      </c>
      <c r="D25" s="37">
        <f>'[22]دارایی فعلی'!$D$4</f>
        <v>0</v>
      </c>
      <c r="E25" s="35" t="str">
        <f t="shared" ref="E25:E26" si="17">IF(L25&gt;0, F25/L25,"RF")</f>
        <v>RF</v>
      </c>
      <c r="F25" s="36">
        <f t="shared" ref="F25:F26" si="18">(G25/P25)-1</f>
        <v>-1</v>
      </c>
      <c r="G25" s="37">
        <f>'[22]دارایی فعلی'!$G$4</f>
        <v>0</v>
      </c>
      <c r="H25" s="35" t="str">
        <f t="shared" ref="H25:H26" si="19">IF(L25&gt;0, I25/L25,"RF")</f>
        <v>RF</v>
      </c>
      <c r="I25" s="36">
        <f t="shared" ref="I25:I26" si="20">(J25/P25)-1</f>
        <v>-1</v>
      </c>
      <c r="J25" s="37">
        <f>'[22]دارایی فعلی'!$J$4</f>
        <v>0</v>
      </c>
      <c r="K25" s="38">
        <f t="shared" ref="K25:K26" si="21">IF(L25&gt;0, N25-M25*Q25, 0)</f>
        <v>0</v>
      </c>
      <c r="L25" s="39">
        <f t="shared" ref="L25:L26" si="22">IF(1-(M25/P25)&gt;0, 1-(M25/P25), 0)</f>
        <v>0</v>
      </c>
      <c r="M25" s="40">
        <f>'[22]دارایی فعلی'!$M$4</f>
        <v>29923</v>
      </c>
      <c r="N25" s="41">
        <f t="shared" ref="N25:N26" si="23">Q25*P25</f>
        <v>1137074</v>
      </c>
      <c r="O25" s="36" t="str">
        <f>IF( (P25-M25)*Q25/سرمایه!F5&gt;0, (P25-M25)*Q25/سرمایه!F5, "Risk free")</f>
        <v>Risk free</v>
      </c>
      <c r="P25" s="42">
        <f>'[22]دارایی فعلی'!$Q$4</f>
        <v>29923</v>
      </c>
      <c r="Q25" s="43">
        <f>'[22]دارایی فعلی'!$R$4</f>
        <v>38</v>
      </c>
      <c r="R25" s="244" t="s">
        <v>117</v>
      </c>
      <c r="S25" s="64" t="s">
        <v>89</v>
      </c>
      <c r="T25" s="64">
        <v>22</v>
      </c>
    </row>
    <row r="26" spans="2:20" ht="19.2" thickBot="1" x14ac:dyDescent="0.35">
      <c r="B26" s="35" t="str">
        <f t="shared" si="15"/>
        <v>RF</v>
      </c>
      <c r="C26" s="36">
        <f t="shared" si="16"/>
        <v>-1</v>
      </c>
      <c r="D26" s="37">
        <f>'[23]دارایی فعلی'!$D$4</f>
        <v>0</v>
      </c>
      <c r="E26" s="35" t="str">
        <f t="shared" si="17"/>
        <v>RF</v>
      </c>
      <c r="F26" s="36">
        <f t="shared" si="18"/>
        <v>-1</v>
      </c>
      <c r="G26" s="37">
        <f>'[23]دارایی فعلی'!$G$4</f>
        <v>0</v>
      </c>
      <c r="H26" s="35" t="str">
        <f t="shared" si="19"/>
        <v>RF</v>
      </c>
      <c r="I26" s="36">
        <f t="shared" si="20"/>
        <v>-1</v>
      </c>
      <c r="J26" s="37">
        <f>'[23]دارایی فعلی'!$J$4</f>
        <v>0</v>
      </c>
      <c r="K26" s="38">
        <f t="shared" si="21"/>
        <v>0</v>
      </c>
      <c r="L26" s="39">
        <f t="shared" si="22"/>
        <v>0</v>
      </c>
      <c r="M26" s="40">
        <f>'[23]دارایی فعلی'!$M$4</f>
        <v>5707</v>
      </c>
      <c r="N26" s="41">
        <f t="shared" si="23"/>
        <v>2105883</v>
      </c>
      <c r="O26" s="36" t="str">
        <f>IF( (P26-M26)*Q26/سرمایه!F5&gt;0, (P26-M26)*Q26/سرمایه!F5, "Risk free")</f>
        <v>Risk free</v>
      </c>
      <c r="P26" s="42">
        <f>'[23]دارایی فعلی'!$Q$4</f>
        <v>5707</v>
      </c>
      <c r="Q26" s="43">
        <f>'[23]دارایی فعلی'!$R$4</f>
        <v>369</v>
      </c>
      <c r="R26" s="244" t="s">
        <v>118</v>
      </c>
      <c r="S26" s="64" t="s">
        <v>93</v>
      </c>
      <c r="T26" s="64">
        <v>23</v>
      </c>
    </row>
    <row r="27" spans="2:20" ht="19.2" thickBot="1" x14ac:dyDescent="0.35">
      <c r="B27" s="35"/>
      <c r="C27" s="36"/>
      <c r="D27" s="37"/>
      <c r="E27" s="35"/>
      <c r="F27" s="36"/>
      <c r="G27" s="37"/>
      <c r="H27" s="35"/>
      <c r="I27" s="36"/>
      <c r="J27" s="37"/>
      <c r="K27" s="38"/>
      <c r="L27" s="39"/>
      <c r="M27" s="40"/>
      <c r="N27" s="41"/>
      <c r="O27" s="36"/>
      <c r="P27" s="42"/>
      <c r="Q27" s="43"/>
      <c r="R27" s="244"/>
      <c r="S27" s="64"/>
      <c r="T27" s="64"/>
    </row>
    <row r="28" spans="2:20" ht="19.2" thickBot="1" x14ac:dyDescent="0.35">
      <c r="B28" s="35"/>
      <c r="C28" s="36"/>
      <c r="D28" s="37"/>
      <c r="E28" s="35"/>
      <c r="F28" s="36"/>
      <c r="G28" s="37"/>
      <c r="H28" s="35"/>
      <c r="I28" s="36"/>
      <c r="J28" s="37"/>
      <c r="K28" s="38"/>
      <c r="L28" s="39"/>
      <c r="M28" s="40"/>
      <c r="N28" s="41"/>
      <c r="O28" s="36"/>
      <c r="P28" s="42"/>
      <c r="Q28" s="43"/>
      <c r="R28" s="245"/>
      <c r="S28" s="64"/>
      <c r="T28" s="64"/>
    </row>
  </sheetData>
  <mergeCells count="9">
    <mergeCell ref="K2:M2"/>
    <mergeCell ref="B2:J2"/>
    <mergeCell ref="T2:T3"/>
    <mergeCell ref="R2:R3"/>
    <mergeCell ref="Q2:Q3"/>
    <mergeCell ref="N2:N3"/>
    <mergeCell ref="O2:O3"/>
    <mergeCell ref="P2:P3"/>
    <mergeCell ref="S2:S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"/>
  <sheetViews>
    <sheetView workbookViewId="0">
      <selection activeCell="I8" sqref="I8"/>
    </sheetView>
  </sheetViews>
  <sheetFormatPr defaultRowHeight="16.8" x14ac:dyDescent="0.3"/>
  <cols>
    <col min="1" max="1" width="8.88671875" style="34"/>
    <col min="2" max="2" width="7.44140625" style="34" customWidth="1"/>
    <col min="3" max="3" width="11.44140625" style="34" customWidth="1"/>
    <col min="4" max="4" width="7.44140625" style="34" customWidth="1"/>
    <col min="5" max="5" width="11.21875" style="34" customWidth="1"/>
    <col min="6" max="6" width="15.44140625" style="34" bestFit="1" customWidth="1"/>
    <col min="7" max="7" width="7.5546875" style="34" customWidth="1"/>
    <col min="8" max="8" width="11.109375" style="34" customWidth="1"/>
    <col min="9" max="9" width="20" style="34" bestFit="1" customWidth="1"/>
    <col min="10" max="11" width="13.88671875" style="34" customWidth="1"/>
    <col min="12" max="12" width="12.109375" style="34" bestFit="1" customWidth="1"/>
    <col min="13" max="16384" width="8.88671875" style="34"/>
  </cols>
  <sheetData>
    <row r="3" spans="2:12" ht="14.4" customHeight="1" x14ac:dyDescent="0.3">
      <c r="B3" s="237" t="s">
        <v>142</v>
      </c>
      <c r="C3" s="238"/>
      <c r="D3" s="235" t="s">
        <v>140</v>
      </c>
      <c r="E3" s="236"/>
      <c r="F3" s="233" t="s">
        <v>91</v>
      </c>
      <c r="G3" s="255" t="s">
        <v>145</v>
      </c>
      <c r="H3" s="256"/>
      <c r="I3" s="232" t="s">
        <v>92</v>
      </c>
      <c r="J3" s="230" t="s">
        <v>90</v>
      </c>
      <c r="K3" s="262" t="s">
        <v>141</v>
      </c>
      <c r="L3" s="262" t="s">
        <v>79</v>
      </c>
    </row>
    <row r="4" spans="2:12" ht="14.4" customHeight="1" x14ac:dyDescent="0.3">
      <c r="B4" s="239" t="s">
        <v>143</v>
      </c>
      <c r="C4" s="239" t="s">
        <v>144</v>
      </c>
      <c r="D4" s="242" t="s">
        <v>143</v>
      </c>
      <c r="E4" s="242" t="s">
        <v>144</v>
      </c>
      <c r="F4" s="233"/>
      <c r="G4" s="257" t="s">
        <v>143</v>
      </c>
      <c r="H4" s="257" t="s">
        <v>144</v>
      </c>
      <c r="I4" s="232"/>
      <c r="J4" s="231"/>
      <c r="K4" s="262"/>
      <c r="L4" s="262"/>
    </row>
    <row r="5" spans="2:12" x14ac:dyDescent="0.3">
      <c r="B5" s="240">
        <f>C5/'مجموع واریز'!C26</f>
        <v>5.1658387649754153E-2</v>
      </c>
      <c r="C5" s="241">
        <f>K5-'مجموع واریز'!C26</f>
        <v>31636824</v>
      </c>
      <c r="D5" s="260">
        <f>E5/'مجموع واریز'!C26</f>
        <v>1.7199486185839687E-2</v>
      </c>
      <c r="E5" s="261">
        <f>F5-'مجموع واریز'!C26</f>
        <v>10533374</v>
      </c>
      <c r="F5" s="234">
        <f>J5+L5</f>
        <v>622957134</v>
      </c>
      <c r="G5" s="258">
        <f>(F5-I5)/F5*100</f>
        <v>9.9291634406421281</v>
      </c>
      <c r="H5" s="259">
        <f>SUM(پرتفوی!K4:K28)</f>
        <v>61854432</v>
      </c>
      <c r="I5" s="228">
        <f>L5+J5-SUM(پرتفوی!K4:K28)</f>
        <v>561102702</v>
      </c>
      <c r="J5" s="229">
        <f>SUMPRODUCT(پرتفوی!P4:P28*پرتفوی!Q4:Q28)</f>
        <v>462260795</v>
      </c>
      <c r="K5" s="65">
        <v>644060584</v>
      </c>
      <c r="L5" s="65">
        <v>160696339</v>
      </c>
    </row>
    <row r="6" spans="2:12" x14ac:dyDescent="0.3">
      <c r="B6" s="240"/>
      <c r="C6" s="241"/>
      <c r="D6" s="260"/>
      <c r="E6" s="261"/>
      <c r="F6" s="234"/>
      <c r="G6" s="258"/>
      <c r="H6" s="259"/>
      <c r="I6" s="228"/>
      <c r="J6" s="229"/>
      <c r="K6" s="65"/>
      <c r="L6" s="65"/>
    </row>
  </sheetData>
  <mergeCells count="19">
    <mergeCell ref="B5:B6"/>
    <mergeCell ref="C5:C6"/>
    <mergeCell ref="B3:C3"/>
    <mergeCell ref="D5:D6"/>
    <mergeCell ref="E5:E6"/>
    <mergeCell ref="K3:K4"/>
    <mergeCell ref="K5:K6"/>
    <mergeCell ref="D3:E3"/>
    <mergeCell ref="G3:H3"/>
    <mergeCell ref="I3:I4"/>
    <mergeCell ref="L3:L4"/>
    <mergeCell ref="L5:L6"/>
    <mergeCell ref="I5:I6"/>
    <mergeCell ref="J3:J4"/>
    <mergeCell ref="J5:J6"/>
    <mergeCell ref="F3:F4"/>
    <mergeCell ref="F5:F6"/>
    <mergeCell ref="G5:G6"/>
    <mergeCell ref="H5:H6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H23" sqref="H23"/>
    </sheetView>
  </sheetViews>
  <sheetFormatPr defaultRowHeight="14.4" x14ac:dyDescent="0.3"/>
  <cols>
    <col min="1" max="1" width="8.88671875" style="27"/>
    <col min="2" max="2" width="7.44140625" style="27" bestFit="1" customWidth="1"/>
    <col min="3" max="3" width="9.6640625" style="225" bestFit="1" customWidth="1"/>
    <col min="4" max="4" width="7" style="27" bestFit="1" customWidth="1"/>
    <col min="5" max="5" width="8.88671875" style="27"/>
    <col min="6" max="7" width="10" style="27" bestFit="1" customWidth="1"/>
    <col min="8" max="16384" width="8.88671875" style="27"/>
  </cols>
  <sheetData>
    <row r="2" spans="2:7" ht="15" customHeight="1" x14ac:dyDescent="0.3">
      <c r="B2" s="219" t="s">
        <v>119</v>
      </c>
      <c r="C2" s="226" t="s">
        <v>120</v>
      </c>
      <c r="D2" s="220" t="s">
        <v>0</v>
      </c>
    </row>
    <row r="3" spans="2:7" ht="15" customHeight="1" x14ac:dyDescent="0.3">
      <c r="B3" s="221"/>
      <c r="C3" s="226"/>
      <c r="D3" s="220"/>
    </row>
    <row r="4" spans="2:7" ht="15" customHeight="1" x14ac:dyDescent="0.3">
      <c r="B4" s="222" t="s">
        <v>121</v>
      </c>
      <c r="C4" s="227">
        <v>2400000</v>
      </c>
      <c r="D4" s="223" t="s">
        <v>122</v>
      </c>
    </row>
    <row r="5" spans="2:7" ht="15" customHeight="1" x14ac:dyDescent="0.3">
      <c r="B5" s="222" t="s">
        <v>123</v>
      </c>
      <c r="C5" s="227">
        <v>-1270000</v>
      </c>
      <c r="D5" s="223" t="s">
        <v>124</v>
      </c>
    </row>
    <row r="6" spans="2:7" ht="15" customHeight="1" x14ac:dyDescent="0.3">
      <c r="B6" s="222" t="s">
        <v>121</v>
      </c>
      <c r="C6" s="227">
        <v>2820000</v>
      </c>
      <c r="D6" s="223" t="s">
        <v>125</v>
      </c>
    </row>
    <row r="7" spans="2:7" ht="15" customHeight="1" x14ac:dyDescent="0.3">
      <c r="B7" s="222" t="s">
        <v>121</v>
      </c>
      <c r="C7" s="227">
        <v>27000</v>
      </c>
      <c r="D7" s="223" t="s">
        <v>125</v>
      </c>
    </row>
    <row r="8" spans="2:7" ht="15" customHeight="1" x14ac:dyDescent="0.3">
      <c r="B8" s="222" t="s">
        <v>123</v>
      </c>
      <c r="C8" s="227">
        <v>-760000</v>
      </c>
      <c r="D8" s="223" t="s">
        <v>126</v>
      </c>
    </row>
    <row r="9" spans="2:7" ht="15" customHeight="1" x14ac:dyDescent="0.3">
      <c r="B9" s="222" t="s">
        <v>121</v>
      </c>
      <c r="C9" s="227">
        <v>30000000</v>
      </c>
      <c r="D9" s="223" t="s">
        <v>127</v>
      </c>
    </row>
    <row r="10" spans="2:7" ht="15" customHeight="1" x14ac:dyDescent="0.3">
      <c r="B10" s="222" t="s">
        <v>121</v>
      </c>
      <c r="C10" s="227">
        <v>3000000</v>
      </c>
      <c r="D10" s="223" t="s">
        <v>128</v>
      </c>
    </row>
    <row r="11" spans="2:7" ht="15" customHeight="1" x14ac:dyDescent="0.3">
      <c r="B11" s="222" t="s">
        <v>129</v>
      </c>
      <c r="C11" s="227">
        <v>2465204</v>
      </c>
      <c r="D11" s="223" t="s">
        <v>130</v>
      </c>
    </row>
    <row r="12" spans="2:7" ht="15" customHeight="1" x14ac:dyDescent="0.3">
      <c r="B12" s="222" t="s">
        <v>121</v>
      </c>
      <c r="C12" s="227">
        <v>20000000</v>
      </c>
      <c r="D12" s="223" t="s">
        <v>131</v>
      </c>
    </row>
    <row r="13" spans="2:7" ht="15" customHeight="1" x14ac:dyDescent="0.3">
      <c r="B13" s="222" t="s">
        <v>121</v>
      </c>
      <c r="C13" s="227">
        <v>4000000</v>
      </c>
      <c r="D13" s="223" t="s">
        <v>132</v>
      </c>
    </row>
    <row r="14" spans="2:7" ht="15" customHeight="1" x14ac:dyDescent="0.3">
      <c r="B14" s="222" t="s">
        <v>121</v>
      </c>
      <c r="C14" s="227">
        <v>18700000</v>
      </c>
      <c r="D14" s="223" t="s">
        <v>133</v>
      </c>
    </row>
    <row r="15" spans="2:7" ht="15" customHeight="1" x14ac:dyDescent="0.3">
      <c r="B15" s="222" t="s">
        <v>121</v>
      </c>
      <c r="C15" s="227">
        <v>323000000</v>
      </c>
      <c r="D15" s="223" t="s">
        <v>134</v>
      </c>
      <c r="F15" s="27">
        <v>483091245</v>
      </c>
      <c r="G15" s="27">
        <v>160696339</v>
      </c>
    </row>
    <row r="16" spans="2:7" ht="15" customHeight="1" x14ac:dyDescent="0.3">
      <c r="B16" s="222" t="s">
        <v>121</v>
      </c>
      <c r="C16" s="227">
        <v>2000000</v>
      </c>
      <c r="D16" s="223" t="s">
        <v>134</v>
      </c>
    </row>
    <row r="17" spans="2:4" ht="15" customHeight="1" x14ac:dyDescent="0.3">
      <c r="B17" s="222" t="s">
        <v>121</v>
      </c>
      <c r="C17" s="227">
        <v>33966647</v>
      </c>
      <c r="D17" s="223" t="s">
        <v>135</v>
      </c>
    </row>
    <row r="18" spans="2:4" ht="15" customHeight="1" x14ac:dyDescent="0.3">
      <c r="B18" s="222" t="s">
        <v>121</v>
      </c>
      <c r="C18" s="227">
        <v>10000000</v>
      </c>
      <c r="D18" s="223" t="s">
        <v>135</v>
      </c>
    </row>
    <row r="19" spans="2:4" ht="15" customHeight="1" x14ac:dyDescent="0.3">
      <c r="B19" s="222" t="s">
        <v>121</v>
      </c>
      <c r="C19" s="227">
        <v>48800000</v>
      </c>
      <c r="D19" s="223" t="s">
        <v>135</v>
      </c>
    </row>
    <row r="20" spans="2:4" ht="15" customHeight="1" x14ac:dyDescent="0.3">
      <c r="B20" s="222" t="s">
        <v>121</v>
      </c>
      <c r="C20" s="227">
        <v>70000000</v>
      </c>
      <c r="D20" s="223" t="s">
        <v>135</v>
      </c>
    </row>
    <row r="21" spans="2:4" ht="15" customHeight="1" x14ac:dyDescent="0.3">
      <c r="B21" s="222" t="s">
        <v>129</v>
      </c>
      <c r="C21" s="227">
        <v>3274909</v>
      </c>
      <c r="D21" s="223" t="s">
        <v>136</v>
      </c>
    </row>
    <row r="22" spans="2:4" ht="15" customHeight="1" x14ac:dyDescent="0.3">
      <c r="B22" s="222" t="s">
        <v>121</v>
      </c>
      <c r="C22" s="227">
        <v>50000000</v>
      </c>
      <c r="D22" s="223" t="s">
        <v>137</v>
      </c>
    </row>
    <row r="23" spans="2:4" ht="15" customHeight="1" x14ac:dyDescent="0.3">
      <c r="B23" s="222" t="s">
        <v>123</v>
      </c>
      <c r="C23" s="227">
        <v>-10000000</v>
      </c>
      <c r="D23" s="223" t="s">
        <v>138</v>
      </c>
    </row>
    <row r="24" spans="2:4" ht="15" customHeight="1" x14ac:dyDescent="0.3">
      <c r="B24" s="222"/>
      <c r="C24" s="227"/>
      <c r="D24" s="223"/>
    </row>
    <row r="25" spans="2:4" ht="15" customHeight="1" x14ac:dyDescent="0.3">
      <c r="B25" s="223"/>
      <c r="C25" s="227"/>
      <c r="D25" s="223"/>
    </row>
    <row r="26" spans="2:4" ht="15" customHeight="1" x14ac:dyDescent="0.3">
      <c r="C26" s="227">
        <f>SUM(C4:C25)</f>
        <v>612423760</v>
      </c>
      <c r="D26" s="224" t="s">
        <v>139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"/>
  <sheetViews>
    <sheetView zoomScale="90" zoomScaleNormal="90" workbookViewId="0">
      <selection activeCell="I18" sqref="I18"/>
    </sheetView>
  </sheetViews>
  <sheetFormatPr defaultRowHeight="14.4" x14ac:dyDescent="0.3"/>
  <cols>
    <col min="1" max="1" width="4.44140625" customWidth="1"/>
    <col min="2" max="2" width="10.44140625" bestFit="1" customWidth="1"/>
    <col min="4" max="4" width="10.33203125" bestFit="1" customWidth="1"/>
    <col min="6" max="6" width="10.33203125" bestFit="1" customWidth="1"/>
    <col min="8" max="8" width="10.44140625" bestFit="1" customWidth="1"/>
    <col min="10" max="10" width="10.21875" bestFit="1" customWidth="1"/>
    <col min="12" max="12" width="10.33203125" bestFit="1" customWidth="1"/>
    <col min="14" max="14" width="10.44140625" bestFit="1" customWidth="1"/>
    <col min="16" max="16" width="10.44140625" bestFit="1" customWidth="1"/>
    <col min="18" max="18" width="9.6640625" bestFit="1" customWidth="1"/>
    <col min="20" max="20" width="9.6640625" bestFit="1" customWidth="1"/>
  </cols>
  <sheetData>
    <row r="2" spans="2:23" ht="15" thickBot="1" x14ac:dyDescent="0.35"/>
    <row r="3" spans="2:23" ht="14.4" customHeight="1" x14ac:dyDescent="0.3">
      <c r="B3" s="66">
        <v>0.05</v>
      </c>
      <c r="C3" s="67"/>
      <c r="D3" s="72">
        <v>4.4999999999999998E-2</v>
      </c>
      <c r="E3" s="73"/>
      <c r="F3" s="74">
        <v>0.04</v>
      </c>
      <c r="G3" s="75"/>
      <c r="H3" s="76">
        <v>3.5000000000000003E-2</v>
      </c>
      <c r="I3" s="77"/>
      <c r="J3" s="90">
        <v>0.03</v>
      </c>
      <c r="K3" s="91"/>
      <c r="L3" s="92">
        <v>2.5000000000000001E-2</v>
      </c>
      <c r="M3" s="93"/>
      <c r="N3" s="88">
        <v>0.02</v>
      </c>
      <c r="O3" s="89"/>
      <c r="P3" s="80">
        <v>1.4999999999999999E-2</v>
      </c>
      <c r="Q3" s="81"/>
      <c r="R3" s="78">
        <v>0.01</v>
      </c>
      <c r="S3" s="79"/>
      <c r="T3" s="86">
        <v>5.0000000000000001E-3</v>
      </c>
      <c r="U3" s="87"/>
      <c r="V3" s="82" t="s">
        <v>19</v>
      </c>
      <c r="W3" s="82" t="s">
        <v>94</v>
      </c>
    </row>
    <row r="4" spans="2:23" ht="18.600000000000001" customHeight="1" x14ac:dyDescent="0.3">
      <c r="B4" s="44" t="s">
        <v>96</v>
      </c>
      <c r="C4" s="45" t="s">
        <v>95</v>
      </c>
      <c r="D4" s="46" t="s">
        <v>96</v>
      </c>
      <c r="E4" s="47" t="s">
        <v>95</v>
      </c>
      <c r="F4" s="48" t="s">
        <v>96</v>
      </c>
      <c r="G4" s="49" t="s">
        <v>95</v>
      </c>
      <c r="H4" s="50" t="s">
        <v>96</v>
      </c>
      <c r="I4" s="51" t="s">
        <v>95</v>
      </c>
      <c r="J4" s="52" t="s">
        <v>96</v>
      </c>
      <c r="K4" s="53" t="s">
        <v>95</v>
      </c>
      <c r="L4" s="54" t="s">
        <v>96</v>
      </c>
      <c r="M4" s="55" t="s">
        <v>95</v>
      </c>
      <c r="N4" s="56" t="s">
        <v>96</v>
      </c>
      <c r="O4" s="57" t="s">
        <v>95</v>
      </c>
      <c r="P4" s="58" t="s">
        <v>96</v>
      </c>
      <c r="Q4" s="59" t="s">
        <v>95</v>
      </c>
      <c r="R4" s="60" t="s">
        <v>96</v>
      </c>
      <c r="S4" s="61" t="s">
        <v>95</v>
      </c>
      <c r="T4" s="62" t="s">
        <v>96</v>
      </c>
      <c r="U4" s="63" t="s">
        <v>95</v>
      </c>
      <c r="V4" s="83"/>
      <c r="W4" s="83"/>
    </row>
    <row r="5" spans="2:23" ht="14.4" customHeight="1" x14ac:dyDescent="0.3">
      <c r="B5" s="68">
        <f>C5*W5</f>
        <v>138560961.04503539</v>
      </c>
      <c r="C5" s="70">
        <f>سرمایه!I5*5/((W5-V5)*100)</f>
        <v>6016.5419472442636</v>
      </c>
      <c r="D5" s="68">
        <f>E5*W5</f>
        <v>124704864.94053183</v>
      </c>
      <c r="E5" s="70">
        <f>سرمایه!I5*4.5/((W5-V5)*100)</f>
        <v>5414.8877525198368</v>
      </c>
      <c r="F5" s="68">
        <f>G5*W5</f>
        <v>110848768.83602831</v>
      </c>
      <c r="G5" s="70">
        <f>سرمایه!I5*4/((W5-V5)*100)</f>
        <v>4813.2335577954109</v>
      </c>
      <c r="H5" s="68">
        <f>I5*W5</f>
        <v>96992672.731524765</v>
      </c>
      <c r="I5" s="70">
        <f>سرمایه!I5*3.5/((W5-V5)*100)</f>
        <v>4211.5793630709841</v>
      </c>
      <c r="J5" s="68">
        <f>K5*W5</f>
        <v>83136576.627021238</v>
      </c>
      <c r="K5" s="70">
        <f>سرمایه!I5*3/((W5-V5)*100)</f>
        <v>3609.9251683465582</v>
      </c>
      <c r="L5" s="68">
        <f>M5*W5</f>
        <v>69280480.522517696</v>
      </c>
      <c r="M5" s="70">
        <f>سرمایه!I5*2.5/((W5-V5)*100)</f>
        <v>3008.2709736221318</v>
      </c>
      <c r="N5" s="68">
        <f>O5*W5</f>
        <v>55424384.418014154</v>
      </c>
      <c r="O5" s="70">
        <f>سرمایه!I5*2/((W5-V5)*100)</f>
        <v>2406.6167788977054</v>
      </c>
      <c r="P5" s="68">
        <f>Q5*W5</f>
        <v>41568288.313510619</v>
      </c>
      <c r="Q5" s="70">
        <f>سرمایه!I5*1.5/((W5-V5)*100)</f>
        <v>1804.9625841732791</v>
      </c>
      <c r="R5" s="68">
        <f>U5*W5</f>
        <v>13856096.104503538</v>
      </c>
      <c r="S5" s="70">
        <f>سرمایه!I5*1/((W5-V5)*100)</f>
        <v>1203.3083894488527</v>
      </c>
      <c r="T5" s="68">
        <f>U5*W5</f>
        <v>13856096.104503538</v>
      </c>
      <c r="U5" s="70">
        <f>سرمایه!I5*0.5/((W5-V5)*100)</f>
        <v>601.65419472442636</v>
      </c>
      <c r="V5" s="84">
        <v>18367</v>
      </c>
      <c r="W5" s="84">
        <v>23030</v>
      </c>
    </row>
    <row r="6" spans="2:23" ht="15" customHeight="1" thickBot="1" x14ac:dyDescent="0.35">
      <c r="B6" s="69"/>
      <c r="C6" s="71"/>
      <c r="D6" s="69"/>
      <c r="E6" s="71"/>
      <c r="F6" s="69"/>
      <c r="G6" s="71"/>
      <c r="H6" s="69"/>
      <c r="I6" s="71"/>
      <c r="J6" s="69"/>
      <c r="K6" s="71"/>
      <c r="L6" s="69"/>
      <c r="M6" s="71"/>
      <c r="N6" s="69"/>
      <c r="O6" s="71"/>
      <c r="P6" s="69"/>
      <c r="Q6" s="71"/>
      <c r="R6" s="69"/>
      <c r="S6" s="71"/>
      <c r="T6" s="69"/>
      <c r="U6" s="71"/>
      <c r="V6" s="85"/>
      <c r="W6" s="85"/>
    </row>
  </sheetData>
  <mergeCells count="34">
    <mergeCell ref="N3:O3"/>
    <mergeCell ref="I5:I6"/>
    <mergeCell ref="J3:K3"/>
    <mergeCell ref="K5:K6"/>
    <mergeCell ref="L5:L6"/>
    <mergeCell ref="L3:M3"/>
    <mergeCell ref="J5:J6"/>
    <mergeCell ref="N5:N6"/>
    <mergeCell ref="O5:O6"/>
    <mergeCell ref="W3:W4"/>
    <mergeCell ref="W5:W6"/>
    <mergeCell ref="U5:U6"/>
    <mergeCell ref="V3:V4"/>
    <mergeCell ref="T3:U3"/>
    <mergeCell ref="T5:T6"/>
    <mergeCell ref="V5:V6"/>
    <mergeCell ref="R5:R6"/>
    <mergeCell ref="S5:S6"/>
    <mergeCell ref="P5:P6"/>
    <mergeCell ref="Q5:Q6"/>
    <mergeCell ref="R3:S3"/>
    <mergeCell ref="P3:Q3"/>
    <mergeCell ref="B3:C3"/>
    <mergeCell ref="B5:B6"/>
    <mergeCell ref="C5:C6"/>
    <mergeCell ref="M5:M6"/>
    <mergeCell ref="D3:E3"/>
    <mergeCell ref="F3:G3"/>
    <mergeCell ref="H3:I3"/>
    <mergeCell ref="D5:D6"/>
    <mergeCell ref="E5:E6"/>
    <mergeCell ref="F5:F6"/>
    <mergeCell ref="G5:G6"/>
    <mergeCell ref="H5:H6"/>
  </mergeCells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I20" sqref="I20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4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118" t="s">
        <v>8</v>
      </c>
      <c r="C2" s="119"/>
      <c r="D2" s="120"/>
      <c r="E2" s="82" t="s">
        <v>7</v>
      </c>
      <c r="F2" s="118" t="s">
        <v>6</v>
      </c>
      <c r="G2" s="120"/>
      <c r="H2" s="132" t="s">
        <v>5</v>
      </c>
      <c r="I2" s="133"/>
      <c r="J2" s="158" t="s">
        <v>17</v>
      </c>
      <c r="K2" s="159"/>
      <c r="L2" s="124" t="s">
        <v>14</v>
      </c>
      <c r="M2" s="101"/>
      <c r="N2" s="128" t="s">
        <v>4</v>
      </c>
      <c r="O2" s="129"/>
      <c r="P2" s="97" t="s">
        <v>1</v>
      </c>
      <c r="Q2" s="98"/>
      <c r="R2" s="99"/>
      <c r="S2" s="128" t="s">
        <v>36</v>
      </c>
      <c r="T2" s="129"/>
      <c r="U2" s="82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83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121"/>
    </row>
    <row r="4" spans="1:21" ht="16.8" customHeight="1" x14ac:dyDescent="0.3">
      <c r="A4" s="27"/>
      <c r="B4" s="108">
        <v>1</v>
      </c>
      <c r="C4" s="110">
        <v>2</v>
      </c>
      <c r="D4" s="112">
        <v>3</v>
      </c>
      <c r="E4" s="114" t="s">
        <v>55</v>
      </c>
      <c r="F4" s="108" t="s">
        <v>56</v>
      </c>
      <c r="G4" s="112" t="s">
        <v>46</v>
      </c>
      <c r="H4" s="130"/>
      <c r="I4" s="116" t="s">
        <v>45</v>
      </c>
      <c r="J4" s="114" t="s">
        <v>57</v>
      </c>
      <c r="K4" s="142" t="s">
        <v>45</v>
      </c>
      <c r="L4" s="108">
        <v>25070</v>
      </c>
      <c r="M4" s="125" t="s">
        <v>58</v>
      </c>
      <c r="N4" s="130"/>
      <c r="O4" s="112" t="s">
        <v>59</v>
      </c>
      <c r="P4" s="108" t="s">
        <v>60</v>
      </c>
      <c r="Q4" s="110" t="s">
        <v>61</v>
      </c>
      <c r="R4" s="122" t="s">
        <v>62</v>
      </c>
      <c r="S4" s="164" t="s">
        <v>44</v>
      </c>
      <c r="T4" s="126" t="s">
        <v>43</v>
      </c>
      <c r="U4" s="106" t="s">
        <v>42</v>
      </c>
    </row>
    <row r="5" spans="1:21" ht="17.399999999999999" customHeight="1" thickBot="1" x14ac:dyDescent="0.35">
      <c r="A5" s="27"/>
      <c r="B5" s="109"/>
      <c r="C5" s="111"/>
      <c r="D5" s="113"/>
      <c r="E5" s="115"/>
      <c r="F5" s="109"/>
      <c r="G5" s="113"/>
      <c r="H5" s="131"/>
      <c r="I5" s="117"/>
      <c r="J5" s="115"/>
      <c r="K5" s="143"/>
      <c r="L5" s="109"/>
      <c r="M5" s="113"/>
      <c r="N5" s="131"/>
      <c r="O5" s="113"/>
      <c r="P5" s="109"/>
      <c r="Q5" s="111"/>
      <c r="R5" s="123"/>
      <c r="S5" s="165"/>
      <c r="T5" s="127"/>
      <c r="U5" s="107"/>
    </row>
    <row r="6" spans="1:21" ht="14.4" customHeight="1" x14ac:dyDescent="0.3">
      <c r="A6" s="27"/>
      <c r="B6" s="138">
        <v>1</v>
      </c>
      <c r="C6" s="154">
        <v>2</v>
      </c>
      <c r="D6" s="134">
        <v>3</v>
      </c>
      <c r="E6" s="136" t="s">
        <v>53</v>
      </c>
      <c r="F6" s="138" t="s">
        <v>52</v>
      </c>
      <c r="G6" s="134" t="s">
        <v>46</v>
      </c>
      <c r="H6" s="144"/>
      <c r="I6" s="140" t="s">
        <v>45</v>
      </c>
      <c r="J6" s="136" t="s">
        <v>45</v>
      </c>
      <c r="K6" s="150" t="s">
        <v>45</v>
      </c>
      <c r="L6" s="138" t="s">
        <v>63</v>
      </c>
      <c r="M6" s="134">
        <v>25070</v>
      </c>
      <c r="N6" s="144"/>
      <c r="O6" s="140" t="s">
        <v>45</v>
      </c>
      <c r="P6" s="138" t="s">
        <v>45</v>
      </c>
      <c r="Q6" s="154" t="s">
        <v>64</v>
      </c>
      <c r="R6" s="160" t="s">
        <v>65</v>
      </c>
      <c r="S6" s="166" t="s">
        <v>51</v>
      </c>
      <c r="T6" s="152" t="s">
        <v>50</v>
      </c>
      <c r="U6" s="146" t="s">
        <v>49</v>
      </c>
    </row>
    <row r="7" spans="1:21" ht="15" customHeight="1" thickBot="1" x14ac:dyDescent="0.35">
      <c r="A7" s="27"/>
      <c r="B7" s="139"/>
      <c r="C7" s="155"/>
      <c r="D7" s="135"/>
      <c r="E7" s="137"/>
      <c r="F7" s="139"/>
      <c r="G7" s="135"/>
      <c r="H7" s="145"/>
      <c r="I7" s="141"/>
      <c r="J7" s="137"/>
      <c r="K7" s="151"/>
      <c r="L7" s="139"/>
      <c r="M7" s="135"/>
      <c r="N7" s="145"/>
      <c r="O7" s="141"/>
      <c r="P7" s="139"/>
      <c r="Q7" s="155"/>
      <c r="R7" s="161"/>
      <c r="S7" s="167"/>
      <c r="T7" s="153"/>
      <c r="U7" s="147"/>
    </row>
    <row r="8" spans="1:21" ht="14.4" customHeight="1" x14ac:dyDescent="0.3">
      <c r="A8" s="27"/>
      <c r="B8" s="108"/>
      <c r="C8" s="110"/>
      <c r="D8" s="112"/>
      <c r="E8" s="114"/>
      <c r="F8" s="108"/>
      <c r="G8" s="112"/>
      <c r="H8" s="162"/>
      <c r="I8" s="148"/>
      <c r="J8" s="114"/>
      <c r="K8" s="142"/>
      <c r="L8" s="108"/>
      <c r="M8" s="112"/>
      <c r="N8" s="162"/>
      <c r="O8" s="148"/>
      <c r="P8" s="108"/>
      <c r="Q8" s="110"/>
      <c r="R8" s="122"/>
      <c r="S8" s="162"/>
      <c r="T8" s="148"/>
      <c r="U8" s="106"/>
    </row>
    <row r="9" spans="1:21" ht="15" customHeight="1" thickBot="1" x14ac:dyDescent="0.35">
      <c r="A9" s="27"/>
      <c r="B9" s="109"/>
      <c r="C9" s="111"/>
      <c r="D9" s="113"/>
      <c r="E9" s="115"/>
      <c r="F9" s="109"/>
      <c r="G9" s="113"/>
      <c r="H9" s="163"/>
      <c r="I9" s="149"/>
      <c r="J9" s="115"/>
      <c r="K9" s="143"/>
      <c r="L9" s="109"/>
      <c r="M9" s="113"/>
      <c r="N9" s="163"/>
      <c r="O9" s="149"/>
      <c r="P9" s="109"/>
      <c r="Q9" s="111"/>
      <c r="R9" s="123"/>
      <c r="S9" s="163"/>
      <c r="T9" s="149"/>
      <c r="U9" s="107"/>
    </row>
    <row r="10" spans="1:21" ht="14.4" customHeight="1" x14ac:dyDescent="0.3">
      <c r="A10" s="27"/>
      <c r="B10" s="138"/>
      <c r="C10" s="154"/>
      <c r="D10" s="134"/>
      <c r="E10" s="136"/>
      <c r="F10" s="138"/>
      <c r="G10" s="134"/>
      <c r="H10" s="144"/>
      <c r="I10" s="140"/>
      <c r="J10" s="136"/>
      <c r="K10" s="150"/>
      <c r="L10" s="138"/>
      <c r="M10" s="134"/>
      <c r="N10" s="144"/>
      <c r="O10" s="140"/>
      <c r="P10" s="138"/>
      <c r="Q10" s="154"/>
      <c r="R10" s="160"/>
      <c r="S10" s="144"/>
      <c r="T10" s="140"/>
      <c r="U10" s="146"/>
    </row>
    <row r="11" spans="1:21" ht="15" customHeight="1" thickBot="1" x14ac:dyDescent="0.35">
      <c r="A11" s="27"/>
      <c r="B11" s="139"/>
      <c r="C11" s="155"/>
      <c r="D11" s="135"/>
      <c r="E11" s="137"/>
      <c r="F11" s="139"/>
      <c r="G11" s="135"/>
      <c r="H11" s="145"/>
      <c r="I11" s="141"/>
      <c r="J11" s="137"/>
      <c r="K11" s="151"/>
      <c r="L11" s="139"/>
      <c r="M11" s="135"/>
      <c r="N11" s="145"/>
      <c r="O11" s="141"/>
      <c r="P11" s="139"/>
      <c r="Q11" s="155"/>
      <c r="R11" s="161"/>
      <c r="S11" s="145"/>
      <c r="T11" s="141"/>
      <c r="U11" s="147"/>
    </row>
    <row r="12" spans="1:21" ht="14.4" customHeight="1" x14ac:dyDescent="0.3">
      <c r="A12" s="27"/>
      <c r="B12" s="108"/>
      <c r="C12" s="110"/>
      <c r="D12" s="112"/>
      <c r="E12" s="114"/>
      <c r="F12" s="108"/>
      <c r="G12" s="112"/>
      <c r="H12" s="162"/>
      <c r="I12" s="148"/>
      <c r="J12" s="114"/>
      <c r="K12" s="142"/>
      <c r="L12" s="108"/>
      <c r="M12" s="112"/>
      <c r="N12" s="162"/>
      <c r="O12" s="148"/>
      <c r="P12" s="108"/>
      <c r="Q12" s="110"/>
      <c r="R12" s="122"/>
      <c r="S12" s="162"/>
      <c r="T12" s="148"/>
      <c r="U12" s="106"/>
    </row>
    <row r="13" spans="1:21" ht="15" customHeight="1" thickBot="1" x14ac:dyDescent="0.35">
      <c r="A13" s="27"/>
      <c r="B13" s="109"/>
      <c r="C13" s="111"/>
      <c r="D13" s="113"/>
      <c r="E13" s="115"/>
      <c r="F13" s="109"/>
      <c r="G13" s="113"/>
      <c r="H13" s="163"/>
      <c r="I13" s="149"/>
      <c r="J13" s="115"/>
      <c r="K13" s="143"/>
      <c r="L13" s="109"/>
      <c r="M13" s="113"/>
      <c r="N13" s="163"/>
      <c r="O13" s="149"/>
      <c r="P13" s="109"/>
      <c r="Q13" s="111"/>
      <c r="R13" s="123"/>
      <c r="S13" s="163"/>
      <c r="T13" s="149"/>
      <c r="U13" s="107"/>
    </row>
    <row r="14" spans="1:21" ht="14.4" customHeight="1" x14ac:dyDescent="0.3">
      <c r="A14" s="27"/>
      <c r="B14" s="138"/>
      <c r="C14" s="154"/>
      <c r="D14" s="134"/>
      <c r="E14" s="136"/>
      <c r="F14" s="138"/>
      <c r="G14" s="134"/>
      <c r="H14" s="144"/>
      <c r="I14" s="140"/>
      <c r="J14" s="136"/>
      <c r="K14" s="150"/>
      <c r="L14" s="138"/>
      <c r="M14" s="134"/>
      <c r="N14" s="144"/>
      <c r="O14" s="140"/>
      <c r="P14" s="138"/>
      <c r="Q14" s="154"/>
      <c r="R14" s="160"/>
      <c r="S14" s="144"/>
      <c r="T14" s="140"/>
      <c r="U14" s="146"/>
    </row>
    <row r="15" spans="1:21" ht="15" customHeight="1" thickBot="1" x14ac:dyDescent="0.35">
      <c r="A15" s="27"/>
      <c r="B15" s="139"/>
      <c r="C15" s="155"/>
      <c r="D15" s="135"/>
      <c r="E15" s="137"/>
      <c r="F15" s="139"/>
      <c r="G15" s="135"/>
      <c r="H15" s="145"/>
      <c r="I15" s="141"/>
      <c r="J15" s="137"/>
      <c r="K15" s="151"/>
      <c r="L15" s="139"/>
      <c r="M15" s="135"/>
      <c r="N15" s="145"/>
      <c r="O15" s="141"/>
      <c r="P15" s="139"/>
      <c r="Q15" s="155"/>
      <c r="R15" s="161"/>
      <c r="S15" s="145"/>
      <c r="T15" s="141"/>
      <c r="U15" s="147"/>
    </row>
    <row r="16" spans="1:21" ht="14.4" customHeight="1" x14ac:dyDescent="0.3">
      <c r="A16" s="27"/>
      <c r="B16" s="108"/>
      <c r="C16" s="110"/>
      <c r="D16" s="112"/>
      <c r="E16" s="114"/>
      <c r="F16" s="108"/>
      <c r="G16" s="112"/>
      <c r="H16" s="162"/>
      <c r="I16" s="148"/>
      <c r="J16" s="114"/>
      <c r="K16" s="142"/>
      <c r="L16" s="108"/>
      <c r="M16" s="112"/>
      <c r="N16" s="162"/>
      <c r="O16" s="148"/>
      <c r="P16" s="108"/>
      <c r="Q16" s="110"/>
      <c r="R16" s="122"/>
      <c r="S16" s="162"/>
      <c r="T16" s="148"/>
      <c r="U16" s="106"/>
    </row>
    <row r="17" spans="1:21" ht="15" customHeight="1" thickBot="1" x14ac:dyDescent="0.35">
      <c r="A17" s="27"/>
      <c r="B17" s="109"/>
      <c r="C17" s="111"/>
      <c r="D17" s="113"/>
      <c r="E17" s="115"/>
      <c r="F17" s="109"/>
      <c r="G17" s="113"/>
      <c r="H17" s="163"/>
      <c r="I17" s="156"/>
      <c r="J17" s="115"/>
      <c r="K17" s="143"/>
      <c r="L17" s="109"/>
      <c r="M17" s="113"/>
      <c r="N17" s="163"/>
      <c r="O17" s="156"/>
      <c r="P17" s="109"/>
      <c r="Q17" s="111"/>
      <c r="R17" s="123"/>
      <c r="S17" s="163"/>
      <c r="T17" s="156"/>
      <c r="U17" s="157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</mergeCells>
  <hyperlinks>
    <hyperlink ref="T4:T5" r:id="rId1" display="tot_990106.png"/>
    <hyperlink ref="S4:S5" r:id="rId2" display="sig_990106.png"/>
    <hyperlink ref="T6:T7" r:id="rId3" display="tot_990112.png"/>
    <hyperlink ref="S6:S7" r:id="rId4" display="tech_990112.png"/>
  </hyperlinks>
  <pageMargins left="0.7" right="0.7" top="0.75" bottom="0.75" header="0.3" footer="0.3"/>
  <pageSetup orientation="portrait" horizontalDpi="300" verticalDpi="0" copies="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L4" sqref="L4:L5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3320312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97" t="s">
        <v>18</v>
      </c>
      <c r="C2" s="98"/>
      <c r="D2" s="98"/>
      <c r="E2" s="98"/>
      <c r="F2" s="98"/>
      <c r="G2" s="98"/>
      <c r="H2" s="98"/>
      <c r="I2" s="98"/>
      <c r="J2" s="99"/>
      <c r="K2" s="118" t="s">
        <v>19</v>
      </c>
      <c r="L2" s="120"/>
      <c r="M2" s="104" t="s">
        <v>20</v>
      </c>
      <c r="N2" s="105" t="s">
        <v>21</v>
      </c>
      <c r="O2" s="204" t="s">
        <v>31</v>
      </c>
      <c r="P2" s="105" t="s">
        <v>32</v>
      </c>
      <c r="Q2" s="103" t="s">
        <v>23</v>
      </c>
      <c r="R2" s="128" t="s">
        <v>40</v>
      </c>
      <c r="S2" s="129"/>
      <c r="T2" s="203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104"/>
      <c r="N3" s="105"/>
      <c r="O3" s="204"/>
      <c r="P3" s="105"/>
      <c r="Q3" s="103"/>
      <c r="R3" s="24" t="s">
        <v>36</v>
      </c>
      <c r="S3" s="25" t="s">
        <v>41</v>
      </c>
      <c r="T3" s="203"/>
    </row>
    <row r="4" spans="2:20" ht="15" customHeight="1" thickBot="1" x14ac:dyDescent="0.35">
      <c r="B4" s="201">
        <f>IF(K4&gt;0, C4/K4,"RF")</f>
        <v>-9.9261059795819158</v>
      </c>
      <c r="C4" s="195">
        <f>(D4/P4)-1</f>
        <v>-1</v>
      </c>
      <c r="D4" s="202">
        <v>0</v>
      </c>
      <c r="E4" s="201">
        <f>IF(K4&gt;0, F4/K4,"RF")</f>
        <v>4.124939231891104</v>
      </c>
      <c r="F4" s="195">
        <f>(G4/P4)-1</f>
        <v>0.41556469781565286</v>
      </c>
      <c r="G4" s="202">
        <v>28903</v>
      </c>
      <c r="H4" s="201">
        <f>IF(K4&gt;0, I4/K4,"RF")</f>
        <v>3.068546426835197</v>
      </c>
      <c r="I4" s="195">
        <f>(J4/P4)-1</f>
        <v>0.30913899500440789</v>
      </c>
      <c r="J4" s="202">
        <v>26730</v>
      </c>
      <c r="K4" s="192">
        <f>IF(1-(L4/P4)&gt;0, 1-(L4/P4), 0)</f>
        <v>0.10074444117935155</v>
      </c>
      <c r="L4" s="193">
        <v>18361</v>
      </c>
      <c r="M4" s="194">
        <f>P4*Q4</f>
        <v>69543708</v>
      </c>
      <c r="N4" s="195">
        <f>IF( (P4-L4)*Q4/O4&gt;0, (P4-L4)*Q4/O4, "Risk free")</f>
        <v>1.1120860317460318E-2</v>
      </c>
      <c r="O4" s="200">
        <v>630000000</v>
      </c>
      <c r="P4" s="200">
        <v>20418</v>
      </c>
      <c r="Q4" s="196">
        <v>3406</v>
      </c>
      <c r="R4" s="164" t="s">
        <v>44</v>
      </c>
      <c r="S4" s="116" t="s">
        <v>47</v>
      </c>
      <c r="T4" s="199" t="s">
        <v>42</v>
      </c>
    </row>
    <row r="5" spans="2:20" ht="15" customHeight="1" thickBot="1" x14ac:dyDescent="0.35">
      <c r="B5" s="201"/>
      <c r="C5" s="195"/>
      <c r="D5" s="202"/>
      <c r="E5" s="201"/>
      <c r="F5" s="195"/>
      <c r="G5" s="202"/>
      <c r="H5" s="201"/>
      <c r="I5" s="195"/>
      <c r="J5" s="202"/>
      <c r="K5" s="192"/>
      <c r="L5" s="193"/>
      <c r="M5" s="194"/>
      <c r="N5" s="195"/>
      <c r="O5" s="200"/>
      <c r="P5" s="200"/>
      <c r="Q5" s="196"/>
      <c r="R5" s="165"/>
      <c r="S5" s="117"/>
      <c r="T5" s="199"/>
    </row>
    <row r="6" spans="2:20" ht="15" customHeight="1" thickBot="1" x14ac:dyDescent="0.35">
      <c r="B6" s="201"/>
      <c r="C6" s="195"/>
      <c r="D6" s="202"/>
      <c r="E6" s="201"/>
      <c r="F6" s="195"/>
      <c r="G6" s="202"/>
      <c r="H6" s="201"/>
      <c r="I6" s="195"/>
      <c r="J6" s="202"/>
      <c r="K6" s="192"/>
      <c r="L6" s="193"/>
      <c r="M6" s="194"/>
      <c r="N6" s="195"/>
      <c r="O6" s="200"/>
      <c r="P6" s="200"/>
      <c r="Q6" s="196"/>
      <c r="R6" s="197"/>
      <c r="S6" s="116"/>
      <c r="T6" s="199"/>
    </row>
    <row r="7" spans="2:20" ht="15" customHeight="1" thickBot="1" x14ac:dyDescent="0.35">
      <c r="B7" s="201"/>
      <c r="C7" s="195"/>
      <c r="D7" s="202"/>
      <c r="E7" s="201"/>
      <c r="F7" s="195"/>
      <c r="G7" s="202"/>
      <c r="H7" s="201"/>
      <c r="I7" s="195"/>
      <c r="J7" s="202"/>
      <c r="K7" s="192"/>
      <c r="L7" s="193"/>
      <c r="M7" s="194"/>
      <c r="N7" s="195"/>
      <c r="O7" s="200"/>
      <c r="P7" s="200"/>
      <c r="Q7" s="196"/>
      <c r="R7" s="198"/>
      <c r="S7" s="117"/>
      <c r="T7" s="199"/>
    </row>
    <row r="8" spans="2:20" ht="15" customHeight="1" x14ac:dyDescent="0.3">
      <c r="B8" s="178"/>
      <c r="C8" s="170"/>
      <c r="D8" s="172"/>
      <c r="E8" s="178"/>
      <c r="F8" s="170"/>
      <c r="G8" s="172"/>
      <c r="H8" s="178"/>
      <c r="I8" s="170"/>
      <c r="J8" s="172"/>
      <c r="K8" s="178"/>
      <c r="L8" s="172"/>
      <c r="M8" s="178"/>
      <c r="N8" s="170"/>
      <c r="O8" s="170"/>
      <c r="P8" s="170"/>
      <c r="Q8" s="172"/>
      <c r="R8" s="174"/>
      <c r="S8" s="148"/>
      <c r="T8" s="168"/>
    </row>
    <row r="9" spans="2:20" ht="15" customHeight="1" thickBot="1" x14ac:dyDescent="0.35">
      <c r="B9" s="179"/>
      <c r="C9" s="171"/>
      <c r="D9" s="173"/>
      <c r="E9" s="179"/>
      <c r="F9" s="171"/>
      <c r="G9" s="173"/>
      <c r="H9" s="179"/>
      <c r="I9" s="171"/>
      <c r="J9" s="173"/>
      <c r="K9" s="179"/>
      <c r="L9" s="173"/>
      <c r="M9" s="179"/>
      <c r="N9" s="171"/>
      <c r="O9" s="171"/>
      <c r="P9" s="171"/>
      <c r="Q9" s="173"/>
      <c r="R9" s="175"/>
      <c r="S9" s="149"/>
      <c r="T9" s="169"/>
    </row>
    <row r="10" spans="2:20" ht="15" customHeight="1" x14ac:dyDescent="0.3">
      <c r="B10" s="180"/>
      <c r="C10" s="182"/>
      <c r="D10" s="184"/>
      <c r="E10" s="180"/>
      <c r="F10" s="182"/>
      <c r="G10" s="184"/>
      <c r="H10" s="180"/>
      <c r="I10" s="182"/>
      <c r="J10" s="184"/>
      <c r="K10" s="180"/>
      <c r="L10" s="184"/>
      <c r="M10" s="180"/>
      <c r="N10" s="182"/>
      <c r="O10" s="182"/>
      <c r="P10" s="182"/>
      <c r="Q10" s="184"/>
      <c r="R10" s="190"/>
      <c r="S10" s="186"/>
      <c r="T10" s="188"/>
    </row>
    <row r="11" spans="2:20" ht="15" customHeight="1" thickBot="1" x14ac:dyDescent="0.35">
      <c r="B11" s="181"/>
      <c r="C11" s="183"/>
      <c r="D11" s="185"/>
      <c r="E11" s="181"/>
      <c r="F11" s="183"/>
      <c r="G11" s="185"/>
      <c r="H11" s="181"/>
      <c r="I11" s="183"/>
      <c r="J11" s="185"/>
      <c r="K11" s="181"/>
      <c r="L11" s="185"/>
      <c r="M11" s="181"/>
      <c r="N11" s="183"/>
      <c r="O11" s="183"/>
      <c r="P11" s="183"/>
      <c r="Q11" s="185"/>
      <c r="R11" s="191"/>
      <c r="S11" s="187"/>
      <c r="T11" s="189"/>
    </row>
    <row r="12" spans="2:20" ht="15" customHeight="1" x14ac:dyDescent="0.3">
      <c r="B12" s="178"/>
      <c r="C12" s="170"/>
      <c r="D12" s="172"/>
      <c r="E12" s="178"/>
      <c r="F12" s="170"/>
      <c r="G12" s="172"/>
      <c r="H12" s="178"/>
      <c r="I12" s="170"/>
      <c r="J12" s="172"/>
      <c r="K12" s="178"/>
      <c r="L12" s="172"/>
      <c r="M12" s="178"/>
      <c r="N12" s="170"/>
      <c r="O12" s="170"/>
      <c r="P12" s="170"/>
      <c r="Q12" s="172"/>
      <c r="R12" s="174"/>
      <c r="S12" s="176"/>
      <c r="T12" s="168"/>
    </row>
    <row r="13" spans="2:20" ht="15" customHeight="1" thickBot="1" x14ac:dyDescent="0.35">
      <c r="B13" s="179"/>
      <c r="C13" s="171"/>
      <c r="D13" s="173"/>
      <c r="E13" s="179"/>
      <c r="F13" s="171"/>
      <c r="G13" s="173"/>
      <c r="H13" s="179"/>
      <c r="I13" s="171"/>
      <c r="J13" s="173"/>
      <c r="K13" s="179"/>
      <c r="L13" s="173"/>
      <c r="M13" s="179"/>
      <c r="N13" s="171"/>
      <c r="O13" s="171"/>
      <c r="P13" s="171"/>
      <c r="Q13" s="173"/>
      <c r="R13" s="175"/>
      <c r="S13" s="177"/>
      <c r="T13" s="169"/>
    </row>
    <row r="14" spans="2:20" ht="15" customHeight="1" x14ac:dyDescent="0.3">
      <c r="B14" s="180"/>
      <c r="C14" s="182"/>
      <c r="D14" s="184"/>
      <c r="E14" s="180"/>
      <c r="F14" s="182"/>
      <c r="G14" s="184"/>
      <c r="H14" s="180"/>
      <c r="I14" s="182"/>
      <c r="J14" s="184"/>
      <c r="K14" s="180"/>
      <c r="L14" s="184"/>
      <c r="M14" s="180"/>
      <c r="N14" s="182"/>
      <c r="O14" s="182"/>
      <c r="P14" s="182"/>
      <c r="Q14" s="184"/>
      <c r="R14" s="190"/>
      <c r="S14" s="186"/>
      <c r="T14" s="188"/>
    </row>
    <row r="15" spans="2:20" ht="15" customHeight="1" thickBot="1" x14ac:dyDescent="0.35">
      <c r="B15" s="181"/>
      <c r="C15" s="183"/>
      <c r="D15" s="185"/>
      <c r="E15" s="181"/>
      <c r="F15" s="183"/>
      <c r="G15" s="185"/>
      <c r="H15" s="181"/>
      <c r="I15" s="183"/>
      <c r="J15" s="185"/>
      <c r="K15" s="181"/>
      <c r="L15" s="185"/>
      <c r="M15" s="181"/>
      <c r="N15" s="183"/>
      <c r="O15" s="183"/>
      <c r="P15" s="183"/>
      <c r="Q15" s="185"/>
      <c r="R15" s="191"/>
      <c r="S15" s="187"/>
      <c r="T15" s="189"/>
    </row>
    <row r="16" spans="2:20" ht="15" customHeight="1" x14ac:dyDescent="0.3">
      <c r="B16" s="178"/>
      <c r="C16" s="170"/>
      <c r="D16" s="172"/>
      <c r="E16" s="178"/>
      <c r="F16" s="170"/>
      <c r="G16" s="172"/>
      <c r="H16" s="178"/>
      <c r="I16" s="170"/>
      <c r="J16" s="172"/>
      <c r="K16" s="178"/>
      <c r="L16" s="172"/>
      <c r="M16" s="178"/>
      <c r="N16" s="170"/>
      <c r="O16" s="170"/>
      <c r="P16" s="170"/>
      <c r="Q16" s="172"/>
      <c r="R16" s="174"/>
      <c r="S16" s="176"/>
      <c r="T16" s="168"/>
    </row>
    <row r="17" spans="2:20" ht="15" customHeight="1" thickBot="1" x14ac:dyDescent="0.35">
      <c r="B17" s="179"/>
      <c r="C17" s="171"/>
      <c r="D17" s="173"/>
      <c r="E17" s="179"/>
      <c r="F17" s="171"/>
      <c r="G17" s="173"/>
      <c r="H17" s="179"/>
      <c r="I17" s="171"/>
      <c r="J17" s="173"/>
      <c r="K17" s="179"/>
      <c r="L17" s="173"/>
      <c r="M17" s="179"/>
      <c r="N17" s="171"/>
      <c r="O17" s="171"/>
      <c r="P17" s="171"/>
      <c r="Q17" s="173"/>
      <c r="R17" s="175"/>
      <c r="S17" s="177"/>
      <c r="T17" s="169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6.png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H4" sqref="H4:H5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100" t="s">
        <v>33</v>
      </c>
      <c r="C2" s="203" t="s">
        <v>34</v>
      </c>
      <c r="D2" s="100" t="s">
        <v>20</v>
      </c>
      <c r="E2" s="203" t="s">
        <v>35</v>
      </c>
      <c r="F2" s="212" t="s">
        <v>22</v>
      </c>
      <c r="G2" s="203" t="s">
        <v>23</v>
      </c>
      <c r="H2" s="94" t="s">
        <v>54</v>
      </c>
      <c r="I2" s="96"/>
      <c r="J2" s="203" t="s">
        <v>0</v>
      </c>
    </row>
    <row r="3" spans="2:10" ht="15" customHeight="1" thickBot="1" x14ac:dyDescent="0.35">
      <c r="B3" s="100"/>
      <c r="C3" s="203"/>
      <c r="D3" s="100"/>
      <c r="E3" s="203"/>
      <c r="F3" s="213"/>
      <c r="G3" s="104"/>
      <c r="H3" s="29" t="s">
        <v>39</v>
      </c>
      <c r="I3" s="30" t="s">
        <v>41</v>
      </c>
      <c r="J3" s="203"/>
    </row>
    <row r="4" spans="2:10" ht="17.399999999999999" customHeight="1" thickBot="1" x14ac:dyDescent="0.35">
      <c r="B4" s="209">
        <f>D4-(F4*G4)</f>
        <v>4378033</v>
      </c>
      <c r="C4" s="210">
        <f>E4/F4-1</f>
        <v>0.28176119110588704</v>
      </c>
      <c r="D4" s="209">
        <f>E4*G4</f>
        <v>19916131</v>
      </c>
      <c r="E4" s="209">
        <v>26171</v>
      </c>
      <c r="F4" s="214">
        <v>20418</v>
      </c>
      <c r="G4" s="211">
        <v>761</v>
      </c>
      <c r="H4" s="205" t="s">
        <v>51</v>
      </c>
      <c r="I4" s="218" t="s">
        <v>66</v>
      </c>
      <c r="J4" s="211" t="s">
        <v>48</v>
      </c>
    </row>
    <row r="5" spans="2:10" ht="15" customHeight="1" thickBot="1" x14ac:dyDescent="0.35">
      <c r="B5" s="209"/>
      <c r="C5" s="210"/>
      <c r="D5" s="209"/>
      <c r="E5" s="209"/>
      <c r="F5" s="215"/>
      <c r="G5" s="211"/>
      <c r="H5" s="206"/>
      <c r="I5" s="218"/>
      <c r="J5" s="211"/>
    </row>
    <row r="6" spans="2:10" ht="15" customHeight="1" thickBot="1" x14ac:dyDescent="0.35">
      <c r="B6" s="209"/>
      <c r="C6" s="210"/>
      <c r="D6" s="209"/>
      <c r="E6" s="209"/>
      <c r="F6" s="214"/>
      <c r="G6" s="211"/>
      <c r="H6" s="205"/>
      <c r="I6" s="218"/>
      <c r="J6" s="211"/>
    </row>
    <row r="7" spans="2:10" ht="15" customHeight="1" thickBot="1" x14ac:dyDescent="0.35">
      <c r="B7" s="209"/>
      <c r="C7" s="210"/>
      <c r="D7" s="209"/>
      <c r="E7" s="209"/>
      <c r="F7" s="215"/>
      <c r="G7" s="211"/>
      <c r="H7" s="206"/>
      <c r="I7" s="218"/>
      <c r="J7" s="211"/>
    </row>
    <row r="8" spans="2:10" ht="15" thickBot="1" x14ac:dyDescent="0.35">
      <c r="B8" s="211"/>
      <c r="C8" s="211"/>
      <c r="D8" s="211"/>
      <c r="E8" s="211"/>
      <c r="F8" s="216"/>
      <c r="G8" s="211"/>
      <c r="H8" s="207"/>
      <c r="I8" s="218"/>
      <c r="J8" s="211"/>
    </row>
    <row r="9" spans="2:10" ht="15" thickBot="1" x14ac:dyDescent="0.35">
      <c r="B9" s="211"/>
      <c r="C9" s="211"/>
      <c r="D9" s="211"/>
      <c r="E9" s="211"/>
      <c r="F9" s="217"/>
      <c r="G9" s="211"/>
      <c r="H9" s="208"/>
      <c r="I9" s="218"/>
      <c r="J9" s="211"/>
    </row>
    <row r="10" spans="2:10" ht="15" thickBot="1" x14ac:dyDescent="0.35">
      <c r="B10" s="211"/>
      <c r="C10" s="211"/>
      <c r="D10" s="211"/>
      <c r="E10" s="211"/>
      <c r="F10" s="216"/>
      <c r="G10" s="211"/>
      <c r="H10" s="207"/>
      <c r="I10" s="218"/>
      <c r="J10" s="211"/>
    </row>
    <row r="11" spans="2:10" ht="15" thickBot="1" x14ac:dyDescent="0.35">
      <c r="B11" s="211"/>
      <c r="C11" s="211"/>
      <c r="D11" s="211"/>
      <c r="E11" s="211"/>
      <c r="F11" s="217"/>
      <c r="G11" s="211"/>
      <c r="H11" s="208"/>
      <c r="I11" s="218"/>
      <c r="J11" s="211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hyperlinks>
    <hyperlink ref="H4:H5" r:id="rId1" display="tech_990112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پرتفوی</vt:lpstr>
      <vt:lpstr>سرمایه</vt:lpstr>
      <vt:lpstr>مجموع واریز</vt:lpstr>
      <vt:lpstr>محاسبه مدیریت سرمایه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2020-04-02T13:40:23Z</dcterms:modified>
</cp:coreProperties>
</file>