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" sheetId="1" r:id="rId4"/>
    <sheet state="visible" name="ES" sheetId="2" r:id="rId5"/>
  </sheets>
  <definedNames/>
  <calcPr/>
  <extLst>
    <ext uri="GoogleSheetsCustomDataVersion2">
      <go:sheetsCustomData xmlns:go="http://customooxmlschemas.google.com/" r:id="rId6" roundtripDataChecksum="+aynTtO3XZ6yBU9v12LwApwK0vlChPtl7R3RU8vLX0c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1">
      <text>
        <t xml:space="preserve">Notification: Notices that inform the user of successful events or application status that do not require immediate action. Examples include "Invitation Sent," "User Registration Complete," and "Login."
Alert/Modal: Warnings that indicate a problem or error that requires the user's immediate attention. Examples include "Error Sending Invitation" and "Registration Error."
======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1">
      <text>
        <t xml:space="preserve">Notificación: Avisos que informan al usuario sobre eventos exitosos o sobre el estado de la aplicación que no requieren una acción inmediata. Ejemplos incluyen "Invitación Enviada," "Registro de Usuario Completo," y "Ingreso al Sistema."
Alerta/Modal: Avisos que indican un problema o un error que requiere la atención inmediata del usuario. Ejemplos incluyen "Error al Enviar Invitación" y "Error en el Registro."
======</t>
      </text>
    </comment>
  </commentList>
</comments>
</file>

<file path=xl/sharedStrings.xml><?xml version="1.0" encoding="utf-8"?>
<sst xmlns="http://schemas.openxmlformats.org/spreadsheetml/2006/main" count="768" uniqueCount="561">
  <si>
    <t>Module</t>
  </si>
  <si>
    <t>Usuarios (HU001)</t>
  </si>
  <si>
    <t>Artículos (HU004, HU003)</t>
  </si>
  <si>
    <t>Caja (HU005, HU006, HU007)</t>
  </si>
  <si>
    <t>Mostrador (HU008)</t>
  </si>
  <si>
    <t>Clientes (HU009, HU010)</t>
  </si>
  <si>
    <t xml:space="preserve">Pedidos (HU009, HU010)
</t>
  </si>
  <si>
    <t>Mesas (HU011, HU012)</t>
  </si>
  <si>
    <t>Menú Digital (HU013)</t>
  </si>
  <si>
    <t>Centro de Producción (HU014)</t>
  </si>
  <si>
    <t>KDS (HU015)</t>
  </si>
  <si>
    <t>Mensajes (HU016)</t>
  </si>
  <si>
    <t>Delivery (HU017)</t>
  </si>
  <si>
    <t>ID</t>
  </si>
  <si>
    <t>Nombre (Título)</t>
  </si>
  <si>
    <t>Tipo de aviso</t>
  </si>
  <si>
    <t>Descripción (Mensaje)</t>
  </si>
  <si>
    <t>Botón (Opcional)</t>
  </si>
  <si>
    <t>Criterio (La acción/condición que activa el elemento.)</t>
  </si>
  <si>
    <t>Endpoint (Hacia que pantalla redirecciona el elemento tras ser presionado.)</t>
  </si>
  <si>
    <t>E001</t>
  </si>
  <si>
    <t>Invitación Enviada</t>
  </si>
  <si>
    <t>Notificación</t>
  </si>
  <si>
    <t>La invitación para el usuario [Nombre del Usuario] ha sido enviada exitosamente al correo [Correo Electrónico].</t>
  </si>
  <si>
    <t>Cuando el superusuario o administrador envía una invitación a un nuevo usuario desde la aplicación.</t>
  </si>
  <si>
    <t>Pantalla de Gestión de Usuarios</t>
  </si>
  <si>
    <t>E002</t>
  </si>
  <si>
    <t>Error al Enviar Invitación</t>
  </si>
  <si>
    <t>Alerta</t>
  </si>
  <si>
    <t>No se pudo enviar la invitación al usuario [Nombre del Usuario]. Verifica la información e intenta nuevamente.</t>
  </si>
  <si>
    <t>Cuando ocurre un error al intentar enviar una invitación, como un formato de correo electrónico incorrecto o un error de conexión.</t>
  </si>
  <si>
    <t>E003</t>
  </si>
  <si>
    <t>Registro de Usuario Completo</t>
  </si>
  <si>
    <t>El usuario [Nombre del Usuario] se ha registrado exitosamente en la aplicación.</t>
  </si>
  <si>
    <t>Cuando un nuevo usuario completa su registro utilizando la invitación enviada.</t>
  </si>
  <si>
    <t>Pantalla de Inicio de Sesión</t>
  </si>
  <si>
    <t>E004</t>
  </si>
  <si>
    <t>Error en el Registro</t>
  </si>
  <si>
    <t>No se pudo completar el registro. Verifica la información ingresada e intenta nuevamente.</t>
  </si>
  <si>
    <t>Cuando un usuario intenta registrarse y ocurre un error, como contraseñas no coincidentes o información faltante.</t>
  </si>
  <si>
    <t>Pantalla de Registro de Usuario</t>
  </si>
  <si>
    <t>E005</t>
  </si>
  <si>
    <t>Ingreso al Sistema</t>
  </si>
  <si>
    <t>Bienvenido, [Nombre del Usuario]. Has ingresado exitosamente al sistema.</t>
  </si>
  <si>
    <t>Cuando un usuario ingresa sus credenciales correctamente y accede al sistema.</t>
  </si>
  <si>
    <t>Pantalla de Dashboard según el perfil del usuario</t>
  </si>
  <si>
    <t>E006</t>
  </si>
  <si>
    <t>Error en el Ingreso</t>
  </si>
  <si>
    <t>No se pudo ingresar al sistema. Verifica tu correo y contraseña e intenta nuevamente.</t>
  </si>
  <si>
    <t>Cuando un usuario intenta ingresar al sistema con credenciales incorrectas.</t>
  </si>
  <si>
    <t>E007</t>
  </si>
  <si>
    <t>Artículo Creado</t>
  </si>
  <si>
    <t>El artículo [Nombre del Artículo] ha sido creado exitosamente.</t>
  </si>
  <si>
    <t>Cuando un administrador o cajero crea un nuevo artículo en el sistema.</t>
  </si>
  <si>
    <t>Pantalla de Gestión de Artículos</t>
  </si>
  <si>
    <t>E008</t>
  </si>
  <si>
    <t>Error al Crear Artículo</t>
  </si>
  <si>
    <t>No se pudo crear el artículo. Verifica la información ingresada e intenta nuevamente.</t>
  </si>
  <si>
    <t>Cuando ocurre un error al intentar crear un artículo, como dejar campos obligatorios en blanco o ingresar datos incorrectos.</t>
  </si>
  <si>
    <t>Pantalla de Creación de Artículos</t>
  </si>
  <si>
    <t>E009</t>
  </si>
  <si>
    <t>Artículo Editado</t>
  </si>
  <si>
    <t>El artículo [Nombre del Artículo] ha sido actualizado exitosamente.</t>
  </si>
  <si>
    <t>Cuando un administrador o cajero edita un artículo existente en el sistema.</t>
  </si>
  <si>
    <t>E010</t>
  </si>
  <si>
    <t>Error al Editar Artículo</t>
  </si>
  <si>
    <t>No se pudo actualizar el artículo. Verifica la información ingresada e intenta nuevamente.</t>
  </si>
  <si>
    <t>Cuando ocurre un error al intentar editar un artículo, como datos faltantes o problemas de conexión.</t>
  </si>
  <si>
    <t>Pantalla de Edición de Artículos</t>
  </si>
  <si>
    <t>E011</t>
  </si>
  <si>
    <t>Artículo Eliminado</t>
  </si>
  <si>
    <t>El artículo [Nombre del Artículo] ha sido eliminado del sistema.</t>
  </si>
  <si>
    <t>Cuando un administrador o cajero elimina un artículo del sistema.</t>
  </si>
  <si>
    <t>E012</t>
  </si>
  <si>
    <t>Error al Eliminar Artículo</t>
  </si>
  <si>
    <t>No se pudo eliminar el artículo. Verifica si el artículo está asociado a otros registros e intenta nuevamente.</t>
  </si>
  <si>
    <t>Cuando ocurre un error al intentar eliminar un artículo, como reglas de integridad de datos que impiden la eliminación.</t>
  </si>
  <si>
    <t>E013</t>
  </si>
  <si>
    <t>Familia Creada</t>
  </si>
  <si>
    <t>La familia [Nombre de la Familia] ha sido creada exitosamente.</t>
  </si>
  <si>
    <t>Cuando un administrador o cajero crea una nueva familia de artículos en el sistema.</t>
  </si>
  <si>
    <t>Pantalla de Gestión de Familias y Subfamilias</t>
  </si>
  <si>
    <t>E014</t>
  </si>
  <si>
    <t>Error al Crear Familia</t>
  </si>
  <si>
    <t>No se pudo crear la familia. Verifica la información ingresada e intenta nuevamente.</t>
  </si>
  <si>
    <t>Cuando ocurre un error al intentar crear una familia, como dejar campos obligatorios en blanco o ingresar datos incorrectos.</t>
  </si>
  <si>
    <t>Pantalla de Creación de Familias y Subfamilias</t>
  </si>
  <si>
    <t>E015</t>
  </si>
  <si>
    <t>Subfamilia Creada</t>
  </si>
  <si>
    <t>La subfamilia [Nombre de la Subfamilia] ha sido creada exitosamente.</t>
  </si>
  <si>
    <t>Cuando un administrador o cajero crea una nueva subfamilia de artículos en el sistema.</t>
  </si>
  <si>
    <t>E016</t>
  </si>
  <si>
    <t>Error al Crear Subfamilia</t>
  </si>
  <si>
    <t>No se pudo crear la subfamilia. Verifica la información ingresada e intenta nuevamente.</t>
  </si>
  <si>
    <t>Cuando ocurre un error al intentar crear una subfamilia, como dejar campos obligatorios en blanco o ingresar datos incorrectos.</t>
  </si>
  <si>
    <t>E017</t>
  </si>
  <si>
    <t>Caja Creada</t>
  </si>
  <si>
    <t>La caja [Nombre de la Caja] ha sido creada exitosamente y asignada a [Nombre del Usuario].</t>
  </si>
  <si>
    <t>Cuando un administrador crea una nueva caja en el sistema.</t>
  </si>
  <si>
    <t>Pantalla de Gestión de Cajas</t>
  </si>
  <si>
    <t>E018</t>
  </si>
  <si>
    <t>Error al Crear Caja</t>
  </si>
  <si>
    <t>No se pudo crear la caja. Verifica la información ingresada e intenta nuevamente.</t>
  </si>
  <si>
    <t>Cuando ocurre un error al intentar crear una caja, como dejar campos obligatorios en blanco o problemas de conexión.</t>
  </si>
  <si>
    <t>Pantalla de Creación de Cajas</t>
  </si>
  <si>
    <t>E019</t>
  </si>
  <si>
    <t>Caja Editada</t>
  </si>
  <si>
    <t>La caja [Nombre de la Caja] ha sido actualizada exitosamente.</t>
  </si>
  <si>
    <t>Cuando un administrador edita una caja existente en el sistema.</t>
  </si>
  <si>
    <t>E020</t>
  </si>
  <si>
    <t>Error al Editar Caja</t>
  </si>
  <si>
    <t>No se pudo actualizar la caja. Verifica la información ingresada e intenta nuevamente.</t>
  </si>
  <si>
    <t>Cuando ocurre un error al intentar editar una caja, como datos faltantes o problemas de conexión.</t>
  </si>
  <si>
    <t>Pantalla de Edición de Cajas</t>
  </si>
  <si>
    <t>E021</t>
  </si>
  <si>
    <t>Caja Eliminada</t>
  </si>
  <si>
    <t>La caja [Nombre de la Caja] ha sido eliminada del sistema.</t>
  </si>
  <si>
    <t>Cuando un administrador elimina una caja del sistema.</t>
  </si>
  <si>
    <t>E022</t>
  </si>
  <si>
    <t>Error al Eliminar Caja</t>
  </si>
  <si>
    <t>No se pudo eliminar la caja. Verifica si la caja está asociada a otros registros e intenta nuevamente.</t>
  </si>
  <si>
    <t>Cuando ocurre un error al intentar eliminar una caja, como reglas de integridad de datos que impiden la eliminación.</t>
  </si>
  <si>
    <t>E023</t>
  </si>
  <si>
    <t>Caja Abierta</t>
  </si>
  <si>
    <t>La caja [Nombre de la Caja] ha sido abierta exitosamente con un monto inicial de [Monto de Apertura].</t>
  </si>
  <si>
    <t>Cuando un administrador o cajero abre una caja y registra el monto inicial.</t>
  </si>
  <si>
    <t>E024</t>
  </si>
  <si>
    <t>Error al Abrir Caja</t>
  </si>
  <si>
    <t>No se pudo abrir la caja. Verifica la información ingresada e intenta nuevamente.</t>
  </si>
  <si>
    <t>Cuando ocurre un error al intentar abrir una caja, como no ingresar el monto inicial o problemas de conexión.</t>
  </si>
  <si>
    <t>Pantalla de Apertura de Caja</t>
  </si>
  <si>
    <t>E025</t>
  </si>
  <si>
    <t>Caja Cerrada</t>
  </si>
  <si>
    <t>La caja [Nombre de la Caja] ha sido cerrada exitosamente con un monto final de [Monto de Cierre].</t>
  </si>
  <si>
    <t>Cuando un administrador o cajero cierra una caja y registra el monto final.</t>
  </si>
  <si>
    <t>E026</t>
  </si>
  <si>
    <t>Error al Cerrar Caja</t>
  </si>
  <si>
    <t>No se pudo cerrar la caja. Verifica la información ingresada e intenta nuevamente.</t>
  </si>
  <si>
    <t>Cuando ocurre un error al intentar cerrar una caja, como no ingresar el monto final o problemas de conexión.</t>
  </si>
  <si>
    <t>Pantalla de Cierre de Caja</t>
  </si>
  <si>
    <t>E027</t>
  </si>
  <si>
    <t>Consulta de Caja Exitosa</t>
  </si>
  <si>
    <t>La consulta de la caja [Nombre de la Caja] se ha realizado exitosamente.</t>
  </si>
  <si>
    <t>Cuando un administrador o cajero consulta la información de una caja existente.</t>
  </si>
  <si>
    <t>E028</t>
  </si>
  <si>
    <t>Error en la Consulta de Caja</t>
  </si>
  <si>
    <t>No se pudo realizar la consulta de la caja. Intenta nuevamente más tarde.</t>
  </si>
  <si>
    <t>Cuando ocurre un error al intentar consultar la información de una caja, como problemas de conexión.</t>
  </si>
  <si>
    <t>E029</t>
  </si>
  <si>
    <t>Artículo Agregado al Pedido</t>
  </si>
  <si>
    <t>El artículo [Nombre del Artículo] ha sido agregado exitosamente al pedido.</t>
  </si>
  <si>
    <t>Cuando un usuario agrega un artículo al pedido desde la sección Mostrador.</t>
  </si>
  <si>
    <t>Pantalla de Resumen del Pedido</t>
  </si>
  <si>
    <t>E030</t>
  </si>
  <si>
    <t>Error al Agregar Artículo</t>
  </si>
  <si>
    <t>No se pudo agregar el artículo [Nombre del Artículo] al pedido. Verifica la cantidad o disponibilidad.</t>
  </si>
  <si>
    <t>Cuando un usuario intenta agregar un artículo al pedido y ocurre un error, como falta de stock o error de sistema.</t>
  </si>
  <si>
    <t>Pantalla de Selección de Artículos</t>
  </si>
  <si>
    <t>E031</t>
  </si>
  <si>
    <t>Pedido Completado</t>
  </si>
  <si>
    <t>El pedido [Número de Pedido] ha sido completado exitosamente. Puedes proceder con el pago.</t>
  </si>
  <si>
    <t>Cuando el usuario finaliza el registro de un pedido en el mostrador.</t>
  </si>
  <si>
    <t>Pantalla de Pago</t>
  </si>
  <si>
    <t>E032</t>
  </si>
  <si>
    <t>Error en el Pago</t>
  </si>
  <si>
    <t>Ocurrió un error al procesar el pago. Por favor, verifica los detalles e intenta nuevamente.</t>
  </si>
  <si>
    <t>Cuando un pago falla debido a un error en la información de pago o en la comunicación con el sistema POS.</t>
  </si>
  <si>
    <t>E033</t>
  </si>
  <si>
    <t>Propina Agregada</t>
  </si>
  <si>
    <t>La propina ha sido agregada exitosamente al pedido.</t>
  </si>
  <si>
    <t>Cuando el usuario añade una propina al pedido en la sección de pago.</t>
  </si>
  <si>
    <t>Pantalla de Resumen de Pago</t>
  </si>
  <si>
    <t>E034</t>
  </si>
  <si>
    <t>Confirmación de Salida sin Guardar Pedido</t>
  </si>
  <si>
    <t>Estás a punto de salir sin guardar el pedido. ¿Deseas continuar y perder los cambios?</t>
  </si>
  <si>
    <t>Continuar/Cancelar</t>
  </si>
  <si>
    <t>Cuando un usuario intenta salir de la pantalla de pedido sin haber completado o guardado el pedido.</t>
  </si>
  <si>
    <t>Pantalla actual</t>
  </si>
  <si>
    <t>E035</t>
  </si>
  <si>
    <t>Recibo de Pago Generado</t>
  </si>
  <si>
    <t>El recibo de pago para el pedido [Número de Pedido] ha sido generado e impreso correctamente.</t>
  </si>
  <si>
    <t>Cuando el sistema genera e imprime el recibo de pago después de completar una transacción.</t>
  </si>
  <si>
    <t>E036</t>
  </si>
  <si>
    <t>Error al Generar Recibo</t>
  </si>
  <si>
    <t>No se pudo generar el recibo de pago. Por favor, intenta nuevamente.</t>
  </si>
  <si>
    <t>Cuando ocurre un error al intentar generar o imprimir el recibo de pago.</t>
  </si>
  <si>
    <t>E037</t>
  </si>
  <si>
    <t>Consulta de Cliente Exitosa</t>
  </si>
  <si>
    <t>La información del cliente [Nombre del Cliente] ha sido consultada exitosamente.</t>
  </si>
  <si>
    <t>Cuando un administrador o cajero consulta la información de un cliente en el sistema.</t>
  </si>
  <si>
    <t>Pantalla de Detalle de Cliente</t>
  </si>
  <si>
    <t>E038</t>
  </si>
  <si>
    <t>Error en la Consulta de Cliente</t>
  </si>
  <si>
    <t>No se pudo consultar la información del cliente. Intenta nuevamente más tarde.</t>
  </si>
  <si>
    <t>Cuando ocurre un error al intentar consultar la información de un cliente, como problemas de conexión o datos incorrectos.</t>
  </si>
  <si>
    <t>Pantalla de Gestión de Clientes</t>
  </si>
  <si>
    <t>E039</t>
  </si>
  <si>
    <t>Nota de Crédito Creada</t>
  </si>
  <si>
    <t>La nota de crédito para el pedido [Número de Pedido] del cliente [Nombre del Cliente] ha sido creada exitosamente.</t>
  </si>
  <si>
    <t>Cuando un administrador o cajero crea una nueva nota de crédito para un cliente.</t>
  </si>
  <si>
    <t>Pantalla de Gestión de Notas de Crédito</t>
  </si>
  <si>
    <t>E040</t>
  </si>
  <si>
    <t>Error al Crear Nota de Crédito</t>
  </si>
  <si>
    <t>No se pudo crear la nota de crédito. Verifica la información ingresada e intenta nuevamente.</t>
  </si>
  <si>
    <t>Cuando ocurre un error al intentar crear una nota de crédito, como datos faltantes o problemas de conexión.</t>
  </si>
  <si>
    <t>Pantalla de Creación de Notas de Crédito</t>
  </si>
  <si>
    <t>E041</t>
  </si>
  <si>
    <t>Nota de Crédito Aplicada</t>
  </si>
  <si>
    <t>La nota de crédito ha sido aplicada exitosamente al pedido [Número de Pedido].</t>
  </si>
  <si>
    <t>Cuando un administrador o cajero aplica una nota de crédito a un nuevo pedido para un cliente.</t>
  </si>
  <si>
    <t>E042</t>
  </si>
  <si>
    <t>Error al Aplicar Nota de Crédito</t>
  </si>
  <si>
    <t>No se pudo aplicar la nota de crédito al pedido. Verifica la información e intenta nuevamente.</t>
  </si>
  <si>
    <t>Cuando ocurre un error al intentar aplicar una nota de crédito, como problemas de conexión o datos incorrectos.</t>
  </si>
  <si>
    <t>E043</t>
  </si>
  <si>
    <t>Nota de Crédito Anulada</t>
  </si>
  <si>
    <t>La nota de crédito para el pedido [Número de Pedido] del cliente [Nombre del Cliente] ha sido anulada exitosamente.</t>
  </si>
  <si>
    <t>Cuando un administrador anula una nota de crédito.</t>
  </si>
  <si>
    <t>E044</t>
  </si>
  <si>
    <t>Error al Anular Nota de Crédito</t>
  </si>
  <si>
    <t>No se pudo anular la nota de crédito. Verifica si la nota de crédito ya ha sido utilizada o si hay problemas de conexión e intenta nuevamente.</t>
  </si>
  <si>
    <t>Cuando ocurre un error al intentar anular una nota de crédito, como reglas de integridad de datos que impiden la anulación.</t>
  </si>
  <si>
    <t>E045</t>
  </si>
  <si>
    <t>Venta Anulada</t>
  </si>
  <si>
    <t>La venta del pedido [Número de Pedido] ha sido anulada exitosamente.</t>
  </si>
  <si>
    <t>Cuando un administrador anula una venta desde la gestión de clientes.</t>
  </si>
  <si>
    <t>E046</t>
  </si>
  <si>
    <t>Error al Anular Venta</t>
  </si>
  <si>
    <t>No se pudo anular la venta. Verifica si la venta ya ha sido finalizada o si hay problemas de conexión e intenta nuevamente.</t>
  </si>
  <si>
    <t>Cuando ocurre un error al intentar anular una venta, como si la venta ya está en estado finalizado o problemas de conexión.</t>
  </si>
  <si>
    <t>E047</t>
  </si>
  <si>
    <t>Pedido Creado</t>
  </si>
  <si>
    <t>El pedido [Número de Pedido] ha sido creado exitosamente para el cliente [Nombre del Cliente].</t>
  </si>
  <si>
    <t>Cuando un administrador o cajero crea un nuevo pedido para un cliente.</t>
  </si>
  <si>
    <t>Pantalla de Detalle del Pedido</t>
  </si>
  <si>
    <t>E048</t>
  </si>
  <si>
    <t>Error al Crear Pedido</t>
  </si>
  <si>
    <t>No se pudo crear el pedido. Verifica la información ingresada e intenta nuevamente.</t>
  </si>
  <si>
    <t>Cuando ocurre un error al intentar crear un pedido, como datos faltantes o problemas de conexión.</t>
  </si>
  <si>
    <t>Pantalla de Creación de Pedidos</t>
  </si>
  <si>
    <t>E049</t>
  </si>
  <si>
    <t>Pedido Actualizado</t>
  </si>
  <si>
    <t>El pedido [Número de Pedido] ha sido actualizado exitosamente.</t>
  </si>
  <si>
    <t>Cuando un administrador o cajero actualiza un pedido existente.</t>
  </si>
  <si>
    <t>E050</t>
  </si>
  <si>
    <t>Error al Actualizar Pedido</t>
  </si>
  <si>
    <t>No se pudo actualizar el pedido. Verifica la información ingresada e intenta nuevamente.</t>
  </si>
  <si>
    <t>Cuando ocurre un error al intentar actualizar un pedido, como problemas de conexión o datos incorrectos.</t>
  </si>
  <si>
    <t>Pantalla de Edición de Pedidos</t>
  </si>
  <si>
    <t>E051</t>
  </si>
  <si>
    <t>Pedido Anulado</t>
  </si>
  <si>
    <t>El pedido [Número de Pedido] ha sido anulado exitosamente.</t>
  </si>
  <si>
    <t>Cuando un administrador anula un pedido desde la gestión de clientes o pedidos.</t>
  </si>
  <si>
    <t>Pantalla de Gestión de Pedidos</t>
  </si>
  <si>
    <t>E052</t>
  </si>
  <si>
    <t>Error al Anular Pedido</t>
  </si>
  <si>
    <t>No se pudo anular el pedido. Verifica si el pedido ya ha sido finalizado o si hay problemas de conexión e intenta nuevamente.</t>
  </si>
  <si>
    <t>Cuando ocurre un error al intentar anular un pedido, como si el pedido ya está en estado finalizado o problemas de conexión.</t>
  </si>
  <si>
    <t>E053</t>
  </si>
  <si>
    <t>Detalles del Pedido Consultados</t>
  </si>
  <si>
    <t>Los detalles del pedido [Número de Pedido] han sido consultados exitosamente.</t>
  </si>
  <si>
    <t>Cuando un administrador o cajero consulta los detalles de un pedido específico.</t>
  </si>
  <si>
    <t>E054</t>
  </si>
  <si>
    <t>Error en la Consulta de Detalles del Pedido</t>
  </si>
  <si>
    <t>No se pudo consultar los detalles del pedido. Intenta nuevamente más tarde.</t>
  </si>
  <si>
    <t>Cuando ocurre un error al intentar consultar los detalles de un pedido, como problemas de conexión o datos incorrectos.</t>
  </si>
  <si>
    <t>E055</t>
  </si>
  <si>
    <t>Nota de Crédito Asociada al Pedido</t>
  </si>
  <si>
    <t>La nota de crédito ha sido creada exitosamente para el pedido [Número de Pedido].</t>
  </si>
  <si>
    <t>Cuando se crea una nota de crédito asociada a un pedido específico.</t>
  </si>
  <si>
    <t>E056</t>
  </si>
  <si>
    <t>Error al Crear Nota de Crédito Asociada al Pedido</t>
  </si>
  <si>
    <t>No se pudo crear la nota de crédito para el pedido. Verifica la información ingresada e intenta nuevamente.</t>
  </si>
  <si>
    <t>Cuando ocurre un error al intentar crear una nota de crédito asociada a un pedido, como problemas de conexión o datos incorrectos.</t>
  </si>
  <si>
    <t>E057</t>
  </si>
  <si>
    <t>Sector Creado</t>
  </si>
  <si>
    <t>El sector [Nombre del Sector] ha sido creado exitosamente con [Cantidad de Mesas] mesas asignadas.</t>
  </si>
  <si>
    <t>Cuando un administrador crea un nuevo sector en el sistema.</t>
  </si>
  <si>
    <t>Pantalla de Gestión de Sectores</t>
  </si>
  <si>
    <t>E058</t>
  </si>
  <si>
    <t>Error al Crear Sector</t>
  </si>
  <si>
    <t>No se pudo crear el sector. Verifica la información ingresada e intenta nuevamente.</t>
  </si>
  <si>
    <t>Cuando ocurre un error al intentar crear un sector, como dejar campos obligatorios en blanco o problemas de conexión.</t>
  </si>
  <si>
    <t>Pantalla de Creación de Sectores</t>
  </si>
  <si>
    <t>E059</t>
  </si>
  <si>
    <t>Sector Editado</t>
  </si>
  <si>
    <t>El sector [Nombre del Sector] ha sido actualizado exitosamente.</t>
  </si>
  <si>
    <t>Cuando un administrador edita un sector existente en el sistema.</t>
  </si>
  <si>
    <t>E060</t>
  </si>
  <si>
    <t>Error al Editar Sector</t>
  </si>
  <si>
    <t>No se pudo actualizar el sector. Verifica la información ingresada e intenta nuevamente.</t>
  </si>
  <si>
    <t>Cuando ocurre un error al intentar editar un sector, como datos faltantes o problemas de conexión.</t>
  </si>
  <si>
    <t>Pantalla de Edición de Sectores</t>
  </si>
  <si>
    <t>E061</t>
  </si>
  <si>
    <t>Sector Eliminado</t>
  </si>
  <si>
    <t>El sector [Nombre del Sector] ha sido eliminado del sistema.</t>
  </si>
  <si>
    <t>Cuando un administrador elimina un sector del sistema.</t>
  </si>
  <si>
    <t>E062</t>
  </si>
  <si>
    <t>Error al Eliminar Sector</t>
  </si>
  <si>
    <t>No se pudo eliminar el sector. Verifica si el sector está asociado a otros registros e intenta nuevamente.</t>
  </si>
  <si>
    <t>Cuando ocurre un error al intentar eliminar un sector, como reglas de integridad de datos que impiden la eliminación.</t>
  </si>
  <si>
    <t>E063</t>
  </si>
  <si>
    <t>Mesa Creada</t>
  </si>
  <si>
    <t>La mesa [Número de la Mesa] ha sido creada exitosamente en el sector [Nombre del Sector].</t>
  </si>
  <si>
    <t>Cuando un administrador o cajero crea una nueva mesa en un sector existente.</t>
  </si>
  <si>
    <t>Pantalla de Gestión de Mesas</t>
  </si>
  <si>
    <t>E064</t>
  </si>
  <si>
    <t>Error al Crear Mesa</t>
  </si>
  <si>
    <t>No se pudo crear la mesa. Verifica la información ingresada e intenta nuevamente.</t>
  </si>
  <si>
    <t>Cuando ocurre un error al intentar crear una mesa, como dejar campos obligatorios en blanco o problemas de conexión.</t>
  </si>
  <si>
    <t>Pantalla de Creación de Mesas</t>
  </si>
  <si>
    <t>E065</t>
  </si>
  <si>
    <t>Mesa Editada</t>
  </si>
  <si>
    <t>La mesa [Número de la Mesa] ha sido actualizada exitosamente en el sector [Nombre del Sector].</t>
  </si>
  <si>
    <t>Cuando un administrador o cajero edita una mesa existente en un sector.</t>
  </si>
  <si>
    <t>E066</t>
  </si>
  <si>
    <t>Error al Editar Mesa</t>
  </si>
  <si>
    <t>No se pudo actualizar la mesa. Verifica la información ingresada e intenta nuevamente.</t>
  </si>
  <si>
    <t>Cuando ocurre un error al intentar editar una mesa, como datos faltantes o problemas de conexión.</t>
  </si>
  <si>
    <t>Pantalla de Edición de Mesas</t>
  </si>
  <si>
    <t>E067</t>
  </si>
  <si>
    <t>Mesa Eliminada</t>
  </si>
  <si>
    <t>La mesa [Número de la Mesa] ha sido eliminada del sector [Nombre del Sector].</t>
  </si>
  <si>
    <t>Cuando un administrador o cajero elimina una mesa del sistema.</t>
  </si>
  <si>
    <t>E068</t>
  </si>
  <si>
    <t>Error al Eliminar Mesa</t>
  </si>
  <si>
    <t>No se pudo eliminar la mesa. Verifica si la mesa está asociada a otros registros e intenta nuevamente.</t>
  </si>
  <si>
    <t>Cuando ocurre un error al intentar eliminar una mesa, como reglas de integridad de datos que impiden la eliminación.</t>
  </si>
  <si>
    <t>E069</t>
  </si>
  <si>
    <t>Pedido Asignado a Mesa</t>
  </si>
  <si>
    <t>El pedido [Número de Pedido] ha sido asignado exitosamente a la mesa [Número de la Mesa] en el sector [Nombre del Sector].</t>
  </si>
  <si>
    <t>Cuando un administrador, cajero o garzón asigna un pedido a una mesa específica.</t>
  </si>
  <si>
    <t>Pantalla de Detalle de Mesa</t>
  </si>
  <si>
    <t>E070</t>
  </si>
  <si>
    <t>Error al Asignar Pedido a Mesa</t>
  </si>
  <si>
    <t>No se pudo asignar el pedido a la mesa. Verifica la información e intenta nuevamente.</t>
  </si>
  <si>
    <t>Cuando ocurre un error al intentar asignar un pedido a una mesa, como problemas de conexión o datos incorrectos.</t>
  </si>
  <si>
    <t>E071</t>
  </si>
  <si>
    <t>Mesa Liberada</t>
  </si>
  <si>
    <t>La mesa [Número de la Mesa] ha sido liberada y está disponible para nuevos pedidos.</t>
  </si>
  <si>
    <t>Cuando un administrador, cajero o garzón libera una mesa después de completar un pedido.</t>
  </si>
  <si>
    <t>E072</t>
  </si>
  <si>
    <t>Error al Liberar Mesa</t>
  </si>
  <si>
    <t>No se pudo liberar la mesa. Verifica si el pedido está cerrado o si hay problemas de conexión e intenta nuevamente.</t>
  </si>
  <si>
    <t>Cuando ocurre un error al intentar liberar una mesa, como si el pedido no ha sido cerrado o problemas de conexión.</t>
  </si>
  <si>
    <t>E073</t>
  </si>
  <si>
    <t>Menú Creado</t>
  </si>
  <si>
    <t>El menú [Nombre del Menú] ha sido creado exitosamente.</t>
  </si>
  <si>
    <t>Cuando un administrador o cajero crea un nuevo menú en el sistema.</t>
  </si>
  <si>
    <t>Pantalla de Gestión de Menú Digital</t>
  </si>
  <si>
    <t>E074</t>
  </si>
  <si>
    <t>Error al Crear Menú</t>
  </si>
  <si>
    <t>No se pudo crear el menú. Verifica la información ingresada e intenta nuevamente.</t>
  </si>
  <si>
    <t>Cuando ocurre un error al intentar crear un menú, como dejar campos obligatorios en blanco o problemas de conexión.</t>
  </si>
  <si>
    <t>Pantalla de Creación de Menú</t>
  </si>
  <si>
    <t>E075</t>
  </si>
  <si>
    <t>Menú Editado</t>
  </si>
  <si>
    <t>El menú [Nombre del Menú] ha sido actualizado exitosamente.</t>
  </si>
  <si>
    <t>Cuando un administrador o cajero edita un menú existente en el sistema.</t>
  </si>
  <si>
    <t>E076</t>
  </si>
  <si>
    <t>Error al Editar Menú</t>
  </si>
  <si>
    <t>No se pudo actualizar el menú. Verifica la información ingresada e intenta nuevamente.</t>
  </si>
  <si>
    <t>Cuando ocurre un error al intentar editar un menú, como datos faltantes o problemas de conexión.</t>
  </si>
  <si>
    <t>Pantalla de Edición de Menú</t>
  </si>
  <si>
    <t>E077</t>
  </si>
  <si>
    <t>Menú Eliminado</t>
  </si>
  <si>
    <t>El menú [Nombre del Menú] ha sido eliminado del sistema.</t>
  </si>
  <si>
    <t>Cuando un administrador elimina un menú del sistema.</t>
  </si>
  <si>
    <t>E078</t>
  </si>
  <si>
    <t>Error al Eliminar Menú</t>
  </si>
  <si>
    <t>No se pudo eliminar el menú. Verifica si el menú está asociado a otros registros e intenta nuevamente.</t>
  </si>
  <si>
    <t>Cuando ocurre un error al intentar eliminar un menú, como reglas de integridad de datos que impiden la eliminación.</t>
  </si>
  <si>
    <t>E079</t>
  </si>
  <si>
    <t>Artículo Agregado al Menú</t>
  </si>
  <si>
    <t>El artículo [Nombre del Artículo] ha sido agregado exitosamente al menú [Nombre del Menú].</t>
  </si>
  <si>
    <t>Cuando un administrador o cajero agrega un artículo a un menú existente.</t>
  </si>
  <si>
    <t>E080</t>
  </si>
  <si>
    <t>Error al Agregar Artículo al Menú</t>
  </si>
  <si>
    <t>No se pudo agregar el artículo al menú. Verifica la información ingresada e intenta nuevamente.</t>
  </si>
  <si>
    <t>Cuando ocurre un error al intentar agregar un artículo a un menú, como problemas de conexión o datos incorrectos.</t>
  </si>
  <si>
    <t>E081</t>
  </si>
  <si>
    <t>Artículo Eliminado del Menú</t>
  </si>
  <si>
    <t>El artículo [Nombre del Artículo] ha sido eliminado exitosamente del menú [Nombre del Menú].</t>
  </si>
  <si>
    <t>Cuando un administrador o cajero elimina un artículo de un menú existente.</t>
  </si>
  <si>
    <t>E082</t>
  </si>
  <si>
    <t>Error al Eliminar Artículo del Menú</t>
  </si>
  <si>
    <t>No se pudo eliminar el artículo del menú. Verifica la información e intenta nuevamente.</t>
  </si>
  <si>
    <t>Cuando ocurre un error al intentar eliminar un artículo de un menú, como problemas de conexión o restricciones del sistema.</t>
  </si>
  <si>
    <t>E083</t>
  </si>
  <si>
    <t>Centro de Producción Creado</t>
  </si>
  <si>
    <t>El centro de producción [Nombre del Centro] ha sido creado exitosamente.</t>
  </si>
  <si>
    <t>Cuando un administrador crea un nuevo centro de producción en el sistema.</t>
  </si>
  <si>
    <t>Pantalla de Gestión de Centros de Producción</t>
  </si>
  <si>
    <t>E084</t>
  </si>
  <si>
    <t>Error al Crear Centro de Producción</t>
  </si>
  <si>
    <t>No se pudo crear el centro de producción. Verifica la información ingresada e intenta nuevamente.</t>
  </si>
  <si>
    <t>Cuando ocurre un error al intentar crear un centro de producción, como dejar campos obligatorios en blanco o problemas de conexión.</t>
  </si>
  <si>
    <t>Pantalla de Creación de Centros de Producción</t>
  </si>
  <si>
    <t>E085</t>
  </si>
  <si>
    <t>Centro de Producción Editado</t>
  </si>
  <si>
    <t>El centro de producción [Nombre del Centro] ha sido actualizado exitosamente.</t>
  </si>
  <si>
    <t>Cuando un administrador edita un centro de producción existente en el sistema.</t>
  </si>
  <si>
    <t>E086</t>
  </si>
  <si>
    <t>Error al Editar Centro de Producción</t>
  </si>
  <si>
    <t>No se pudo actualizar el centro de producción. Verifica la información ingresada e intenta nuevamente.</t>
  </si>
  <si>
    <t>Cuando ocurre un error al intentar editar un centro de producción, como datos faltantes o problemas de conexión.</t>
  </si>
  <si>
    <t>Pantalla de Edición de Centros de Producción</t>
  </si>
  <si>
    <t>E087</t>
  </si>
  <si>
    <t>Centro de Producción Eliminado</t>
  </si>
  <si>
    <t>El centro de producción [Nombre del Centro] ha sido eliminado del sistema.</t>
  </si>
  <si>
    <t>Cuando un administrador elimina un centro de producción del sistema.</t>
  </si>
  <si>
    <t>E088</t>
  </si>
  <si>
    <t>Error al Eliminar Centro de Producción</t>
  </si>
  <si>
    <t>No se pudo eliminar el centro de producción. Verifica si el centro está asociado a otros registros e intenta nuevamente.</t>
  </si>
  <si>
    <t>Cuando ocurre un error al intentar eliminar un centro de producción, como reglas de integridad de datos que impiden la eliminación.</t>
  </si>
  <si>
    <t>E089</t>
  </si>
  <si>
    <t>Artículo Agregado al Centro de Producción</t>
  </si>
  <si>
    <t>El artículo [Nombre del Artículo] ha sido agregado exitosamente al centro de producción [Nombre del Centro].</t>
  </si>
  <si>
    <t>Cuando un administrador agrega un artículo a un centro de producción existente.</t>
  </si>
  <si>
    <t>E090</t>
  </si>
  <si>
    <t>Error al Agregar Artículo al Centro de Producción</t>
  </si>
  <si>
    <t>No se pudo agregar el artículo al centro de producción. Verifica la información ingresada e intenta nuevamente.</t>
  </si>
  <si>
    <t>Cuando ocurre un error al intentar agregar un artículo a un centro de producción, como problemas de conexión o datos incorrectos.</t>
  </si>
  <si>
    <t>E091</t>
  </si>
  <si>
    <t>Artículo Eliminado del Centro de Producción</t>
  </si>
  <si>
    <t>El artículo [Nombre del Artículo] ha sido eliminado exitosamente del centro de producción [Nombre del Centro].</t>
  </si>
  <si>
    <t>Cuando un administrador elimina un artículo de un centro de producción existente.</t>
  </si>
  <si>
    <t>E092</t>
  </si>
  <si>
    <t>Error al Eliminar Artículo del Centro de Producción</t>
  </si>
  <si>
    <t>No se pudo eliminar el artículo del centro de producción. Verifica la información e intenta nuevamente.</t>
  </si>
  <si>
    <t>Cuando ocurre un error al intentar eliminar un artículo de un centro de producción, como problemas de conexión o restricciones del sistema.</t>
  </si>
  <si>
    <t>E093</t>
  </si>
  <si>
    <t>Pedido Asignado a KDS</t>
  </si>
  <si>
    <t>El pedido [Número de Pedido] ha sido asignado exitosamente al KDS del centro de producción [Nombre del Centro].</t>
  </si>
  <si>
    <t>Cuando un pedido es asignado automáticamente o manualmente a un KDS en un centro de producción.</t>
  </si>
  <si>
    <t>Pantalla de KDS</t>
  </si>
  <si>
    <t>E094</t>
  </si>
  <si>
    <t>Error al Asignar Pedido a KDS</t>
  </si>
  <si>
    <t>No se pudo asignar el pedido [Número de Pedido] al KDS. Verifica la información e intenta nuevamente.</t>
  </si>
  <si>
    <t>Cuando ocurre un error al intentar asignar un pedido a un KDS, como problemas de conexión o datos incorrectos.</t>
  </si>
  <si>
    <t>E095</t>
  </si>
  <si>
    <t>Pedido En Proceso</t>
  </si>
  <si>
    <t>El pedido [Número de Pedido] ha sido marcado como "En Proceso" en el KDS del centro de producción [Nombre del Centro].</t>
  </si>
  <si>
    <t>Cuando un pedido es actualizado a estado "En Proceso" en el KDS.</t>
  </si>
  <si>
    <t>E096</t>
  </si>
  <si>
    <t>Error al Marcar Pedido como En Proceso</t>
  </si>
  <si>
    <t>No se pudo marcar el pedido [Número de Pedido] como "En Proceso". Intenta nuevamente más tarde.</t>
  </si>
  <si>
    <t>Cuando ocurre un error al intentar actualizar el estado de un pedido a "En Proceso", como problemas de conexión.</t>
  </si>
  <si>
    <t>E097</t>
  </si>
  <si>
    <t>El pedido [Número de Pedido] ha sido completado exitosamente en el KDS del centro de producción [Nombre del Centro].</t>
  </si>
  <si>
    <t>Cuando un pedido es marcado como "Completado" en el KDS.</t>
  </si>
  <si>
    <t>E098</t>
  </si>
  <si>
    <t>Error al Completar Pedido</t>
  </si>
  <si>
    <t>No se pudo marcar el pedido [Número de Pedido] como "Completado". Verifica la información e intenta nuevamente.</t>
  </si>
  <si>
    <t>Cuando ocurre un error al intentar actualizar el estado de un pedido a "Completado", como problemas de conexión o datos incorrectos.</t>
  </si>
  <si>
    <t>E099</t>
  </si>
  <si>
    <t>Pedido Cancelado en KDS</t>
  </si>
  <si>
    <t>El pedido [Número de Pedido] ha sido cancelado en el KDS del centro de producción [Nombre del Centro].</t>
  </si>
  <si>
    <t>Cuando un pedido es cancelado desde el KDS.</t>
  </si>
  <si>
    <t>E100</t>
  </si>
  <si>
    <t>Error al Cancelar Pedido en KDS</t>
  </si>
  <si>
    <t>No se pudo cancelar el pedido [Número de Pedido] en el KDS. Verifica la información e intenta nuevamente.</t>
  </si>
  <si>
    <t>Cuando ocurre un error al intentar cancelar un pedido desde el KDS, como problemas de conexión o datos incorrectos.</t>
  </si>
  <si>
    <t>E101</t>
  </si>
  <si>
    <t>Nuevo Pedido en KDS</t>
  </si>
  <si>
    <t>Se ha agregado un nuevo pedido [Número de Pedido] al KDS del centro de producción [Nombre del Centro].</t>
  </si>
  <si>
    <t>Cuando un nuevo pedido entra al sistema KDS.</t>
  </si>
  <si>
    <t>E102</t>
  </si>
  <si>
    <t>Error al Agregar Nuevo Pedido al KDS</t>
  </si>
  <si>
    <t>No se pudo agregar el nuevo pedido al KDS. Verifica la información e intenta nuevamente.</t>
  </si>
  <si>
    <t>Cuando ocurre un error al intentar agregar un nuevo pedido al KDS, como problemas de conexión o datos incorrectos.</t>
  </si>
  <si>
    <t>E103</t>
  </si>
  <si>
    <t>Nuevo Mensaje</t>
  </si>
  <si>
    <t>Has recibido un nuevo mensaje de [Nombre del Remitente]: "[Asunto del Mensaje]".</t>
  </si>
  <si>
    <t>Leer Mensaje</t>
  </si>
  <si>
    <t>Cuando un usuario recibe un nuevo mensaje interno en el sistema.</t>
  </si>
  <si>
    <t>Pantalla de Detalle de Mensaje</t>
  </si>
  <si>
    <t>E104</t>
  </si>
  <si>
    <t>Error al Enviar Mensaje</t>
  </si>
  <si>
    <t>No se pudo enviar el mensaje a [Nombre del Destinatario]. Verifica la información e intenta nuevamente.</t>
  </si>
  <si>
    <t>Cuando ocurre un error al intentar enviar un mensaje interno, como problemas de conexión o datos faltantes.</t>
  </si>
  <si>
    <t>Pantalla de Composición de Mensaje</t>
  </si>
  <si>
    <t>E105</t>
  </si>
  <si>
    <t>Mensaje Enviado</t>
  </si>
  <si>
    <t>Tu mensaje ha sido enviado exitosamente a [Nombre del Destinatario].</t>
  </si>
  <si>
    <t>Cuando un usuario envía un mensaje interno exitosamente.</t>
  </si>
  <si>
    <t>Pantalla de Bandeja de Entrada</t>
  </si>
  <si>
    <t>E106</t>
  </si>
  <si>
    <t>Mensaje Marcado como Leído</t>
  </si>
  <si>
    <t>Has marcado el mensaje de [Nombre del Remitente] como leído.</t>
  </si>
  <si>
    <t>Cuando un usuario marca un mensaje como leído en su bandeja de entrada.</t>
  </si>
  <si>
    <t>E107</t>
  </si>
  <si>
    <t>Error al Marcar Mensaje como Leído</t>
  </si>
  <si>
    <t>No se pudo marcar el mensaje de [Nombre del Remitente] como leído. Intenta nuevamente.</t>
  </si>
  <si>
    <t>Cuando ocurre un error al intentar marcar un mensaje como leído, como problemas de conexión o errores en el sistema.</t>
  </si>
  <si>
    <t>E108</t>
  </si>
  <si>
    <t>Mensaje Eliminado</t>
  </si>
  <si>
    <t>Has eliminado el mensaje de [Nombre del Remitente] de tu bandeja de entrada.</t>
  </si>
  <si>
    <t>Cuando un usuario elimina un mensaje de su bandeja de entrada.</t>
  </si>
  <si>
    <t>E109</t>
  </si>
  <si>
    <t>Error al Eliminar Mensaje</t>
  </si>
  <si>
    <t>No se pudo eliminar el mensaje de [Nombre del Remitente]. Intenta nuevamente.</t>
  </si>
  <si>
    <t>Cuando ocurre un error al intentar eliminar un mensaje, como problemas de conexión o restricciones del sistema.</t>
  </si>
  <si>
    <t>E110</t>
  </si>
  <si>
    <t>Mensaje de Grupo Enviado</t>
  </si>
  <si>
    <t>Has enviado un mensaje al grupo [Nombre del Grupo]: "[Asunto del Mensaje]".</t>
  </si>
  <si>
    <t>Cuando un usuario envía un mensaje a un grupo de usuarios en el sistema.</t>
  </si>
  <si>
    <t>Pantalla de Mensajes de Grupo</t>
  </si>
  <si>
    <t>E111</t>
  </si>
  <si>
    <t>Error al Enviar Mensaje a Grupo</t>
  </si>
  <si>
    <t>No se pudo enviar el mensaje al grupo [Nombre del Grupo]. Verifica la información e intenta nuevamente.</t>
  </si>
  <si>
    <t>Cuando ocurre un error al intentar enviar un mensaje a un grupo de usuarios, como problemas de conexión o datos faltantes.</t>
  </si>
  <si>
    <t>Pantalla de Composición de Mensaje de Grupo</t>
  </si>
  <si>
    <t>E112</t>
  </si>
  <si>
    <t>Mensaje de Grupo Marcado como Leído</t>
  </si>
  <si>
    <t>Has marcado el mensaje del grupo [Nombre del Grupo] como leído.</t>
  </si>
  <si>
    <t>Cuando un usuario marca un mensaje de grupo como leído en su bandeja de entrada.</t>
  </si>
  <si>
    <t>E113</t>
  </si>
  <si>
    <t>Nuevo Pedido de Delivery</t>
  </si>
  <si>
    <t>Se ha recibido un nuevo pedido de delivery con el número [Número de Pedido]. Revisa los detalles para confirmar la preparación.</t>
  </si>
  <si>
    <t>Ver Pedido</t>
  </si>
  <si>
    <t>Cuando un nuevo pedido de delivery es recibido en el sistema.</t>
  </si>
  <si>
    <t>Pantalla de Detalle de Pedido de Delivery</t>
  </si>
  <si>
    <t>E114</t>
  </si>
  <si>
    <t>Error al Recibir Pedido de Delivery</t>
  </si>
  <si>
    <t>Ocurrió un error al procesar el pedido de delivery con el número [Número de Pedido]. Verifica la información e intenta nuevamente.</t>
  </si>
  <si>
    <t>Cuando ocurre un error al intentar recibir un pedido de delivery, como problemas de conexión o datos faltantes.</t>
  </si>
  <si>
    <t>Pantalla de Gestión de Delivery</t>
  </si>
  <si>
    <t>E115</t>
  </si>
  <si>
    <t>Pedido Asignado a Repartidor</t>
  </si>
  <si>
    <t>El pedido de delivery con el número [Número de Pedido] ha sido asignado al repartidor [Nombre del Repartidor].</t>
  </si>
  <si>
    <t>Cuando un pedido de delivery es asignado a un repartidor para su entrega.</t>
  </si>
  <si>
    <t>Pantalla de Gestión de Repartidores</t>
  </si>
  <si>
    <t>E116</t>
  </si>
  <si>
    <t>Error al Asignar Pedido a Repartidor</t>
  </si>
  <si>
    <t>No se pudo asignar el pedido de delivery al repartidor. Verifica la información e intenta nuevamente.</t>
  </si>
  <si>
    <t>Cuando ocurre un error al intentar asignar un pedido de delivery a un repartidor, como problemas de conexión o datos incorrectos.</t>
  </si>
  <si>
    <t>E117</t>
  </si>
  <si>
    <t>Pedido de Delivery en Camino</t>
  </si>
  <si>
    <t>El pedido de delivery con el número [Número de Pedido] está en camino al cliente.</t>
  </si>
  <si>
    <t>Cuando el repartidor marca un pedido de delivery como "En Camino" en el sistema.</t>
  </si>
  <si>
    <t>E118</t>
  </si>
  <si>
    <t>Error al Marcar Pedido como En Camino</t>
  </si>
  <si>
    <t>No se pudo marcar el pedido de delivery como "En Camino". Verifica la información e intenta nuevamente.</t>
  </si>
  <si>
    <t>Cuando ocurre un error al intentar actualizar el estado de un pedido de delivery a "En Camino", como problemas de conexión.</t>
  </si>
  <si>
    <t>E119</t>
  </si>
  <si>
    <t>Pedido de Delivery Entregado</t>
  </si>
  <si>
    <t>El pedido de delivery con el número [Número de Pedido] ha sido entregado exitosamente al cliente.</t>
  </si>
  <si>
    <t>Cuando el repartidor marca un pedido de delivery como "Entregado" en el sistema.</t>
  </si>
  <si>
    <t>E120</t>
  </si>
  <si>
    <t>Error al Marcar Pedido como Entregado</t>
  </si>
  <si>
    <t>No se pudo marcar el pedido de delivery como "Entregado". Verifica la información e intenta nuevamente.</t>
  </si>
  <si>
    <t>Cuando ocurre un error al intentar actualizar el estado de un pedido de delivery a "Entregado", como problemas de conexión o datos incorrectos.</t>
  </si>
  <si>
    <t>E121</t>
  </si>
  <si>
    <t>Pedido de Delivery Cancelado</t>
  </si>
  <si>
    <t>El pedido de delivery con el número [Número de Pedido] ha sido cancelado.</t>
  </si>
  <si>
    <t>Cuando un pedido de delivery es cancelado desde el sistema.</t>
  </si>
  <si>
    <t>E122</t>
  </si>
  <si>
    <t>Error al Cancelar Pedido de Delivery</t>
  </si>
  <si>
    <t>No se pudo cancelar el pedido de delivery. Verifica la información e intenta nuevamente.</t>
  </si>
  <si>
    <t>Cuando ocurre un error al intentar cancelar un pedido de delivery, como problemas de conexión o restricciones del sistema.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</si>
</sst>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/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0" xfId="0" applyAlignment="1" applyBorder="1" applyFont="1">
      <alignment readingOrder="0" shrinkToFit="0" vertical="center" wrapText="1"/>
    </xf>
    <xf borderId="1" fillId="2" fontId="1" numFmtId="0" xfId="0" applyBorder="1" applyFill="1" applyFont="1"/>
    <xf borderId="1" fillId="0" fontId="2" numFmtId="0" xfId="0" applyBorder="1" applyFont="1"/>
    <xf borderId="2" fillId="0" fontId="2" numFmtId="0" xfId="0" applyAlignment="1" applyBorder="1" applyFont="1">
      <alignment readingOrder="0" shrinkToFit="0" vertical="center" wrapText="1"/>
    </xf>
    <xf borderId="3" fillId="0" fontId="3" numFmtId="0" xfId="0" applyBorder="1" applyFont="1"/>
    <xf borderId="4" fillId="0" fontId="3" numFmtId="0" xfId="0" applyBorder="1" applyFont="1"/>
    <xf borderId="0" fillId="0" fontId="2" numFmtId="0" xfId="0" applyAlignment="1" applyFont="1">
      <alignment shrinkToFit="0" vertical="center" wrapText="1"/>
    </xf>
    <xf borderId="1" fillId="0" fontId="4" numFmtId="0" xfId="0" applyAlignment="1" applyBorder="1" applyFont="1">
      <alignment horizontal="center" vertical="top"/>
    </xf>
    <xf borderId="1" fillId="0" fontId="4" numFmtId="0" xfId="0" applyAlignment="1" applyBorder="1" applyFont="1">
      <alignment horizontal="center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29"/>
    <col customWidth="1" min="2" max="2" width="19.57"/>
    <col customWidth="1" min="3" max="3" width="39.71"/>
    <col customWidth="1" min="4" max="4" width="18.14"/>
    <col customWidth="1" min="5" max="5" width="116.0"/>
    <col customWidth="1" min="6" max="6" width="16.0"/>
    <col customWidth="1" min="7" max="7" width="112.29"/>
    <col customWidth="1" min="8" max="8" width="60.29"/>
  </cols>
  <sheetData>
    <row r="1">
      <c r="A1" s="1" t="str">
        <f>IFERROR(__xludf.DUMMYFUNCTION("GOOGLETRANSLATE(ES!A1,""es"",""en"")"),"ID")</f>
        <v>ID</v>
      </c>
      <c r="B1" s="2" t="s">
        <v>0</v>
      </c>
      <c r="C1" s="1" t="str">
        <f>IFERROR(__xludf.DUMMYFUNCTION("GOOGLETRANSLATE(ES!C1,""es"",""en"")"),"Name (Title)")</f>
        <v>Name (Title)</v>
      </c>
      <c r="D1" s="3" t="str">
        <f>IFERROR(__xludf.DUMMYFUNCTION("GOOGLETRANSLATE(ES!D1,""es"",""en"")"),"Notice type")</f>
        <v>Notice type</v>
      </c>
      <c r="E1" s="1" t="str">
        <f>IFERROR(__xludf.DUMMYFUNCTION("GOOGLETRANSLATE(ES!E1,""es"",""en"")"),"Description (Message)")</f>
        <v>Description (Message)</v>
      </c>
      <c r="F1" s="1" t="str">
        <f>IFERROR(__xludf.DUMMYFUNCTION("GOOGLETRANSLATE(ES!F1,""es"",""en"")"),"Button (Optional)")</f>
        <v>Button (Optional)</v>
      </c>
      <c r="G1" s="1" t="str">
        <f>IFERROR(__xludf.DUMMYFUNCTION("GOOGLETRANSLATE(ES!G1,""es"",""en"")"),"Criterion (The action/condition that activates the element.)")</f>
        <v>Criterion (The action/condition that activates the element.)</v>
      </c>
      <c r="H1" s="1" t="str">
        <f>IFERROR(__xludf.DUMMYFUNCTION("GOOGLETRANSLATE(ES!H1,""es"",""en"")"),"Endpoint (To which screen the element redirects after being pressed.)")</f>
        <v>Endpoint (To which screen the element redirects after being pressed.)</v>
      </c>
    </row>
    <row r="2">
      <c r="A2" s="4" t="str">
        <f>IFERROR(__xludf.DUMMYFUNCTION("GOOGLETRANSLATE(ES!A2,""es"",""en"")"),"E001")</f>
        <v>E001</v>
      </c>
      <c r="B2" s="5" t="s">
        <v>1</v>
      </c>
      <c r="C2" s="4" t="str">
        <f>IFERROR(__xludf.DUMMYFUNCTION("GOOGLETRANSLATE(ES!C2,""es"",""en"")"),"Invitation Sent")</f>
        <v>Invitation Sent</v>
      </c>
      <c r="D2" s="4" t="str">
        <f>IFERROR(__xludf.DUMMYFUNCTION("GOOGLETRANSLATE(ES!D2,""es"",""en"")"),"Notification")</f>
        <v>Notification</v>
      </c>
      <c r="E2" s="4" t="str">
        <f>IFERROR(__xludf.DUMMYFUNCTION("GOOGLETRANSLATE(ES!E2,""es"",""en"")"),"The invitation for user [User Name] has been successfully sent to [Email].")</f>
        <v>The invitation for user [User Name] has been successfully sent to [Email].</v>
      </c>
      <c r="F2" s="4"/>
      <c r="G2" s="4" t="str">
        <f>IFERROR(__xludf.DUMMYFUNCTION("GOOGLETRANSLATE(ES!G2,""es"",""en"")"),"When the superuser or administrator sends an invitation to a new user from the application.")</f>
        <v>When the superuser or administrator sends an invitation to a new user from the application.</v>
      </c>
      <c r="H2" s="4" t="str">
        <f>IFERROR(__xludf.DUMMYFUNCTION("GOOGLETRANSLATE(ES!H2,""es"",""en"")"),"User Management Screen")</f>
        <v>User Management Screen</v>
      </c>
    </row>
    <row r="3">
      <c r="A3" s="4" t="str">
        <f>IFERROR(__xludf.DUMMYFUNCTION("GOOGLETRANSLATE(ES!A3,""es"",""en"")"),"E002")</f>
        <v>E002</v>
      </c>
      <c r="B3" s="6"/>
      <c r="C3" s="4" t="str">
        <f>IFERROR(__xludf.DUMMYFUNCTION("GOOGLETRANSLATE(ES!C3,""es"",""en"")"),"Error sending invitation")</f>
        <v>Error sending invitation</v>
      </c>
      <c r="D3" s="4" t="str">
        <f>IFERROR(__xludf.DUMMYFUNCTION("GOOGLETRANSLATE(ES!D3,""es"",""en"")"),"Alert")</f>
        <v>Alert</v>
      </c>
      <c r="E3" s="4" t="str">
        <f>IFERROR(__xludf.DUMMYFUNCTION("GOOGLETRANSLATE(ES!E3,""es"",""en"")"),"The invitation could not be sent to user [User Name]. Please verify the information and try again.")</f>
        <v>The invitation could not be sent to user [User Name]. Please verify the information and try again.</v>
      </c>
      <c r="F3" s="4"/>
      <c r="G3" s="4" t="str">
        <f>IFERROR(__xludf.DUMMYFUNCTION("GOOGLETRANSLATE(ES!G3,""es"",""en"")"),"When an error occurs when trying to send an invitation, such as an incorrect email format or a connection error.")</f>
        <v>When an error occurs when trying to send an invitation, such as an incorrect email format or a connection error.</v>
      </c>
      <c r="H3" s="4" t="str">
        <f>IFERROR(__xludf.DUMMYFUNCTION("GOOGLETRANSLATE(ES!H3,""es"",""en"")"),"User Management Screen")</f>
        <v>User Management Screen</v>
      </c>
    </row>
    <row r="4">
      <c r="A4" s="4" t="str">
        <f>IFERROR(__xludf.DUMMYFUNCTION("GOOGLETRANSLATE(ES!A4,""es"",""en"")"),"E003")</f>
        <v>E003</v>
      </c>
      <c r="B4" s="6"/>
      <c r="C4" s="4" t="str">
        <f>IFERROR(__xludf.DUMMYFUNCTION("GOOGLETRANSLATE(ES!C4,""es"",""en"")"),"Complete User Registration")</f>
        <v>Complete User Registration</v>
      </c>
      <c r="D4" s="4" t="str">
        <f>IFERROR(__xludf.DUMMYFUNCTION("GOOGLETRANSLATE(ES!D4,""es"",""en"")"),"Notification")</f>
        <v>Notification</v>
      </c>
      <c r="E4" s="4" t="str">
        <f>IFERROR(__xludf.DUMMYFUNCTION("GOOGLETRANSLATE(ES!E4,""es"",""en"")"),"The user [User Name] has successfully registered in the application.")</f>
        <v>The user [User Name] has successfully registered in the application.</v>
      </c>
      <c r="F4" s="4"/>
      <c r="G4" s="4" t="str">
        <f>IFERROR(__xludf.DUMMYFUNCTION("GOOGLETRANSLATE(ES!G4,""es"",""en"")"),"When a new user completes their registration using the invitation sent.")</f>
        <v>When a new user completes their registration using the invitation sent.</v>
      </c>
      <c r="H4" s="4" t="str">
        <f>IFERROR(__xludf.DUMMYFUNCTION("GOOGLETRANSLATE(ES!H4,""es"",""en"")"),"Login Screen")</f>
        <v>Login Screen</v>
      </c>
    </row>
    <row r="5">
      <c r="A5" s="4" t="str">
        <f>IFERROR(__xludf.DUMMYFUNCTION("GOOGLETRANSLATE(ES!A5,""es"",""en"")"),"E004")</f>
        <v>E004</v>
      </c>
      <c r="B5" s="6"/>
      <c r="C5" s="4" t="str">
        <f>IFERROR(__xludf.DUMMYFUNCTION("GOOGLETRANSLATE(ES!C5,""es"",""en"")"),"Registry error")</f>
        <v>Registry error</v>
      </c>
      <c r="D5" s="4" t="str">
        <f>IFERROR(__xludf.DUMMYFUNCTION("GOOGLETRANSLATE(ES!D5,""es"",""en"")"),"Alert")</f>
        <v>Alert</v>
      </c>
      <c r="E5" s="4" t="str">
        <f>IFERROR(__xludf.DUMMYFUNCTION("GOOGLETRANSLATE(ES!E5,""es"",""en"")"),"Registration could not be completed. Please verify the information entered and try again.")</f>
        <v>Registration could not be completed. Please verify the information entered and try again.</v>
      </c>
      <c r="F5" s="4"/>
      <c r="G5" s="4" t="str">
        <f>IFERROR(__xludf.DUMMYFUNCTION("GOOGLETRANSLATE(ES!G5,""es"",""en"")"),"When a user tries to register and an error occurs, such as mismatched passwords or missing information.")</f>
        <v>When a user tries to register and an error occurs, such as mismatched passwords or missing information.</v>
      </c>
      <c r="H5" s="4" t="str">
        <f>IFERROR(__xludf.DUMMYFUNCTION("GOOGLETRANSLATE(ES!H5,""es"",""en"")"),"User Registration Screen")</f>
        <v>User Registration Screen</v>
      </c>
    </row>
    <row r="6">
      <c r="A6" s="4" t="str">
        <f>IFERROR(__xludf.DUMMYFUNCTION("GOOGLETRANSLATE(ES!A6,""es"",""en"")"),"E005")</f>
        <v>E005</v>
      </c>
      <c r="B6" s="6"/>
      <c r="C6" s="4" t="str">
        <f>IFERROR(__xludf.DUMMYFUNCTION("GOOGLETRANSLATE(ES!C6,""es"",""en"")"),"System Login")</f>
        <v>System Login</v>
      </c>
      <c r="D6" s="4" t="str">
        <f>IFERROR(__xludf.DUMMYFUNCTION("GOOGLETRANSLATE(ES!D6,""es"",""en"")"),"Notification")</f>
        <v>Notification</v>
      </c>
      <c r="E6" s="4" t="str">
        <f>IFERROR(__xludf.DUMMYFUNCTION("GOOGLETRANSLATE(ES!E6,""es"",""en"")"),"Welcome, [User Name]. You have successfully logged in to the system.")</f>
        <v>Welcome, [User Name]. You have successfully logged in to the system.</v>
      </c>
      <c r="F6" s="4"/>
      <c r="G6" s="4" t="str">
        <f>IFERROR(__xludf.DUMMYFUNCTION("GOOGLETRANSLATE(ES!G6,""es"",""en"")"),"When a user enters their credentials correctly and accesses the system.")</f>
        <v>When a user enters their credentials correctly and accesses the system.</v>
      </c>
      <c r="H6" s="4" t="str">
        <f>IFERROR(__xludf.DUMMYFUNCTION("GOOGLETRANSLATE(ES!H6,""es"",""en"")"),"Dashboard screen according to the user profile")</f>
        <v>Dashboard screen according to the user profile</v>
      </c>
    </row>
    <row r="7">
      <c r="A7" s="4" t="str">
        <f>IFERROR(__xludf.DUMMYFUNCTION("GOOGLETRANSLATE(ES!A7,""es"",""en"")"),"E006")</f>
        <v>E006</v>
      </c>
      <c r="B7" s="7"/>
      <c r="C7" s="4" t="str">
        <f>IFERROR(__xludf.DUMMYFUNCTION("GOOGLETRANSLATE(ES!C7,""es"",""en"")"),"Entry Error")</f>
        <v>Entry Error</v>
      </c>
      <c r="D7" s="4" t="str">
        <f>IFERROR(__xludf.DUMMYFUNCTION("GOOGLETRANSLATE(ES!D7,""es"",""en"")"),"Alert")</f>
        <v>Alert</v>
      </c>
      <c r="E7" s="4" t="str">
        <f>IFERROR(__xludf.DUMMYFUNCTION("GOOGLETRANSLATE(ES!E7,""es"",""en"")"),"Could not log in to the system. Check your email and password and try again.")</f>
        <v>Could not log in to the system. Check your email and password and try again.</v>
      </c>
      <c r="F7" s="4"/>
      <c r="G7" s="4" t="str">
        <f>IFERROR(__xludf.DUMMYFUNCTION("GOOGLETRANSLATE(ES!G7,""es"",""en"")"),"When a user tries to log in with incorrect credentials.")</f>
        <v>When a user tries to log in with incorrect credentials.</v>
      </c>
      <c r="H7" s="4" t="str">
        <f>IFERROR(__xludf.DUMMYFUNCTION("GOOGLETRANSLATE(ES!H7,""es"",""en"")"),"Login Screen")</f>
        <v>Login Screen</v>
      </c>
    </row>
    <row r="8">
      <c r="A8" s="4" t="str">
        <f>IFERROR(__xludf.DUMMYFUNCTION("GOOGLETRANSLATE(ES!A8,""es"",""en"")"),"E007")</f>
        <v>E007</v>
      </c>
      <c r="B8" s="5" t="s">
        <v>2</v>
      </c>
      <c r="C8" s="4" t="str">
        <f>IFERROR(__xludf.DUMMYFUNCTION("GOOGLETRANSLATE(ES!C8,""es"",""en"")"),"Article Created")</f>
        <v>Article Created</v>
      </c>
      <c r="D8" s="4" t="str">
        <f>IFERROR(__xludf.DUMMYFUNCTION("GOOGLETRANSLATE(ES!D8,""es"",""en"")"),"Notification")</f>
        <v>Notification</v>
      </c>
      <c r="E8" s="4" t="str">
        <f>IFERROR(__xludf.DUMMYFUNCTION("GOOGLETRANSLATE(ES!E8,""es"",""en"")"),"The item [Item Name] has been created successfully.")</f>
        <v>The item [Item Name] has been created successfully.</v>
      </c>
      <c r="F8" s="4"/>
      <c r="G8" s="4" t="str">
        <f>IFERROR(__xludf.DUMMYFUNCTION("GOOGLETRANSLATE(ES!G8,""es"",""en"")"),"When an administrator or cashier creates a new item in the system.")</f>
        <v>When an administrator or cashier creates a new item in the system.</v>
      </c>
      <c r="H8" s="4" t="str">
        <f>IFERROR(__xludf.DUMMYFUNCTION("GOOGLETRANSLATE(ES!H8,""es"",""en"")"),"Item Management Screen")</f>
        <v>Item Management Screen</v>
      </c>
    </row>
    <row r="9">
      <c r="A9" s="4" t="str">
        <f>IFERROR(__xludf.DUMMYFUNCTION("GOOGLETRANSLATE(ES!A9,""es"",""en"")"),"E008")</f>
        <v>E008</v>
      </c>
      <c r="B9" s="6"/>
      <c r="C9" s="4" t="str">
        <f>IFERROR(__xludf.DUMMYFUNCTION("GOOGLETRANSLATE(ES!C9,""es"",""en"")"),"Error creating article")</f>
        <v>Error creating article</v>
      </c>
      <c r="D9" s="4" t="str">
        <f>IFERROR(__xludf.DUMMYFUNCTION("GOOGLETRANSLATE(ES!D9,""es"",""en"")"),"Alert")</f>
        <v>Alert</v>
      </c>
      <c r="E9" s="4" t="str">
        <f>IFERROR(__xludf.DUMMYFUNCTION("GOOGLETRANSLATE(ES!E9,""es"",""en"")"),"The article could not be created. Please verify the information entered and try again.")</f>
        <v>The article could not be created. Please verify the information entered and try again.</v>
      </c>
      <c r="F9" s="4"/>
      <c r="G9" s="4" t="str">
        <f>IFERROR(__xludf.DUMMYFUNCTION("GOOGLETRANSLATE(ES!G9,""es"",""en"")"),"When an error occurs when trying to create an item, such as leaving required fields blank or entering incorrect data.")</f>
        <v>When an error occurs when trying to create an item, such as leaving required fields blank or entering incorrect data.</v>
      </c>
      <c r="H9" s="4" t="str">
        <f>IFERROR(__xludf.DUMMYFUNCTION("GOOGLETRANSLATE(ES!H9,""es"",""en"")"),"Article Creation Screen")</f>
        <v>Article Creation Screen</v>
      </c>
    </row>
    <row r="10">
      <c r="A10" s="4" t="str">
        <f>IFERROR(__xludf.DUMMYFUNCTION("GOOGLETRANSLATE(ES!A10,""es"",""en"")"),"E009")</f>
        <v>E009</v>
      </c>
      <c r="B10" s="6"/>
      <c r="C10" s="4" t="str">
        <f>IFERROR(__xludf.DUMMYFUNCTION("GOOGLETRANSLATE(ES!C10,""es"",""en"")"),"Edited Article")</f>
        <v>Edited Article</v>
      </c>
      <c r="D10" s="4" t="str">
        <f>IFERROR(__xludf.DUMMYFUNCTION("GOOGLETRANSLATE(ES!D10,""es"",""en"")"),"Notification")</f>
        <v>Notification</v>
      </c>
      <c r="E10" s="4" t="str">
        <f>IFERROR(__xludf.DUMMYFUNCTION("GOOGLETRANSLATE(ES!E10,""es"",""en"")"),"The article [Article Name] has been successfully updated.")</f>
        <v>The article [Article Name] has been successfully updated.</v>
      </c>
      <c r="F10" s="4"/>
      <c r="G10" s="4" t="str">
        <f>IFERROR(__xludf.DUMMYFUNCTION("GOOGLETRANSLATE(ES!G10,""es"",""en"")"),"When an administrator or cashier edits an existing item in the system.")</f>
        <v>When an administrator or cashier edits an existing item in the system.</v>
      </c>
      <c r="H10" s="4" t="str">
        <f>IFERROR(__xludf.DUMMYFUNCTION("GOOGLETRANSLATE(ES!H10,""es"",""en"")"),"Item Management Screen")</f>
        <v>Item Management Screen</v>
      </c>
    </row>
    <row r="11">
      <c r="A11" s="4" t="str">
        <f>IFERROR(__xludf.DUMMYFUNCTION("GOOGLETRANSLATE(ES!A11,""es"",""en"")"),"E010")</f>
        <v>E010</v>
      </c>
      <c r="B11" s="6"/>
      <c r="C11" s="4" t="str">
        <f>IFERROR(__xludf.DUMMYFUNCTION("GOOGLETRANSLATE(ES!C11,""es"",""en"")"),"Error Editing Article")</f>
        <v>Error Editing Article</v>
      </c>
      <c r="D11" s="4" t="str">
        <f>IFERROR(__xludf.DUMMYFUNCTION("GOOGLETRANSLATE(ES!D11,""es"",""en"")"),"Alert")</f>
        <v>Alert</v>
      </c>
      <c r="E11" s="4" t="str">
        <f>IFERROR(__xludf.DUMMYFUNCTION("GOOGLETRANSLATE(ES!E11,""es"",""en"")"),"The article could not be updated. Please verify the information entered and try again.")</f>
        <v>The article could not be updated. Please verify the information entered and try again.</v>
      </c>
      <c r="F11" s="4"/>
      <c r="G11" s="4" t="str">
        <f>IFERROR(__xludf.DUMMYFUNCTION("GOOGLETRANSLATE(ES!G11,""es"",""en"")"),"When an error occurs when trying to edit an article, such as missing data or connection problems.")</f>
        <v>When an error occurs when trying to edit an article, such as missing data or connection problems.</v>
      </c>
      <c r="H11" s="4" t="str">
        <f>IFERROR(__xludf.DUMMYFUNCTION("GOOGLETRANSLATE(ES!H11,""es"",""en"")"),"Article Edit Screen")</f>
        <v>Article Edit Screen</v>
      </c>
    </row>
    <row r="12">
      <c r="A12" s="4" t="str">
        <f>IFERROR(__xludf.DUMMYFUNCTION("GOOGLETRANSLATE(ES!A12,""es"",""en"")"),"E011")</f>
        <v>E011</v>
      </c>
      <c r="B12" s="6"/>
      <c r="C12" s="4" t="str">
        <f>IFERROR(__xludf.DUMMYFUNCTION("GOOGLETRANSLATE(ES!C12,""es"",""en"")"),"Deleted Article")</f>
        <v>Deleted Article</v>
      </c>
      <c r="D12" s="4" t="str">
        <f>IFERROR(__xludf.DUMMYFUNCTION("GOOGLETRANSLATE(ES!D12,""es"",""en"")"),"Notification")</f>
        <v>Notification</v>
      </c>
      <c r="E12" s="4" t="str">
        <f>IFERROR(__xludf.DUMMYFUNCTION("GOOGLETRANSLATE(ES!E12,""es"",""en"")"),"The item [Item Name] has been removed from the system.")</f>
        <v>The item [Item Name] has been removed from the system.</v>
      </c>
      <c r="F12" s="4"/>
      <c r="G12" s="4" t="str">
        <f>IFERROR(__xludf.DUMMYFUNCTION("GOOGLETRANSLATE(ES!G12,""es"",""en"")"),"When an administrator or cashier deletes an item from the system.")</f>
        <v>When an administrator or cashier deletes an item from the system.</v>
      </c>
      <c r="H12" s="4" t="str">
        <f>IFERROR(__xludf.DUMMYFUNCTION("GOOGLETRANSLATE(ES!H12,""es"",""en"")"),"Item Management Screen")</f>
        <v>Item Management Screen</v>
      </c>
    </row>
    <row r="13">
      <c r="A13" s="4" t="str">
        <f>IFERROR(__xludf.DUMMYFUNCTION("GOOGLETRANSLATE(ES!A13,""es"",""en"")"),"E012")</f>
        <v>E012</v>
      </c>
      <c r="B13" s="6"/>
      <c r="C13" s="4" t="str">
        <f>IFERROR(__xludf.DUMMYFUNCTION("GOOGLETRANSLATE(ES!C13,""es"",""en"")"),"Error Deleting Item")</f>
        <v>Error Deleting Item</v>
      </c>
      <c r="D13" s="4" t="str">
        <f>IFERROR(__xludf.DUMMYFUNCTION("GOOGLETRANSLATE(ES!D13,""es"",""en"")"),"Alert")</f>
        <v>Alert</v>
      </c>
      <c r="E13" s="4" t="str">
        <f>IFERROR(__xludf.DUMMYFUNCTION("GOOGLETRANSLATE(ES!E13,""es"",""en"")"),"The article could not be deleted. Check if the item is associated with other records and try again.")</f>
        <v>The article could not be deleted. Check if the item is associated with other records and try again.</v>
      </c>
      <c r="F13" s="4"/>
      <c r="G13" s="4" t="str">
        <f>IFERROR(__xludf.DUMMYFUNCTION("GOOGLETRANSLATE(ES!G13,""es"",""en"")"),"When an error occurs when trying to delete an item, such as data integrity rules preventing deletion.")</f>
        <v>When an error occurs when trying to delete an item, such as data integrity rules preventing deletion.</v>
      </c>
      <c r="H13" s="4" t="str">
        <f>IFERROR(__xludf.DUMMYFUNCTION("GOOGLETRANSLATE(ES!H13,""es"",""en"")"),"Item Management Screen")</f>
        <v>Item Management Screen</v>
      </c>
    </row>
    <row r="14">
      <c r="A14" s="4" t="str">
        <f>IFERROR(__xludf.DUMMYFUNCTION("GOOGLETRANSLATE(ES!A14,""es"",""en"")"),"E013")</f>
        <v>E013</v>
      </c>
      <c r="B14" s="6"/>
      <c r="C14" s="4" t="str">
        <f>IFERROR(__xludf.DUMMYFUNCTION("GOOGLETRANSLATE(ES!C14,""es"",""en"")"),"Created Family")</f>
        <v>Created Family</v>
      </c>
      <c r="D14" s="4" t="str">
        <f>IFERROR(__xludf.DUMMYFUNCTION("GOOGLETRANSLATE(ES!D14,""es"",""en"")"),"Notification")</f>
        <v>Notification</v>
      </c>
      <c r="E14" s="4" t="str">
        <f>IFERROR(__xludf.DUMMYFUNCTION("GOOGLETRANSLATE(ES!E14,""es"",""en"")"),"The [Family Name] family has been successfully created.")</f>
        <v>The [Family Name] family has been successfully created.</v>
      </c>
      <c r="F14" s="4"/>
      <c r="G14" s="4" t="str">
        <f>IFERROR(__xludf.DUMMYFUNCTION("GOOGLETRANSLATE(ES!G14,""es"",""en"")"),"When an administrator or cashier creates a new item family in the system.")</f>
        <v>When an administrator or cashier creates a new item family in the system.</v>
      </c>
      <c r="H14" s="4" t="str">
        <f>IFERROR(__xludf.DUMMYFUNCTION("GOOGLETRANSLATE(ES!H14,""es"",""en"")"),"Family and Subfamily Management Screen")</f>
        <v>Family and Subfamily Management Screen</v>
      </c>
    </row>
    <row r="15">
      <c r="A15" s="4" t="str">
        <f>IFERROR(__xludf.DUMMYFUNCTION("GOOGLETRANSLATE(ES!A15,""es"",""en"")"),"E014")</f>
        <v>E014</v>
      </c>
      <c r="B15" s="6"/>
      <c r="C15" s="4" t="str">
        <f>IFERROR(__xludf.DUMMYFUNCTION("GOOGLETRANSLATE(ES!C15,""es"",""en"")"),"Error creating family")</f>
        <v>Error creating family</v>
      </c>
      <c r="D15" s="4" t="str">
        <f>IFERROR(__xludf.DUMMYFUNCTION("GOOGLETRANSLATE(ES!D15,""es"",""en"")"),"Alert")</f>
        <v>Alert</v>
      </c>
      <c r="E15" s="4" t="str">
        <f>IFERROR(__xludf.DUMMYFUNCTION("GOOGLETRANSLATE(ES!E15,""es"",""en"")"),"The family could not be created. Please verify the information entered and try again.")</f>
        <v>The family could not be created. Please verify the information entered and try again.</v>
      </c>
      <c r="F15" s="4"/>
      <c r="G15" s="4" t="str">
        <f>IFERROR(__xludf.DUMMYFUNCTION("GOOGLETRANSLATE(ES!G15,""es"",""en"")"),"When an error occurs when trying to create a family, such as leaving required fields blank or entering incorrect data.")</f>
        <v>When an error occurs when trying to create a family, such as leaving required fields blank or entering incorrect data.</v>
      </c>
      <c r="H15" s="4" t="str">
        <f>IFERROR(__xludf.DUMMYFUNCTION("GOOGLETRANSLATE(ES!H15,""es"",""en"")"),"Families and Subfamilies Creation Screen")</f>
        <v>Families and Subfamilies Creation Screen</v>
      </c>
    </row>
    <row r="16">
      <c r="A16" s="4" t="str">
        <f>IFERROR(__xludf.DUMMYFUNCTION("GOOGLETRANSLATE(ES!A16,""es"",""en"")"),"E015")</f>
        <v>E015</v>
      </c>
      <c r="B16" s="6"/>
      <c r="C16" s="4" t="str">
        <f>IFERROR(__xludf.DUMMYFUNCTION("GOOGLETRANSLATE(ES!C16,""es"",""en"")"),"Created Subfamily")</f>
        <v>Created Subfamily</v>
      </c>
      <c r="D16" s="4" t="str">
        <f>IFERROR(__xludf.DUMMYFUNCTION("GOOGLETRANSLATE(ES!D16,""es"",""en"")"),"Notification")</f>
        <v>Notification</v>
      </c>
      <c r="E16" s="4" t="str">
        <f>IFERROR(__xludf.DUMMYFUNCTION("GOOGLETRANSLATE(ES!E16,""es"",""en"")"),"The subfamily [Subfamily Name] has been successfully created.")</f>
        <v>The subfamily [Subfamily Name] has been successfully created.</v>
      </c>
      <c r="F16" s="4"/>
      <c r="G16" s="4" t="str">
        <f>IFERROR(__xludf.DUMMYFUNCTION("GOOGLETRANSLATE(ES!G16,""es"",""en"")"),"When an administrator or cashier creates a new item subfamily in the system.")</f>
        <v>When an administrator or cashier creates a new item subfamily in the system.</v>
      </c>
      <c r="H16" s="4" t="str">
        <f>IFERROR(__xludf.DUMMYFUNCTION("GOOGLETRANSLATE(ES!H16,""es"",""en"")"),"Family and Subfamily Management Screen")</f>
        <v>Family and Subfamily Management Screen</v>
      </c>
    </row>
    <row r="17">
      <c r="A17" s="4" t="str">
        <f>IFERROR(__xludf.DUMMYFUNCTION("GOOGLETRANSLATE(ES!A17,""es"",""en"")"),"E016")</f>
        <v>E016</v>
      </c>
      <c r="B17" s="7"/>
      <c r="C17" s="4" t="str">
        <f>IFERROR(__xludf.DUMMYFUNCTION("GOOGLETRANSLATE(ES!C17,""es"",""en"")"),"Error creating subfamily")</f>
        <v>Error creating subfamily</v>
      </c>
      <c r="D17" s="4" t="str">
        <f>IFERROR(__xludf.DUMMYFUNCTION("GOOGLETRANSLATE(ES!D17,""es"",""en"")"),"Alert")</f>
        <v>Alert</v>
      </c>
      <c r="E17" s="4" t="str">
        <f>IFERROR(__xludf.DUMMYFUNCTION("GOOGLETRANSLATE(ES!E17,""es"",""en"")"),"The subfamily could not be created. Please verify the information entered and try again.")</f>
        <v>The subfamily could not be created. Please verify the information entered and try again.</v>
      </c>
      <c r="F17" s="4"/>
      <c r="G17" s="4" t="str">
        <f>IFERROR(__xludf.DUMMYFUNCTION("GOOGLETRANSLATE(ES!G17,""es"",""en"")"),"When an error occurs when trying to create a subfamily, such as leaving required fields blank or entering incorrect data.")</f>
        <v>When an error occurs when trying to create a subfamily, such as leaving required fields blank or entering incorrect data.</v>
      </c>
      <c r="H17" s="4" t="str">
        <f>IFERROR(__xludf.DUMMYFUNCTION("GOOGLETRANSLATE(ES!H17,""es"",""en"")"),"Families and Subfamilies Creation Screen")</f>
        <v>Families and Subfamilies Creation Screen</v>
      </c>
    </row>
    <row r="18">
      <c r="A18" s="4" t="str">
        <f>IFERROR(__xludf.DUMMYFUNCTION("GOOGLETRANSLATE(ES!A18,""es"",""en"")"),"E017")</f>
        <v>E017</v>
      </c>
      <c r="B18" s="5" t="s">
        <v>3</v>
      </c>
      <c r="C18" s="4" t="str">
        <f>IFERROR(__xludf.DUMMYFUNCTION("GOOGLETRANSLATE(ES!C18,""es"",""en"")"),"Created Box")</f>
        <v>Created Box</v>
      </c>
      <c r="D18" s="4" t="str">
        <f>IFERROR(__xludf.DUMMYFUNCTION("GOOGLETRANSLATE(ES!D18,""es"",""en"")"),"Notification")</f>
        <v>Notification</v>
      </c>
      <c r="E18" s="4" t="str">
        <f>IFERROR(__xludf.DUMMYFUNCTION("GOOGLETRANSLATE(ES!E18,""es"",""en"")"),"The box [Box Name] has been successfully created and assigned to [User Name].")</f>
        <v>The box [Box Name] has been successfully created and assigned to [User Name].</v>
      </c>
      <c r="F18" s="4"/>
      <c r="G18" s="4" t="str">
        <f>IFERROR(__xludf.DUMMYFUNCTION("GOOGLETRANSLATE(ES!G18,""es"",""en"")"),"When an administrator creates a new box in the system.")</f>
        <v>When an administrator creates a new box in the system.</v>
      </c>
      <c r="H18" s="4" t="str">
        <f>IFERROR(__xludf.DUMMYFUNCTION("GOOGLETRANSLATE(ES!H18,""es"",""en"")"),"Cash Management Screen")</f>
        <v>Cash Management Screen</v>
      </c>
    </row>
    <row r="19">
      <c r="A19" s="4" t="str">
        <f>IFERROR(__xludf.DUMMYFUNCTION("GOOGLETRANSLATE(ES!A19,""es"",""en"")"),"E018")</f>
        <v>E018</v>
      </c>
      <c r="B19" s="6"/>
      <c r="C19" s="4" t="str">
        <f>IFERROR(__xludf.DUMMYFUNCTION("GOOGLETRANSLATE(ES!C19,""es"",""en"")"),"Error creating box")</f>
        <v>Error creating box</v>
      </c>
      <c r="D19" s="4" t="str">
        <f>IFERROR(__xludf.DUMMYFUNCTION("GOOGLETRANSLATE(ES!D19,""es"",""en"")"),"Alert")</f>
        <v>Alert</v>
      </c>
      <c r="E19" s="4" t="str">
        <f>IFERROR(__xludf.DUMMYFUNCTION("GOOGLETRANSLATE(ES!E19,""es"",""en"")"),"The box could not be created. Please verify the information entered and try again.")</f>
        <v>The box could not be created. Please verify the information entered and try again.</v>
      </c>
      <c r="F19" s="4"/>
      <c r="G19" s="4" t="str">
        <f>IFERROR(__xludf.DUMMYFUNCTION("GOOGLETRANSLATE(ES!G19,""es"",""en"")"),"When an error occurs when trying to create a checkout, such as leaving required fields blank or connection problems.")</f>
        <v>When an error occurs when trying to create a checkout, such as leaving required fields blank or connection problems.</v>
      </c>
      <c r="H19" s="4" t="str">
        <f>IFERROR(__xludf.DUMMYFUNCTION("GOOGLETRANSLATE(ES!H19,""es"",""en"")"),"Box Creation Screen")</f>
        <v>Box Creation Screen</v>
      </c>
    </row>
    <row r="20">
      <c r="A20" s="4" t="str">
        <f>IFERROR(__xludf.DUMMYFUNCTION("GOOGLETRANSLATE(ES!A20,""es"",""en"")"),"E019")</f>
        <v>E019</v>
      </c>
      <c r="B20" s="6"/>
      <c r="C20" s="4" t="str">
        <f>IFERROR(__xludf.DUMMYFUNCTION("GOOGLETRANSLATE(ES!C20,""es"",""en"")"),"Edited Box")</f>
        <v>Edited Box</v>
      </c>
      <c r="D20" s="4" t="str">
        <f>IFERROR(__xludf.DUMMYFUNCTION("GOOGLETRANSLATE(ES!D20,""es"",""en"")"),"Notification")</f>
        <v>Notification</v>
      </c>
      <c r="E20" s="4" t="str">
        <f>IFERROR(__xludf.DUMMYFUNCTION("GOOGLETRANSLATE(ES!E20,""es"",""en"")"),"The box [Box Name] has been successfully updated.")</f>
        <v>The box [Box Name] has been successfully updated.</v>
      </c>
      <c r="F20" s="4"/>
      <c r="G20" s="4" t="str">
        <f>IFERROR(__xludf.DUMMYFUNCTION("GOOGLETRANSLATE(ES!G20,""es"",""en"")"),"When an administrator edits an existing box in the system.")</f>
        <v>When an administrator edits an existing box in the system.</v>
      </c>
      <c r="H20" s="4" t="str">
        <f>IFERROR(__xludf.DUMMYFUNCTION("GOOGLETRANSLATE(ES!H20,""es"",""en"")"),"Cash Management Screen")</f>
        <v>Cash Management Screen</v>
      </c>
    </row>
    <row r="21">
      <c r="A21" s="4" t="str">
        <f>IFERROR(__xludf.DUMMYFUNCTION("GOOGLETRANSLATE(ES!A21,""es"",""en"")"),"E020")</f>
        <v>E020</v>
      </c>
      <c r="B21" s="6"/>
      <c r="C21" s="4" t="str">
        <f>IFERROR(__xludf.DUMMYFUNCTION("GOOGLETRANSLATE(ES!C21,""es"",""en"")"),"Error when Editing Box")</f>
        <v>Error when Editing Box</v>
      </c>
      <c r="D21" s="4" t="str">
        <f>IFERROR(__xludf.DUMMYFUNCTION("GOOGLETRANSLATE(ES!D21,""es"",""en"")"),"Alert")</f>
        <v>Alert</v>
      </c>
      <c r="E21" s="4" t="str">
        <f>IFERROR(__xludf.DUMMYFUNCTION("GOOGLETRANSLATE(ES!E21,""es"",""en"")"),"Could not update box. Please verify the information entered and try again.")</f>
        <v>Could not update box. Please verify the information entered and try again.</v>
      </c>
      <c r="F21" s="4"/>
      <c r="G21" s="4" t="str">
        <f>IFERROR(__xludf.DUMMYFUNCTION("GOOGLETRANSLATE(ES!G21,""es"",""en"")"),"When an error occurs when trying to edit a box, such as missing data or connection problems.")</f>
        <v>When an error occurs when trying to edit a box, such as missing data or connection problems.</v>
      </c>
      <c r="H21" s="4" t="str">
        <f>IFERROR(__xludf.DUMMYFUNCTION("GOOGLETRANSLATE(ES!H21,""es"",""en"")"),"Box Edit Screen")</f>
        <v>Box Edit Screen</v>
      </c>
    </row>
    <row r="22">
      <c r="A22" s="4" t="str">
        <f>IFERROR(__xludf.DUMMYFUNCTION("GOOGLETRANSLATE(ES!A22,""es"",""en"")"),"E021")</f>
        <v>E021</v>
      </c>
      <c r="B22" s="6"/>
      <c r="C22" s="4" t="str">
        <f>IFERROR(__xludf.DUMMYFUNCTION("GOOGLETRANSLATE(ES!C22,""es"",""en"")"),"Removed Box")</f>
        <v>Removed Box</v>
      </c>
      <c r="D22" s="4" t="str">
        <f>IFERROR(__xludf.DUMMYFUNCTION("GOOGLETRANSLATE(ES!D22,""es"",""en"")"),"Notification")</f>
        <v>Notification</v>
      </c>
      <c r="E22" s="4" t="str">
        <f>IFERROR(__xludf.DUMMYFUNCTION("GOOGLETRANSLATE(ES!E22,""es"",""en"")"),"The box [Box Name] has been removed from the system.")</f>
        <v>The box [Box Name] has been removed from the system.</v>
      </c>
      <c r="F22" s="4"/>
      <c r="G22" s="4" t="str">
        <f>IFERROR(__xludf.DUMMYFUNCTION("GOOGLETRANSLATE(ES!G22,""es"",""en"")"),"When an administrator deletes a box from the system.")</f>
        <v>When an administrator deletes a box from the system.</v>
      </c>
      <c r="H22" s="4" t="str">
        <f>IFERROR(__xludf.DUMMYFUNCTION("GOOGLETRANSLATE(ES!H22,""es"",""en"")"),"Cash Management Screen")</f>
        <v>Cash Management Screen</v>
      </c>
    </row>
    <row r="23">
      <c r="A23" s="4" t="str">
        <f>IFERROR(__xludf.DUMMYFUNCTION("GOOGLETRANSLATE(ES!A23,""es"",""en"")"),"E022")</f>
        <v>E022</v>
      </c>
      <c r="B23" s="6"/>
      <c r="C23" s="4" t="str">
        <f>IFERROR(__xludf.DUMMYFUNCTION("GOOGLETRANSLATE(ES!C23,""es"",""en"")"),"Error when deleting box")</f>
        <v>Error when deleting box</v>
      </c>
      <c r="D23" s="4" t="str">
        <f>IFERROR(__xludf.DUMMYFUNCTION("GOOGLETRANSLATE(ES!D23,""es"",""en"")"),"Alert")</f>
        <v>Alert</v>
      </c>
      <c r="E23" s="4" t="str">
        <f>IFERROR(__xludf.DUMMYFUNCTION("GOOGLETRANSLATE(ES!E23,""es"",""en"")"),"Could not delete box. Check if the box is associated with other records and try again.")</f>
        <v>Could not delete box. Check if the box is associated with other records and try again.</v>
      </c>
      <c r="F23" s="4"/>
      <c r="G23" s="4" t="str">
        <f>IFERROR(__xludf.DUMMYFUNCTION("GOOGLETRANSLATE(ES!G23,""es"",""en"")"),"When an error occurs when trying to delete a box, such as data integrity rules preventing the deletion.")</f>
        <v>When an error occurs when trying to delete a box, such as data integrity rules preventing the deletion.</v>
      </c>
      <c r="H23" s="4" t="str">
        <f>IFERROR(__xludf.DUMMYFUNCTION("GOOGLETRANSLATE(ES!H23,""es"",""en"")"),"Cash Management Screen")</f>
        <v>Cash Management Screen</v>
      </c>
    </row>
    <row r="24">
      <c r="A24" s="4" t="str">
        <f>IFERROR(__xludf.DUMMYFUNCTION("GOOGLETRANSLATE(ES!A24,""es"",""en"")"),"E023")</f>
        <v>E023</v>
      </c>
      <c r="B24" s="6"/>
      <c r="C24" s="4" t="str">
        <f>IFERROR(__xludf.DUMMYFUNCTION("GOOGLETRANSLATE(ES!C24,""es"",""en"")"),"Open Box")</f>
        <v>Open Box</v>
      </c>
      <c r="D24" s="4" t="str">
        <f>IFERROR(__xludf.DUMMYFUNCTION("GOOGLETRANSLATE(ES!D24,""es"",""en"")"),"Notification")</f>
        <v>Notification</v>
      </c>
      <c r="E24" s="4" t="str">
        <f>IFERROR(__xludf.DUMMYFUNCTION("GOOGLETRANSLATE(ES!E24,""es"",""en"")"),"The box [Box Name] has been successfully opened with an initial amount of [Opening Amount].")</f>
        <v>The box [Box Name] has been successfully opened with an initial amount of [Opening Amount].</v>
      </c>
      <c r="F24" s="4"/>
      <c r="G24" s="4" t="str">
        <f>IFERROR(__xludf.DUMMYFUNCTION("GOOGLETRANSLATE(ES!G24,""es"",""en"")"),"When an administrator or cashier opens a cash register and records the initial amount.")</f>
        <v>When an administrator or cashier opens a cash register and records the initial amount.</v>
      </c>
      <c r="H24" s="4" t="str">
        <f>IFERROR(__xludf.DUMMYFUNCTION("GOOGLETRANSLATE(ES!H24,""es"",""en"")"),"Cash Management Screen")</f>
        <v>Cash Management Screen</v>
      </c>
    </row>
    <row r="25">
      <c r="A25" s="4" t="str">
        <f>IFERROR(__xludf.DUMMYFUNCTION("GOOGLETRANSLATE(ES!A25,""es"",""en"")"),"E024")</f>
        <v>E024</v>
      </c>
      <c r="B25" s="6"/>
      <c r="C25" s="4" t="str">
        <f>IFERROR(__xludf.DUMMYFUNCTION("GOOGLETRANSLATE(ES!C25,""es"",""en"")"),"Error opening box")</f>
        <v>Error opening box</v>
      </c>
      <c r="D25" s="4" t="str">
        <f>IFERROR(__xludf.DUMMYFUNCTION("GOOGLETRANSLATE(ES!D25,""es"",""en"")"),"Alert")</f>
        <v>Alert</v>
      </c>
      <c r="E25" s="4" t="str">
        <f>IFERROR(__xludf.DUMMYFUNCTION("GOOGLETRANSLATE(ES!E25,""es"",""en"")"),"The box could not be opened. Please verify the information entered and try again.")</f>
        <v>The box could not be opened. Please verify the information entered and try again.</v>
      </c>
      <c r="F25" s="4"/>
      <c r="G25" s="4" t="str">
        <f>IFERROR(__xludf.DUMMYFUNCTION("GOOGLETRANSLATE(ES!G25,""es"",""en"")"),"When an error occurs when trying to open a cash register, such as not entering the initial amount or connection problems.")</f>
        <v>When an error occurs when trying to open a cash register, such as not entering the initial amount or connection problems.</v>
      </c>
      <c r="H25" s="4" t="str">
        <f>IFERROR(__xludf.DUMMYFUNCTION("GOOGLETRANSLATE(ES!H25,""es"",""en"")"),"Cash Opening Screen")</f>
        <v>Cash Opening Screen</v>
      </c>
    </row>
    <row r="26">
      <c r="A26" s="4" t="str">
        <f>IFERROR(__xludf.DUMMYFUNCTION("GOOGLETRANSLATE(ES!A26,""es"",""en"")"),"E025")</f>
        <v>E025</v>
      </c>
      <c r="B26" s="6"/>
      <c r="C26" s="4" t="str">
        <f>IFERROR(__xludf.DUMMYFUNCTION("GOOGLETRANSLATE(ES!C26,""es"",""en"")"),"Closed Box")</f>
        <v>Closed Box</v>
      </c>
      <c r="D26" s="4" t="str">
        <f>IFERROR(__xludf.DUMMYFUNCTION("GOOGLETRANSLATE(ES!D26,""es"",""en"")"),"Notification")</f>
        <v>Notification</v>
      </c>
      <c r="E26" s="4" t="str">
        <f>IFERROR(__xludf.DUMMYFUNCTION("GOOGLETRANSLATE(ES!E26,""es"",""en"")"),"The box [Box Name] has been successfully closed with a final amount of [Closing Amount].")</f>
        <v>The box [Box Name] has been successfully closed with a final amount of [Closing Amount].</v>
      </c>
      <c r="F26" s="4"/>
      <c r="G26" s="4" t="str">
        <f>IFERROR(__xludf.DUMMYFUNCTION("GOOGLETRANSLATE(ES!G26,""es"",""en"")"),"When an administrator or cashier closes a till and records the final amount.")</f>
        <v>When an administrator or cashier closes a till and records the final amount.</v>
      </c>
      <c r="H26" s="4" t="str">
        <f>IFERROR(__xludf.DUMMYFUNCTION("GOOGLETRANSLATE(ES!H26,""es"",""en"")"),"Cash Management Screen")</f>
        <v>Cash Management Screen</v>
      </c>
    </row>
    <row r="27">
      <c r="A27" s="4" t="str">
        <f>IFERROR(__xludf.DUMMYFUNCTION("GOOGLETRANSLATE(ES!A27,""es"",""en"")"),"E026")</f>
        <v>E026</v>
      </c>
      <c r="B27" s="6"/>
      <c r="C27" s="4" t="str">
        <f>IFERROR(__xludf.DUMMYFUNCTION("GOOGLETRANSLATE(ES!C27,""es"",""en"")"),"Error closing box")</f>
        <v>Error closing box</v>
      </c>
      <c r="D27" s="4" t="str">
        <f>IFERROR(__xludf.DUMMYFUNCTION("GOOGLETRANSLATE(ES!D27,""es"",""en"")"),"Alert")</f>
        <v>Alert</v>
      </c>
      <c r="E27" s="4" t="str">
        <f>IFERROR(__xludf.DUMMYFUNCTION("GOOGLETRANSLATE(ES!E27,""es"",""en"")"),"Could not close the box. Please verify the information entered and try again.")</f>
        <v>Could not close the box. Please verify the information entered and try again.</v>
      </c>
      <c r="F27" s="4"/>
      <c r="G27" s="4" t="str">
        <f>IFERROR(__xludf.DUMMYFUNCTION("GOOGLETRANSLATE(ES!G27,""es"",""en"")"),"When an error occurs when trying to close a cash register, such as not entering the final amount or connection problems.")</f>
        <v>When an error occurs when trying to close a cash register, such as not entering the final amount or connection problems.</v>
      </c>
      <c r="H27" s="4" t="str">
        <f>IFERROR(__xludf.DUMMYFUNCTION("GOOGLETRANSLATE(ES!H27,""es"",""en"")"),"Cash Closing Screen")</f>
        <v>Cash Closing Screen</v>
      </c>
    </row>
    <row r="28">
      <c r="A28" s="4" t="str">
        <f>IFERROR(__xludf.DUMMYFUNCTION("GOOGLETRANSLATE(ES!A28,""es"",""en"")"),"E027")</f>
        <v>E027</v>
      </c>
      <c r="B28" s="6"/>
      <c r="C28" s="4" t="str">
        <f>IFERROR(__xludf.DUMMYFUNCTION("GOOGLETRANSLATE(ES!C28,""es"",""en"")"),"Successful Cash Inquiry")</f>
        <v>Successful Cash Inquiry</v>
      </c>
      <c r="D28" s="4" t="str">
        <f>IFERROR(__xludf.DUMMYFUNCTION("GOOGLETRANSLATE(ES!D28,""es"",""en"")"),"Notification")</f>
        <v>Notification</v>
      </c>
      <c r="E28" s="4" t="str">
        <f>IFERROR(__xludf.DUMMYFUNCTION("GOOGLETRANSLATE(ES!E28,""es"",""en"")"),"The query for the box [Box Name] has been completed successfully.")</f>
        <v>The query for the box [Box Name] has been completed successfully.</v>
      </c>
      <c r="F28" s="4"/>
      <c r="G28" s="4" t="str">
        <f>IFERROR(__xludf.DUMMYFUNCTION("GOOGLETRANSLATE(ES!G28,""es"",""en"")"),"When an administrator or cashier consults the information of an existing cash register.")</f>
        <v>When an administrator or cashier consults the information of an existing cash register.</v>
      </c>
      <c r="H28" s="4" t="str">
        <f>IFERROR(__xludf.DUMMYFUNCTION("GOOGLETRANSLATE(ES!H28,""es"",""en"")"),"Cash Management Screen")</f>
        <v>Cash Management Screen</v>
      </c>
    </row>
    <row r="29">
      <c r="A29" s="4" t="str">
        <f>IFERROR(__xludf.DUMMYFUNCTION("GOOGLETRANSLATE(ES!A29,""es"",""en"")"),"E028")</f>
        <v>E028</v>
      </c>
      <c r="B29" s="7"/>
      <c r="C29" s="4" t="str">
        <f>IFERROR(__xludf.DUMMYFUNCTION("GOOGLETRANSLATE(ES!C29,""es"",""en"")"),"Error in Cash Inquiry")</f>
        <v>Error in Cash Inquiry</v>
      </c>
      <c r="D29" s="4" t="str">
        <f>IFERROR(__xludf.DUMMYFUNCTION("GOOGLETRANSLATE(ES!D29,""es"",""en"")"),"Alert")</f>
        <v>Alert</v>
      </c>
      <c r="E29" s="4" t="str">
        <f>IFERROR(__xludf.DUMMYFUNCTION("GOOGLETRANSLATE(ES!E29,""es"",""en"")"),"The checkout query could not be performed. Try again later.")</f>
        <v>The checkout query could not be performed. Try again later.</v>
      </c>
      <c r="F29" s="4"/>
      <c r="G29" s="4" t="str">
        <f>IFERROR(__xludf.DUMMYFUNCTION("GOOGLETRANSLATE(ES!G29,""es"",""en"")"),"When an error occurs when trying to view information for a box, such as connection problems.")</f>
        <v>When an error occurs when trying to view information for a box, such as connection problems.</v>
      </c>
      <c r="H29" s="4" t="str">
        <f>IFERROR(__xludf.DUMMYFUNCTION("GOOGLETRANSLATE(ES!H29,""es"",""en"")"),"Cash Management Screen")</f>
        <v>Cash Management Screen</v>
      </c>
    </row>
    <row r="30">
      <c r="A30" s="4" t="str">
        <f>IFERROR(__xludf.DUMMYFUNCTION("GOOGLETRANSLATE(ES!A30,""es"",""en"")"),"E029")</f>
        <v>E029</v>
      </c>
      <c r="B30" s="5" t="s">
        <v>4</v>
      </c>
      <c r="C30" s="4" t="str">
        <f>IFERROR(__xludf.DUMMYFUNCTION("GOOGLETRANSLATE(ES!C30,""es"",""en"")"),"Item Added to Order")</f>
        <v>Item Added to Order</v>
      </c>
      <c r="D30" s="4" t="str">
        <f>IFERROR(__xludf.DUMMYFUNCTION("GOOGLETRANSLATE(ES!D30,""es"",""en"")"),"Notification")</f>
        <v>Notification</v>
      </c>
      <c r="E30" s="4" t="str">
        <f>IFERROR(__xludf.DUMMYFUNCTION("GOOGLETRANSLATE(ES!E30,""es"",""en"")"),"Item [Item Name] has been successfully added to the order.")</f>
        <v>Item [Item Name] has been successfully added to the order.</v>
      </c>
      <c r="F30" s="4"/>
      <c r="G30" s="4" t="str">
        <f>IFERROR(__xludf.DUMMYFUNCTION("GOOGLETRANSLATE(ES!G30,""es"",""en"")"),"When a user adds an item to the order from the Counter section.")</f>
        <v>When a user adds an item to the order from the Counter section.</v>
      </c>
      <c r="H30" s="4" t="str">
        <f>IFERROR(__xludf.DUMMYFUNCTION("GOOGLETRANSLATE(ES!H30,""es"",""en"")"),"Order Summary Screen")</f>
        <v>Order Summary Screen</v>
      </c>
    </row>
    <row r="31">
      <c r="A31" s="4" t="str">
        <f>IFERROR(__xludf.DUMMYFUNCTION("GOOGLETRANSLATE(ES!A31,""es"",""en"")"),"E030")</f>
        <v>E030</v>
      </c>
      <c r="B31" s="6"/>
      <c r="C31" s="4" t="str">
        <f>IFERROR(__xludf.DUMMYFUNCTION("GOOGLETRANSLATE(ES!C31,""es"",""en"")"),"Error Adding Item")</f>
        <v>Error Adding Item</v>
      </c>
      <c r="D31" s="4" t="str">
        <f>IFERROR(__xludf.DUMMYFUNCTION("GOOGLETRANSLATE(ES!D31,""es"",""en"")"),"Alert")</f>
        <v>Alert</v>
      </c>
      <c r="E31" s="4" t="str">
        <f>IFERROR(__xludf.DUMMYFUNCTION("GOOGLETRANSLATE(ES!E31,""es"",""en"")"),"Could not add item [Item Name] to the order. Check the quantity or availability.")</f>
        <v>Could not add item [Item Name] to the order. Check the quantity or availability.</v>
      </c>
      <c r="F31" s="4"/>
      <c r="G31" s="4" t="str">
        <f>IFERROR(__xludf.DUMMYFUNCTION("GOOGLETRANSLATE(ES!G31,""es"",""en"")"),"When a user tries to add an item to the order and an error occurs, such as out of stock or system error.")</f>
        <v>When a user tries to add an item to the order and an error occurs, such as out of stock or system error.</v>
      </c>
      <c r="H31" s="4" t="str">
        <f>IFERROR(__xludf.DUMMYFUNCTION("GOOGLETRANSLATE(ES!H31,""es"",""en"")"),"Item Selection Screen")</f>
        <v>Item Selection Screen</v>
      </c>
    </row>
    <row r="32">
      <c r="A32" s="4" t="str">
        <f>IFERROR(__xludf.DUMMYFUNCTION("GOOGLETRANSLATE(ES!A32,""es"",""en"")"),"E031")</f>
        <v>E031</v>
      </c>
      <c r="B32" s="6"/>
      <c r="C32" s="4" t="str">
        <f>IFERROR(__xludf.DUMMYFUNCTION("GOOGLETRANSLATE(ES!C32,""es"",""en"")"),"Completed Order")</f>
        <v>Completed Order</v>
      </c>
      <c r="D32" s="4" t="str">
        <f>IFERROR(__xludf.DUMMYFUNCTION("GOOGLETRANSLATE(ES!D32,""es"",""en"")"),"Notification")</f>
        <v>Notification</v>
      </c>
      <c r="E32" s="4" t="str">
        <f>IFERROR(__xludf.DUMMYFUNCTION("GOOGLETRANSLATE(ES!E32,""es"",""en"")"),"Order [Order Number] has been completed successfully. You can proceed with the payment.")</f>
        <v>Order [Order Number] has been completed successfully. You can proceed with the payment.</v>
      </c>
      <c r="F32" s="4"/>
      <c r="G32" s="4" t="str">
        <f>IFERROR(__xludf.DUMMYFUNCTION("GOOGLETRANSLATE(ES!G32,""es"",""en"")"),"When the user finishes registering an order at the counter.")</f>
        <v>When the user finishes registering an order at the counter.</v>
      </c>
      <c r="H32" s="4" t="str">
        <f>IFERROR(__xludf.DUMMYFUNCTION("GOOGLETRANSLATE(ES!H32,""es"",""en"")"),"Payment Screen")</f>
        <v>Payment Screen</v>
      </c>
    </row>
    <row r="33">
      <c r="A33" s="4" t="str">
        <f>IFERROR(__xludf.DUMMYFUNCTION("GOOGLETRANSLATE(ES!A33,""es"",""en"")"),"E032")</f>
        <v>E032</v>
      </c>
      <c r="B33" s="6"/>
      <c r="C33" s="4" t="str">
        <f>IFERROR(__xludf.DUMMYFUNCTION("GOOGLETRANSLATE(ES!C33,""es"",""en"")"),"Payment Error")</f>
        <v>Payment Error</v>
      </c>
      <c r="D33" s="4" t="str">
        <f>IFERROR(__xludf.DUMMYFUNCTION("GOOGLETRANSLATE(ES!D33,""es"",""en"")"),"Alert")</f>
        <v>Alert</v>
      </c>
      <c r="E33" s="4" t="str">
        <f>IFERROR(__xludf.DUMMYFUNCTION("GOOGLETRANSLATE(ES!E33,""es"",""en"")"),"An error occurred while processing the payment. Please check the details and try again.")</f>
        <v>An error occurred while processing the payment. Please check the details and try again.</v>
      </c>
      <c r="F33" s="4"/>
      <c r="G33" s="4" t="str">
        <f>IFERROR(__xludf.DUMMYFUNCTION("GOOGLETRANSLATE(ES!G33,""es"",""en"")"),"When a payment fails due to an error in payment information or communication with the POS system.")</f>
        <v>When a payment fails due to an error in payment information or communication with the POS system.</v>
      </c>
      <c r="H33" s="4" t="str">
        <f>IFERROR(__xludf.DUMMYFUNCTION("GOOGLETRANSLATE(ES!H33,""es"",""en"")"),"Payment Screen")</f>
        <v>Payment Screen</v>
      </c>
    </row>
    <row r="34">
      <c r="A34" s="4" t="str">
        <f>IFERROR(__xludf.DUMMYFUNCTION("GOOGLETRANSLATE(ES!A34,""es"",""en"")"),"E033")</f>
        <v>E033</v>
      </c>
      <c r="B34" s="6"/>
      <c r="C34" s="4" t="str">
        <f>IFERROR(__xludf.DUMMYFUNCTION("GOOGLETRANSLATE(ES!C34,""es"",""en"")"),"Added Tip")</f>
        <v>Added Tip</v>
      </c>
      <c r="D34" s="4" t="str">
        <f>IFERROR(__xludf.DUMMYFUNCTION("GOOGLETRANSLATE(ES!D34,""es"",""en"")"),"Notification")</f>
        <v>Notification</v>
      </c>
      <c r="E34" s="4" t="str">
        <f>IFERROR(__xludf.DUMMYFUNCTION("GOOGLETRANSLATE(ES!E34,""es"",""en"")"),"The tip has been successfully added to the order.")</f>
        <v>The tip has been successfully added to the order.</v>
      </c>
      <c r="F34" s="4"/>
      <c r="G34" s="4" t="str">
        <f>IFERROR(__xludf.DUMMYFUNCTION("GOOGLETRANSLATE(ES!G34,""es"",""en"")"),"When the user adds a tip to the order in the payment section.")</f>
        <v>When the user adds a tip to the order in the payment section.</v>
      </c>
      <c r="H34" s="4" t="str">
        <f>IFERROR(__xludf.DUMMYFUNCTION("GOOGLETRANSLATE(ES!H34,""es"",""en"")"),"Payment Summary Screen")</f>
        <v>Payment Summary Screen</v>
      </c>
    </row>
    <row r="35">
      <c r="A35" s="4" t="str">
        <f>IFERROR(__xludf.DUMMYFUNCTION("GOOGLETRANSLATE(ES!A35,""es"",""en"")"),"E034")</f>
        <v>E034</v>
      </c>
      <c r="B35" s="6"/>
      <c r="C35" s="4" t="str">
        <f>IFERROR(__xludf.DUMMYFUNCTION("GOOGLETRANSLATE(ES!C35,""es"",""en"")"),"Checkout Confirmation without Saving Order")</f>
        <v>Checkout Confirmation without Saving Order</v>
      </c>
      <c r="D35" s="4" t="str">
        <f>IFERROR(__xludf.DUMMYFUNCTION("GOOGLETRANSLATE(ES!D35,""es"",""en"")"),"Notification")</f>
        <v>Notification</v>
      </c>
      <c r="E35" s="4" t="str">
        <f>IFERROR(__xludf.DUMMYFUNCTION("GOOGLETRANSLATE(ES!E35,""es"",""en"")"),"You are about to leave without saving the order. Do you want to continue and lose the changes?")</f>
        <v>You are about to leave without saving the order. Do you want to continue and lose the changes?</v>
      </c>
      <c r="F35" s="4" t="str">
        <f>IFERROR(__xludf.DUMMYFUNCTION("GOOGLETRANSLATE(ES!F35,""es"",""en"")"),"Continue/Cancel")</f>
        <v>Continue/Cancel</v>
      </c>
      <c r="G35" s="4" t="str">
        <f>IFERROR(__xludf.DUMMYFUNCTION("GOOGLETRANSLATE(ES!G35,""es"",""en"")"),"When a user tries to exit the order screen without having completed or saved the order.")</f>
        <v>When a user tries to exit the order screen without having completed or saved the order.</v>
      </c>
      <c r="H35" s="4" t="str">
        <f>IFERROR(__xludf.DUMMYFUNCTION("GOOGLETRANSLATE(ES!H35,""es"",""en"")"),"Current screen")</f>
        <v>Current screen</v>
      </c>
    </row>
    <row r="36">
      <c r="A36" s="4" t="str">
        <f>IFERROR(__xludf.DUMMYFUNCTION("GOOGLETRANSLATE(ES!A36,""es"",""en"")"),"E035")</f>
        <v>E035</v>
      </c>
      <c r="B36" s="6"/>
      <c r="C36" s="4" t="str">
        <f>IFERROR(__xludf.DUMMYFUNCTION("GOOGLETRANSLATE(ES!C36,""es"",""en"")"),"Generated Payment Receipt")</f>
        <v>Generated Payment Receipt</v>
      </c>
      <c r="D36" s="4" t="str">
        <f>IFERROR(__xludf.DUMMYFUNCTION("GOOGLETRANSLATE(ES!D36,""es"",""en"")"),"Notification")</f>
        <v>Notification</v>
      </c>
      <c r="E36" s="4" t="str">
        <f>IFERROR(__xludf.DUMMYFUNCTION("GOOGLETRANSLATE(ES!E36,""es"",""en"")"),"The payment receipt for order [Order Number] has been generated and printed correctly.")</f>
        <v>The payment receipt for order [Order Number] has been generated and printed correctly.</v>
      </c>
      <c r="F36" s="4"/>
      <c r="G36" s="4" t="str">
        <f>IFERROR(__xludf.DUMMYFUNCTION("GOOGLETRANSLATE(ES!G36,""es"",""en"")"),"When the system generates and prints the payment receipt after completing a transaction.")</f>
        <v>When the system generates and prints the payment receipt after completing a transaction.</v>
      </c>
      <c r="H36" s="4" t="str">
        <f>IFERROR(__xludf.DUMMYFUNCTION("GOOGLETRANSLATE(ES!H36,""es"",""en"")"),"Order Summary Screen")</f>
        <v>Order Summary Screen</v>
      </c>
    </row>
    <row r="37">
      <c r="A37" s="4" t="str">
        <f>IFERROR(__xludf.DUMMYFUNCTION("GOOGLETRANSLATE(ES!A37,""es"",""en"")"),"E036")</f>
        <v>E036</v>
      </c>
      <c r="B37" s="7"/>
      <c r="C37" s="4" t="str">
        <f>IFERROR(__xludf.DUMMYFUNCTION("GOOGLETRANSLATE(ES!C37,""es"",""en"")"),"Error Generating Receipt")</f>
        <v>Error Generating Receipt</v>
      </c>
      <c r="D37" s="4" t="str">
        <f>IFERROR(__xludf.DUMMYFUNCTION("GOOGLETRANSLATE(ES!D37,""es"",""en"")"),"Alert")</f>
        <v>Alert</v>
      </c>
      <c r="E37" s="4" t="str">
        <f>IFERROR(__xludf.DUMMYFUNCTION("GOOGLETRANSLATE(ES!E37,""es"",""en"")"),"The payment receipt could not be generated. Please try again.")</f>
        <v>The payment receipt could not be generated. Please try again.</v>
      </c>
      <c r="F37" s="4"/>
      <c r="G37" s="4" t="str">
        <f>IFERROR(__xludf.DUMMYFUNCTION("GOOGLETRANSLATE(ES!G37,""es"",""en"")"),"When an error occurs when trying to generate or print the payment receipt.")</f>
        <v>When an error occurs when trying to generate or print the payment receipt.</v>
      </c>
      <c r="H37" s="4" t="str">
        <f>IFERROR(__xludf.DUMMYFUNCTION("GOOGLETRANSLATE(ES!H37,""es"",""en"")"),"Payment Screen")</f>
        <v>Payment Screen</v>
      </c>
    </row>
    <row r="38">
      <c r="A38" s="4" t="str">
        <f>IFERROR(__xludf.DUMMYFUNCTION("GOOGLETRANSLATE(ES!A38,""es"",""en"")"),"E037")</f>
        <v>E037</v>
      </c>
      <c r="B38" s="5" t="s">
        <v>5</v>
      </c>
      <c r="C38" s="4" t="str">
        <f>IFERROR(__xludf.DUMMYFUNCTION("GOOGLETRANSLATE(ES!C38,""es"",""en"")"),"Successful Client Consultation")</f>
        <v>Successful Client Consultation</v>
      </c>
      <c r="D38" s="4" t="str">
        <f>IFERROR(__xludf.DUMMYFUNCTION("GOOGLETRANSLATE(ES!D38,""es"",""en"")"),"Notification")</f>
        <v>Notification</v>
      </c>
      <c r="E38" s="4" t="str">
        <f>IFERROR(__xludf.DUMMYFUNCTION("GOOGLETRANSLATE(ES!E38,""es"",""en"")"),"Customer information [Customer Name] has been successfully queried.")</f>
        <v>Customer information [Customer Name] has been successfully queried.</v>
      </c>
      <c r="F38" s="4"/>
      <c r="G38" s="4" t="str">
        <f>IFERROR(__xludf.DUMMYFUNCTION("GOOGLETRANSLATE(ES!G38,""es"",""en"")"),"When an administrator or cashier consults a customer's information in the system.")</f>
        <v>When an administrator or cashier consults a customer's information in the system.</v>
      </c>
      <c r="H38" s="4" t="str">
        <f>IFERROR(__xludf.DUMMYFUNCTION("GOOGLETRANSLATE(ES!H38,""es"",""en"")"),"Customer Detail Screen")</f>
        <v>Customer Detail Screen</v>
      </c>
    </row>
    <row r="39">
      <c r="A39" s="4" t="str">
        <f>IFERROR(__xludf.DUMMYFUNCTION("GOOGLETRANSLATE(ES!A39,""es"",""en"")"),"E038")</f>
        <v>E038</v>
      </c>
      <c r="B39" s="6"/>
      <c r="C39" s="4" t="str">
        <f>IFERROR(__xludf.DUMMYFUNCTION("GOOGLETRANSLATE(ES!C39,""es"",""en"")"),"Error in Customer Query")</f>
        <v>Error in Customer Query</v>
      </c>
      <c r="D39" s="4" t="str">
        <f>IFERROR(__xludf.DUMMYFUNCTION("GOOGLETRANSLATE(ES!D39,""es"",""en"")"),"Alert")</f>
        <v>Alert</v>
      </c>
      <c r="E39" s="4" t="str">
        <f>IFERROR(__xludf.DUMMYFUNCTION("GOOGLETRANSLATE(ES!E39,""es"",""en"")"),"Customer information could not be queried. Try again later.")</f>
        <v>Customer information could not be queried. Try again later.</v>
      </c>
      <c r="F39" s="4"/>
      <c r="G39" s="4" t="str">
        <f>IFERROR(__xludf.DUMMYFUNCTION("GOOGLETRANSLATE(ES!G39,""es"",""en"")"),"When an error occurs when trying to view a customer's information, such as connection problems or incorrect data.")</f>
        <v>When an error occurs when trying to view a customer's information, such as connection problems or incorrect data.</v>
      </c>
      <c r="H39" s="4" t="str">
        <f>IFERROR(__xludf.DUMMYFUNCTION("GOOGLETRANSLATE(ES!H39,""es"",""en"")"),"Customer Management Screen")</f>
        <v>Customer Management Screen</v>
      </c>
    </row>
    <row r="40">
      <c r="A40" s="4" t="str">
        <f>IFERROR(__xludf.DUMMYFUNCTION("GOOGLETRANSLATE(ES!A40,""es"",""en"")"),"E039")</f>
        <v>E039</v>
      </c>
      <c r="B40" s="6"/>
      <c r="C40" s="4" t="str">
        <f>IFERROR(__xludf.DUMMYFUNCTION("GOOGLETRANSLATE(ES!C40,""es"",""en"")"),"Credit Note Created")</f>
        <v>Credit Note Created</v>
      </c>
      <c r="D40" s="4" t="str">
        <f>IFERROR(__xludf.DUMMYFUNCTION("GOOGLETRANSLATE(ES!D40,""es"",""en"")"),"Notification")</f>
        <v>Notification</v>
      </c>
      <c r="E40" s="4" t="str">
        <f>IFERROR(__xludf.DUMMYFUNCTION("GOOGLETRANSLATE(ES!E40,""es"",""en"")"),"The credit memo for order [Order Number] from customer [Customer Name] has been created successfully.")</f>
        <v>The credit memo for order [Order Number] from customer [Customer Name] has been created successfully.</v>
      </c>
      <c r="F40" s="4"/>
      <c r="G40" s="4" t="str">
        <f>IFERROR(__xludf.DUMMYFUNCTION("GOOGLETRANSLATE(ES!G40,""es"",""en"")"),"When an administrator or cashier creates a new credit note for a customer.")</f>
        <v>When an administrator or cashier creates a new credit note for a customer.</v>
      </c>
      <c r="H40" s="4" t="str">
        <f>IFERROR(__xludf.DUMMYFUNCTION("GOOGLETRANSLATE(ES!H40,""es"",""en"")"),"Credit Note Management Screen")</f>
        <v>Credit Note Management Screen</v>
      </c>
    </row>
    <row r="41">
      <c r="A41" s="4" t="str">
        <f>IFERROR(__xludf.DUMMYFUNCTION("GOOGLETRANSLATE(ES!A41,""es"",""en"")"),"E040")</f>
        <v>E040</v>
      </c>
      <c r="B41" s="6"/>
      <c r="C41" s="4" t="str">
        <f>IFERROR(__xludf.DUMMYFUNCTION("GOOGLETRANSLATE(ES!C41,""es"",""en"")"),"Error when Creating Credit Note")</f>
        <v>Error when Creating Credit Note</v>
      </c>
      <c r="D41" s="4" t="str">
        <f>IFERROR(__xludf.DUMMYFUNCTION("GOOGLETRANSLATE(ES!D41,""es"",""en"")"),"Alert")</f>
        <v>Alert</v>
      </c>
      <c r="E41" s="4" t="str">
        <f>IFERROR(__xludf.DUMMYFUNCTION("GOOGLETRANSLATE(ES!E41,""es"",""en"")"),"The credit memo could not be created. Please verify the information entered and try again.")</f>
        <v>The credit memo could not be created. Please verify the information entered and try again.</v>
      </c>
      <c r="F41" s="4"/>
      <c r="G41" s="4" t="str">
        <f>IFERROR(__xludf.DUMMYFUNCTION("GOOGLETRANSLATE(ES!G41,""es"",""en"")"),"When an error occurs when trying to create a credit memo, such as missing data or connection problems.")</f>
        <v>When an error occurs when trying to create a credit memo, such as missing data or connection problems.</v>
      </c>
      <c r="H41" s="4" t="str">
        <f>IFERROR(__xludf.DUMMYFUNCTION("GOOGLETRANSLATE(ES!H41,""es"",""en"")"),"Credit Note Creation Screen")</f>
        <v>Credit Note Creation Screen</v>
      </c>
    </row>
    <row r="42">
      <c r="A42" s="4" t="str">
        <f>IFERROR(__xludf.DUMMYFUNCTION("GOOGLETRANSLATE(ES!A42,""es"",""en"")"),"E041")</f>
        <v>E041</v>
      </c>
      <c r="B42" s="6"/>
      <c r="C42" s="4" t="str">
        <f>IFERROR(__xludf.DUMMYFUNCTION("GOOGLETRANSLATE(ES!C42,""es"",""en"")"),"Applied Credit Note")</f>
        <v>Applied Credit Note</v>
      </c>
      <c r="D42" s="4" t="str">
        <f>IFERROR(__xludf.DUMMYFUNCTION("GOOGLETRANSLATE(ES!D42,""es"",""en"")"),"Notification")</f>
        <v>Notification</v>
      </c>
      <c r="E42" s="4" t="str">
        <f>IFERROR(__xludf.DUMMYFUNCTION("GOOGLETRANSLATE(ES!E42,""es"",""en"")"),"The credit note has been successfully applied to the order [Order Number].")</f>
        <v>The credit note has been successfully applied to the order [Order Number].</v>
      </c>
      <c r="F42" s="4"/>
      <c r="G42" s="4" t="str">
        <f>IFERROR(__xludf.DUMMYFUNCTION("GOOGLETRANSLATE(ES!G42,""es"",""en"")"),"When a manager or cashier applies a credit note to a new order for a customer.")</f>
        <v>When a manager or cashier applies a credit note to a new order for a customer.</v>
      </c>
      <c r="H42" s="4" t="str">
        <f>IFERROR(__xludf.DUMMYFUNCTION("GOOGLETRANSLATE(ES!H42,""es"",""en"")"),"Order Summary Screen")</f>
        <v>Order Summary Screen</v>
      </c>
    </row>
    <row r="43">
      <c r="A43" s="4" t="str">
        <f>IFERROR(__xludf.DUMMYFUNCTION("GOOGLETRANSLATE(ES!A43,""es"",""en"")"),"E042")</f>
        <v>E042</v>
      </c>
      <c r="B43" s="6"/>
      <c r="C43" s="4" t="str">
        <f>IFERROR(__xludf.DUMMYFUNCTION("GOOGLETRANSLATE(ES!C43,""es"",""en"")"),"Error when Applying Credit Note")</f>
        <v>Error when Applying Credit Note</v>
      </c>
      <c r="D43" s="4" t="str">
        <f>IFERROR(__xludf.DUMMYFUNCTION("GOOGLETRANSLATE(ES!D43,""es"",""en"")"),"Alert")</f>
        <v>Alert</v>
      </c>
      <c r="E43" s="4" t="str">
        <f>IFERROR(__xludf.DUMMYFUNCTION("GOOGLETRANSLATE(ES!E43,""es"",""en"")"),"The credit note could not be applied to the order. Please verify the information and try again.")</f>
        <v>The credit note could not be applied to the order. Please verify the information and try again.</v>
      </c>
      <c r="F43" s="4"/>
      <c r="G43" s="4" t="str">
        <f>IFERROR(__xludf.DUMMYFUNCTION("GOOGLETRANSLATE(ES!G43,""es"",""en"")"),"When an error occurs when trying to apply a credit note, such as connection problems or incorrect data.")</f>
        <v>When an error occurs when trying to apply a credit note, such as connection problems or incorrect data.</v>
      </c>
      <c r="H43" s="4" t="str">
        <f>IFERROR(__xludf.DUMMYFUNCTION("GOOGLETRANSLATE(ES!H43,""es"",""en"")"),"Credit Note Management Screen")</f>
        <v>Credit Note Management Screen</v>
      </c>
    </row>
    <row r="44">
      <c r="A44" s="4" t="str">
        <f>IFERROR(__xludf.DUMMYFUNCTION("GOOGLETRANSLATE(ES!A44,""es"",""en"")"),"E043")</f>
        <v>E043</v>
      </c>
      <c r="B44" s="6"/>
      <c r="C44" s="4" t="str">
        <f>IFERROR(__xludf.DUMMYFUNCTION("GOOGLETRANSLATE(ES!C44,""es"",""en"")"),"Canceled Credit Note")</f>
        <v>Canceled Credit Note</v>
      </c>
      <c r="D44" s="4" t="str">
        <f>IFERROR(__xludf.DUMMYFUNCTION("GOOGLETRANSLATE(ES!D44,""es"",""en"")"),"Notification")</f>
        <v>Notification</v>
      </c>
      <c r="E44" s="4" t="str">
        <f>IFERROR(__xludf.DUMMYFUNCTION("GOOGLETRANSLATE(ES!E44,""es"",""en"")"),"The credit note for order [Order Number] from customer [Customer Name] has been successfully voided.")</f>
        <v>The credit note for order [Order Number] from customer [Customer Name] has been successfully voided.</v>
      </c>
      <c r="F44" s="4"/>
      <c r="G44" s="4" t="str">
        <f>IFERROR(__xludf.DUMMYFUNCTION("GOOGLETRANSLATE(ES!G44,""es"",""en"")"),"When an administrator cancels a credit note.")</f>
        <v>When an administrator cancels a credit note.</v>
      </c>
      <c r="H44" s="4" t="str">
        <f>IFERROR(__xludf.DUMMYFUNCTION("GOOGLETRANSLATE(ES!H44,""es"",""en"")"),"Credit Note Management Screen")</f>
        <v>Credit Note Management Screen</v>
      </c>
    </row>
    <row r="45">
      <c r="A45" s="4" t="str">
        <f>IFERROR(__xludf.DUMMYFUNCTION("GOOGLETRANSLATE(ES!A45,""es"",""en"")"),"E044")</f>
        <v>E044</v>
      </c>
      <c r="B45" s="6"/>
      <c r="C45" s="4" t="str">
        <f>IFERROR(__xludf.DUMMYFUNCTION("GOOGLETRANSLATE(ES!C45,""es"",""en"")"),"Error when Canceling Credit Note")</f>
        <v>Error when Canceling Credit Note</v>
      </c>
      <c r="D45" s="4" t="str">
        <f>IFERROR(__xludf.DUMMYFUNCTION("GOOGLETRANSLATE(ES!D45,""es"",""en"")"),"Alert")</f>
        <v>Alert</v>
      </c>
      <c r="E45" s="4" t="str">
        <f>IFERROR(__xludf.DUMMYFUNCTION("GOOGLETRANSLATE(ES!E45,""es"",""en"")"),"The credit note could not be reversed. Check if the credit note has already been used or if there are connection problems and try again.")</f>
        <v>The credit note could not be reversed. Check if the credit note has already been used or if there are connection problems and try again.</v>
      </c>
      <c r="F45" s="4"/>
      <c r="G45" s="4" t="str">
        <f>IFERROR(__xludf.DUMMYFUNCTION("GOOGLETRANSLATE(ES!G45,""es"",""en"")"),"When an error occurs when trying to void a credit note, such as data integrity rules that prevent voiding.")</f>
        <v>When an error occurs when trying to void a credit note, such as data integrity rules that prevent voiding.</v>
      </c>
      <c r="H45" s="4" t="str">
        <f>IFERROR(__xludf.DUMMYFUNCTION("GOOGLETRANSLATE(ES!H45,""es"",""en"")"),"Credit Note Management Screen")</f>
        <v>Credit Note Management Screen</v>
      </c>
    </row>
    <row r="46">
      <c r="A46" s="4" t="str">
        <f>IFERROR(__xludf.DUMMYFUNCTION("GOOGLETRANSLATE(ES!A46,""es"",""en"")"),"E045")</f>
        <v>E045</v>
      </c>
      <c r="B46" s="6"/>
      <c r="C46" s="4" t="str">
        <f>IFERROR(__xludf.DUMMYFUNCTION("GOOGLETRANSLATE(ES!C46,""es"",""en"")"),"Canceled Sale")</f>
        <v>Canceled Sale</v>
      </c>
      <c r="D46" s="4" t="str">
        <f>IFERROR(__xludf.DUMMYFUNCTION("GOOGLETRANSLATE(ES!D46,""es"",""en"")"),"Notification")</f>
        <v>Notification</v>
      </c>
      <c r="E46" s="4" t="str">
        <f>IFERROR(__xludf.DUMMYFUNCTION("GOOGLETRANSLATE(ES!E46,""es"",""en"")"),"The sale of order [Order Number] has been successfully cancelled.")</f>
        <v>The sale of order [Order Number] has been successfully cancelled.</v>
      </c>
      <c r="F46" s="4"/>
      <c r="G46" s="4" t="str">
        <f>IFERROR(__xludf.DUMMYFUNCTION("GOOGLETRANSLATE(ES!G46,""es"",""en"")"),"When an administrator cancels a sale from customer management.")</f>
        <v>When an administrator cancels a sale from customer management.</v>
      </c>
      <c r="H46" s="4" t="str">
        <f>IFERROR(__xludf.DUMMYFUNCTION("GOOGLETRANSLATE(ES!H46,""es"",""en"")"),"Customer Management Screen")</f>
        <v>Customer Management Screen</v>
      </c>
    </row>
    <row r="47">
      <c r="A47" s="4" t="str">
        <f>IFERROR(__xludf.DUMMYFUNCTION("GOOGLETRANSLATE(ES!A47,""es"",""en"")"),"E046")</f>
        <v>E046</v>
      </c>
      <c r="B47" s="7"/>
      <c r="C47" s="4" t="str">
        <f>IFERROR(__xludf.DUMMYFUNCTION("GOOGLETRANSLATE(ES!C47,""es"",""en"")"),"Error Canceling Sale")</f>
        <v>Error Canceling Sale</v>
      </c>
      <c r="D47" s="4" t="str">
        <f>IFERROR(__xludf.DUMMYFUNCTION("GOOGLETRANSLATE(ES!D47,""es"",""en"")"),"Alert")</f>
        <v>Alert</v>
      </c>
      <c r="E47" s="4" t="str">
        <f>IFERROR(__xludf.DUMMYFUNCTION("GOOGLETRANSLATE(ES!E47,""es"",""en"")"),"The sale could not be cancelled. Check if the sale has already been finalized or if there are connection problems and try again.")</f>
        <v>The sale could not be cancelled. Check if the sale has already been finalized or if there are connection problems and try again.</v>
      </c>
      <c r="F47" s="4"/>
      <c r="G47" s="4" t="str">
        <f>IFERROR(__xludf.DUMMYFUNCTION("GOOGLETRANSLATE(ES!G47,""es"",""en"")"),"When an error occurs when trying to cancel a sale, such as if the sale is already in a finalized state or connection problems.")</f>
        <v>When an error occurs when trying to cancel a sale, such as if the sale is already in a finalized state or connection problems.</v>
      </c>
      <c r="H47" s="4" t="str">
        <f>IFERROR(__xludf.DUMMYFUNCTION("GOOGLETRANSLATE(ES!H47,""es"",""en"")"),"Customer Management Screen")</f>
        <v>Customer Management Screen</v>
      </c>
    </row>
    <row r="48">
      <c r="A48" s="4" t="str">
        <f>IFERROR(__xludf.DUMMYFUNCTION("GOOGLETRANSLATE(ES!A48,""es"",""en"")"),"E047")</f>
        <v>E047</v>
      </c>
      <c r="B48" s="5" t="s">
        <v>6</v>
      </c>
      <c r="C48" s="4" t="str">
        <f>IFERROR(__xludf.DUMMYFUNCTION("GOOGLETRANSLATE(ES!C48,""es"",""en"")"),"Order Created")</f>
        <v>Order Created</v>
      </c>
      <c r="D48" s="4" t="str">
        <f>IFERROR(__xludf.DUMMYFUNCTION("GOOGLETRANSLATE(ES!D48,""es"",""en"")"),"Notification")</f>
        <v>Notification</v>
      </c>
      <c r="E48" s="4" t="str">
        <f>IFERROR(__xludf.DUMMYFUNCTION("GOOGLETRANSLATE(ES!E48,""es"",""en"")"),"Order [Order Number] has been successfully created for customer [Customer Name].")</f>
        <v>Order [Order Number] has been successfully created for customer [Customer Name].</v>
      </c>
      <c r="F48" s="4"/>
      <c r="G48" s="4" t="str">
        <f>IFERROR(__xludf.DUMMYFUNCTION("GOOGLETRANSLATE(ES!G48,""es"",""en"")"),"When an administrator or cashier creates a new order for a customer.")</f>
        <v>When an administrator or cashier creates a new order for a customer.</v>
      </c>
      <c r="H48" s="4" t="str">
        <f>IFERROR(__xludf.DUMMYFUNCTION("GOOGLETRANSLATE(ES!H48,""es"",""en"")"),"Order Detail Screen")</f>
        <v>Order Detail Screen</v>
      </c>
    </row>
    <row r="49">
      <c r="A49" s="4" t="str">
        <f>IFERROR(__xludf.DUMMYFUNCTION("GOOGLETRANSLATE(ES!A49,""es"",""en"")"),"E048")</f>
        <v>E048</v>
      </c>
      <c r="B49" s="6"/>
      <c r="C49" s="4" t="str">
        <f>IFERROR(__xludf.DUMMYFUNCTION("GOOGLETRANSLATE(ES!C49,""es"",""en"")"),"Error creating order")</f>
        <v>Error creating order</v>
      </c>
      <c r="D49" s="4" t="str">
        <f>IFERROR(__xludf.DUMMYFUNCTION("GOOGLETRANSLATE(ES!D49,""es"",""en"")"),"Alert")</f>
        <v>Alert</v>
      </c>
      <c r="E49" s="4" t="str">
        <f>IFERROR(__xludf.DUMMYFUNCTION("GOOGLETRANSLATE(ES!E49,""es"",""en"")"),"The order could not be created. Please verify the information entered and try again.")</f>
        <v>The order could not be created. Please verify the information entered and try again.</v>
      </c>
      <c r="F49" s="4"/>
      <c r="G49" s="4" t="str">
        <f>IFERROR(__xludf.DUMMYFUNCTION("GOOGLETRANSLATE(ES!G49,""es"",""en"")"),"When an error occurs when trying to create an order, such as missing data or connection problems.")</f>
        <v>When an error occurs when trying to create an order, such as missing data or connection problems.</v>
      </c>
      <c r="H49" s="4" t="str">
        <f>IFERROR(__xludf.DUMMYFUNCTION("GOOGLETRANSLATE(ES!H49,""es"",""en"")"),"Order Creation Screen")</f>
        <v>Order Creation Screen</v>
      </c>
    </row>
    <row r="50">
      <c r="A50" s="4" t="str">
        <f>IFERROR(__xludf.DUMMYFUNCTION("GOOGLETRANSLATE(ES!A50,""es"",""en"")"),"E049")</f>
        <v>E049</v>
      </c>
      <c r="B50" s="6"/>
      <c r="C50" s="4" t="str">
        <f>IFERROR(__xludf.DUMMYFUNCTION("GOOGLETRANSLATE(ES!C50,""es"",""en"")"),"Updated Order")</f>
        <v>Updated Order</v>
      </c>
      <c r="D50" s="4" t="str">
        <f>IFERROR(__xludf.DUMMYFUNCTION("GOOGLETRANSLATE(ES!D50,""es"",""en"")"),"Notification")</f>
        <v>Notification</v>
      </c>
      <c r="E50" s="4" t="str">
        <f>IFERROR(__xludf.DUMMYFUNCTION("GOOGLETRANSLATE(ES!E50,""es"",""en"")"),"Order [Order Number] has been successfully updated.")</f>
        <v>Order [Order Number] has been successfully updated.</v>
      </c>
      <c r="F50" s="4"/>
      <c r="G50" s="4" t="str">
        <f>IFERROR(__xludf.DUMMYFUNCTION("GOOGLETRANSLATE(ES!G50,""es"",""en"")"),"When an administrator or cashier updates an existing order.")</f>
        <v>When an administrator or cashier updates an existing order.</v>
      </c>
      <c r="H50" s="4" t="str">
        <f>IFERROR(__xludf.DUMMYFUNCTION("GOOGLETRANSLATE(ES!H50,""es"",""en"")"),"Order Detail Screen")</f>
        <v>Order Detail Screen</v>
      </c>
    </row>
    <row r="51">
      <c r="A51" s="4" t="str">
        <f>IFERROR(__xludf.DUMMYFUNCTION("GOOGLETRANSLATE(ES!A51,""es"",""en"")"),"E050")</f>
        <v>E050</v>
      </c>
      <c r="B51" s="6"/>
      <c r="C51" s="4" t="str">
        <f>IFERROR(__xludf.DUMMYFUNCTION("GOOGLETRANSLATE(ES!C51,""es"",""en"")"),"Error updating order")</f>
        <v>Error updating order</v>
      </c>
      <c r="D51" s="4" t="str">
        <f>IFERROR(__xludf.DUMMYFUNCTION("GOOGLETRANSLATE(ES!D51,""es"",""en"")"),"Alert")</f>
        <v>Alert</v>
      </c>
      <c r="E51" s="4" t="str">
        <f>IFERROR(__xludf.DUMMYFUNCTION("GOOGLETRANSLATE(ES!E51,""es"",""en"")"),"The order could not be updated. Please verify the information entered and try again.")</f>
        <v>The order could not be updated. Please verify the information entered and try again.</v>
      </c>
      <c r="F51" s="4"/>
      <c r="G51" s="4" t="str">
        <f>IFERROR(__xludf.DUMMYFUNCTION("GOOGLETRANSLATE(ES!G51,""es"",""en"")"),"When an error occurs when trying to update an order, such as connection problems or incorrect data.")</f>
        <v>When an error occurs when trying to update an order, such as connection problems or incorrect data.</v>
      </c>
      <c r="H51" s="4" t="str">
        <f>IFERROR(__xludf.DUMMYFUNCTION("GOOGLETRANSLATE(ES!H51,""es"",""en"")"),"Order Edit Screen")</f>
        <v>Order Edit Screen</v>
      </c>
    </row>
    <row r="52">
      <c r="A52" s="4" t="str">
        <f>IFERROR(__xludf.DUMMYFUNCTION("GOOGLETRANSLATE(ES!A52,""es"",""en"")"),"E051")</f>
        <v>E051</v>
      </c>
      <c r="B52" s="6"/>
      <c r="C52" s="4" t="str">
        <f>IFERROR(__xludf.DUMMYFUNCTION("GOOGLETRANSLATE(ES!C52,""es"",""en"")"),"Canceled Order")</f>
        <v>Canceled Order</v>
      </c>
      <c r="D52" s="4" t="str">
        <f>IFERROR(__xludf.DUMMYFUNCTION("GOOGLETRANSLATE(ES!D52,""es"",""en"")"),"Notification")</f>
        <v>Notification</v>
      </c>
      <c r="E52" s="4" t="str">
        <f>IFERROR(__xludf.DUMMYFUNCTION("GOOGLETRANSLATE(ES!E52,""es"",""en"")"),"The order [Order Number] has been successfully canceled.")</f>
        <v>The order [Order Number] has been successfully canceled.</v>
      </c>
      <c r="F52" s="4"/>
      <c r="G52" s="4" t="str">
        <f>IFERROR(__xludf.DUMMYFUNCTION("GOOGLETRANSLATE(ES!G52,""es"",""en"")"),"When an administrator cancels an order from customer or order management.")</f>
        <v>When an administrator cancels an order from customer or order management.</v>
      </c>
      <c r="H52" s="4" t="str">
        <f>IFERROR(__xludf.DUMMYFUNCTION("GOOGLETRANSLATE(ES!H52,""es"",""en"")"),"Order Management Screen")</f>
        <v>Order Management Screen</v>
      </c>
    </row>
    <row r="53">
      <c r="A53" s="4" t="str">
        <f>IFERROR(__xludf.DUMMYFUNCTION("GOOGLETRANSLATE(ES!A53,""es"",""en"")"),"E052")</f>
        <v>E052</v>
      </c>
      <c r="B53" s="6"/>
      <c r="C53" s="4" t="str">
        <f>IFERROR(__xludf.DUMMYFUNCTION("GOOGLETRANSLATE(ES!C53,""es"",""en"")"),"Error Canceling Order")</f>
        <v>Error Canceling Order</v>
      </c>
      <c r="D53" s="4" t="str">
        <f>IFERROR(__xludf.DUMMYFUNCTION("GOOGLETRANSLATE(ES!D53,""es"",""en"")"),"Alert")</f>
        <v>Alert</v>
      </c>
      <c r="E53" s="4" t="str">
        <f>IFERROR(__xludf.DUMMYFUNCTION("GOOGLETRANSLATE(ES!E53,""es"",""en"")"),"The order could not be cancelled. Check if the order has already been finalized or if there are connection problems and try again.")</f>
        <v>The order could not be cancelled. Check if the order has already been finalized or if there are connection problems and try again.</v>
      </c>
      <c r="F53" s="4"/>
      <c r="G53" s="4" t="str">
        <f>IFERROR(__xludf.DUMMYFUNCTION("GOOGLETRANSLATE(ES!G53,""es"",""en"")"),"When an error occurs when trying to cancel an order, such as if the order is already in a finished state or connection problems.")</f>
        <v>When an error occurs when trying to cancel an order, such as if the order is already in a finished state or connection problems.</v>
      </c>
      <c r="H53" s="4" t="str">
        <f>IFERROR(__xludf.DUMMYFUNCTION("GOOGLETRANSLATE(ES!H53,""es"",""en"")"),"Order Management Screen")</f>
        <v>Order Management Screen</v>
      </c>
    </row>
    <row r="54">
      <c r="A54" s="4" t="str">
        <f>IFERROR(__xludf.DUMMYFUNCTION("GOOGLETRANSLATE(ES!A54,""es"",""en"")"),"E053")</f>
        <v>E053</v>
      </c>
      <c r="B54" s="6"/>
      <c r="C54" s="4" t="str">
        <f>IFERROR(__xludf.DUMMYFUNCTION("GOOGLETRANSLATE(ES!C54,""es"",""en"")"),"Order Details Viewed")</f>
        <v>Order Details Viewed</v>
      </c>
      <c r="D54" s="4" t="str">
        <f>IFERROR(__xludf.DUMMYFUNCTION("GOOGLETRANSLATE(ES!D54,""es"",""en"")"),"Notification")</f>
        <v>Notification</v>
      </c>
      <c r="E54" s="4" t="str">
        <f>IFERROR(__xludf.DUMMYFUNCTION("GOOGLETRANSLATE(ES!E54,""es"",""en"")"),"The details of the order [Order Number] have been successfully queried.")</f>
        <v>The details of the order [Order Number] have been successfully queried.</v>
      </c>
      <c r="F54" s="4"/>
      <c r="G54" s="4" t="str">
        <f>IFERROR(__xludf.DUMMYFUNCTION("GOOGLETRANSLATE(ES!G54,""es"",""en"")"),"When an administrator or cashier checks the details of a specific order.")</f>
        <v>When an administrator or cashier checks the details of a specific order.</v>
      </c>
      <c r="H54" s="4" t="str">
        <f>IFERROR(__xludf.DUMMYFUNCTION("GOOGLETRANSLATE(ES!H54,""es"",""en"")"),"Order Detail Screen")</f>
        <v>Order Detail Screen</v>
      </c>
    </row>
    <row r="55">
      <c r="A55" s="4" t="str">
        <f>IFERROR(__xludf.DUMMYFUNCTION("GOOGLETRANSLATE(ES!A55,""es"",""en"")"),"E054")</f>
        <v>E054</v>
      </c>
      <c r="B55" s="6"/>
      <c r="C55" s="4" t="str">
        <f>IFERROR(__xludf.DUMMYFUNCTION("GOOGLETRANSLATE(ES!C55,""es"",""en"")"),"Error in the Order Details Query")</f>
        <v>Error in the Order Details Query</v>
      </c>
      <c r="D55" s="4" t="str">
        <f>IFERROR(__xludf.DUMMYFUNCTION("GOOGLETRANSLATE(ES!D55,""es"",""en"")"),"Alert")</f>
        <v>Alert</v>
      </c>
      <c r="E55" s="4" t="str">
        <f>IFERROR(__xludf.DUMMYFUNCTION("GOOGLETRANSLATE(ES!E55,""es"",""en"")"),"Could not view order details. Try again later.")</f>
        <v>Could not view order details. Try again later.</v>
      </c>
      <c r="F55" s="4"/>
      <c r="G55" s="4" t="str">
        <f>IFERROR(__xludf.DUMMYFUNCTION("GOOGLETRANSLATE(ES!G55,""es"",""en"")"),"When an error occurs when trying to view the details of an order, such as connection problems or incorrect data.")</f>
        <v>When an error occurs when trying to view the details of an order, such as connection problems or incorrect data.</v>
      </c>
      <c r="H55" s="4" t="str">
        <f>IFERROR(__xludf.DUMMYFUNCTION("GOOGLETRANSLATE(ES!H55,""es"",""en"")"),"Order Management Screen")</f>
        <v>Order Management Screen</v>
      </c>
    </row>
    <row r="56">
      <c r="A56" s="4" t="str">
        <f>IFERROR(__xludf.DUMMYFUNCTION("GOOGLETRANSLATE(ES!A56,""es"",""en"")"),"E055")</f>
        <v>E055</v>
      </c>
      <c r="B56" s="6"/>
      <c r="C56" s="4" t="str">
        <f>IFERROR(__xludf.DUMMYFUNCTION("GOOGLETRANSLATE(ES!C56,""es"",""en"")"),"Credit Note Associated with the Order")</f>
        <v>Credit Note Associated with the Order</v>
      </c>
      <c r="D56" s="4" t="str">
        <f>IFERROR(__xludf.DUMMYFUNCTION("GOOGLETRANSLATE(ES!D56,""es"",""en"")"),"Notification")</f>
        <v>Notification</v>
      </c>
      <c r="E56" s="4" t="str">
        <f>IFERROR(__xludf.DUMMYFUNCTION("GOOGLETRANSLATE(ES!E56,""es"",""en"")"),"The credit memo has been successfully created for the order [Order Number].")</f>
        <v>The credit memo has been successfully created for the order [Order Number].</v>
      </c>
      <c r="F56" s="4"/>
      <c r="G56" s="4" t="str">
        <f>IFERROR(__xludf.DUMMYFUNCTION("GOOGLETRANSLATE(ES!G56,""es"",""en"")"),"When a credit note is created associated with a specific order.")</f>
        <v>When a credit note is created associated with a specific order.</v>
      </c>
      <c r="H56" s="4" t="str">
        <f>IFERROR(__xludf.DUMMYFUNCTION("GOOGLETRANSLATE(ES!H56,""es"",""en"")"),"Order Detail Screen")</f>
        <v>Order Detail Screen</v>
      </c>
    </row>
    <row r="57">
      <c r="A57" s="4" t="str">
        <f>IFERROR(__xludf.DUMMYFUNCTION("GOOGLETRANSLATE(ES!A57,""es"",""en"")"),"E056")</f>
        <v>E056</v>
      </c>
      <c r="B57" s="7"/>
      <c r="C57" s="4" t="str">
        <f>IFERROR(__xludf.DUMMYFUNCTION("GOOGLETRANSLATE(ES!C57,""es"",""en"")"),"Error when Creating Credit Note Associated with the Order")</f>
        <v>Error when Creating Credit Note Associated with the Order</v>
      </c>
      <c r="D57" s="4" t="str">
        <f>IFERROR(__xludf.DUMMYFUNCTION("GOOGLETRANSLATE(ES!D57,""es"",""en"")"),"Alert")</f>
        <v>Alert</v>
      </c>
      <c r="E57" s="4" t="str">
        <f>IFERROR(__xludf.DUMMYFUNCTION("GOOGLETRANSLATE(ES!E57,""es"",""en"")"),"The credit memo for the order could not be created. Please verify the information entered and try again.")</f>
        <v>The credit memo for the order could not be created. Please verify the information entered and try again.</v>
      </c>
      <c r="F57" s="4"/>
      <c r="G57" s="4" t="str">
        <f>IFERROR(__xludf.DUMMYFUNCTION("GOOGLETRANSLATE(ES!G57,""es"",""en"")"),"When an error occurs when trying to create a credit note associated with an order, such as connection problems or incorrect data.")</f>
        <v>When an error occurs when trying to create a credit note associated with an order, such as connection problems or incorrect data.</v>
      </c>
      <c r="H57" s="4" t="str">
        <f>IFERROR(__xludf.DUMMYFUNCTION("GOOGLETRANSLATE(ES!H57,""es"",""en"")"),"Credit Note Creation Screen")</f>
        <v>Credit Note Creation Screen</v>
      </c>
    </row>
    <row r="58">
      <c r="A58" s="4" t="str">
        <f>IFERROR(__xludf.DUMMYFUNCTION("GOOGLETRANSLATE(ES!A58,""es"",""en"")"),"E057")</f>
        <v>E057</v>
      </c>
      <c r="B58" s="5" t="s">
        <v>7</v>
      </c>
      <c r="C58" s="4" t="str">
        <f>IFERROR(__xludf.DUMMYFUNCTION("GOOGLETRANSLATE(ES!C58,""es"",""en"")"),"Created Sector")</f>
        <v>Created Sector</v>
      </c>
      <c r="D58" s="4" t="str">
        <f>IFERROR(__xludf.DUMMYFUNCTION("GOOGLETRANSLATE(ES!D58,""es"",""en"")"),"Notification")</f>
        <v>Notification</v>
      </c>
      <c r="E58" s="4" t="str">
        <f>IFERROR(__xludf.DUMMYFUNCTION("GOOGLETRANSLATE(ES!E58,""es"",""en"")"),"The sector [Sector Name] has been successfully created with [Number of Tables] tables assigned.")</f>
        <v>The sector [Sector Name] has been successfully created with [Number of Tables] tables assigned.</v>
      </c>
      <c r="F58" s="4"/>
      <c r="G58" s="4" t="str">
        <f>IFERROR(__xludf.DUMMYFUNCTION("GOOGLETRANSLATE(ES!G58,""es"",""en"")"),"When an administrator creates a new sector in the system.")</f>
        <v>When an administrator creates a new sector in the system.</v>
      </c>
      <c r="H58" s="4" t="str">
        <f>IFERROR(__xludf.DUMMYFUNCTION("GOOGLETRANSLATE(ES!H58,""es"",""en"")"),"Sector Management Screen")</f>
        <v>Sector Management Screen</v>
      </c>
    </row>
    <row r="59">
      <c r="A59" s="4" t="str">
        <f>IFERROR(__xludf.DUMMYFUNCTION("GOOGLETRANSLATE(ES!A59,""es"",""en"")"),"E058")</f>
        <v>E058</v>
      </c>
      <c r="B59" s="6"/>
      <c r="C59" s="4" t="str">
        <f>IFERROR(__xludf.DUMMYFUNCTION("GOOGLETRANSLATE(ES!C59,""es"",""en"")"),"Error creating Sector")</f>
        <v>Error creating Sector</v>
      </c>
      <c r="D59" s="4" t="str">
        <f>IFERROR(__xludf.DUMMYFUNCTION("GOOGLETRANSLATE(ES!D59,""es"",""en"")"),"Alert")</f>
        <v>Alert</v>
      </c>
      <c r="E59" s="4" t="str">
        <f>IFERROR(__xludf.DUMMYFUNCTION("GOOGLETRANSLATE(ES!E59,""es"",""en"")"),"The sector could not be created. Please verify the information entered and try again.")</f>
        <v>The sector could not be created. Please verify the information entered and try again.</v>
      </c>
      <c r="F59" s="4"/>
      <c r="G59" s="4" t="str">
        <f>IFERROR(__xludf.DUMMYFUNCTION("GOOGLETRANSLATE(ES!G59,""es"",""en"")"),"When an error occurs when trying to create a sector, such as leaving required fields blank or connection problems.")</f>
        <v>When an error occurs when trying to create a sector, such as leaving required fields blank or connection problems.</v>
      </c>
      <c r="H59" s="4" t="str">
        <f>IFERROR(__xludf.DUMMYFUNCTION("GOOGLETRANSLATE(ES!H59,""es"",""en"")"),"Sector Creation Screen")</f>
        <v>Sector Creation Screen</v>
      </c>
    </row>
    <row r="60">
      <c r="A60" s="4" t="str">
        <f>IFERROR(__xludf.DUMMYFUNCTION("GOOGLETRANSLATE(ES!A60,""es"",""en"")"),"E059")</f>
        <v>E059</v>
      </c>
      <c r="B60" s="6"/>
      <c r="C60" s="4" t="str">
        <f>IFERROR(__xludf.DUMMYFUNCTION("GOOGLETRANSLATE(ES!C60,""es"",""en"")"),"Edited Sector")</f>
        <v>Edited Sector</v>
      </c>
      <c r="D60" s="4" t="str">
        <f>IFERROR(__xludf.DUMMYFUNCTION("GOOGLETRANSLATE(ES!D60,""es"",""en"")"),"Notification")</f>
        <v>Notification</v>
      </c>
      <c r="E60" s="4" t="str">
        <f>IFERROR(__xludf.DUMMYFUNCTION("GOOGLETRANSLATE(ES!E60,""es"",""en"")"),"The sector [Sector Name] has been successfully updated.")</f>
        <v>The sector [Sector Name] has been successfully updated.</v>
      </c>
      <c r="F60" s="4"/>
      <c r="G60" s="4" t="str">
        <f>IFERROR(__xludf.DUMMYFUNCTION("GOOGLETRANSLATE(ES!G60,""es"",""en"")"),"When an administrator edits an existing sector in the system.")</f>
        <v>When an administrator edits an existing sector in the system.</v>
      </c>
      <c r="H60" s="4" t="str">
        <f>IFERROR(__xludf.DUMMYFUNCTION("GOOGLETRANSLATE(ES!H60,""es"",""en"")"),"Sector Management Screen")</f>
        <v>Sector Management Screen</v>
      </c>
    </row>
    <row r="61">
      <c r="A61" s="4" t="str">
        <f>IFERROR(__xludf.DUMMYFUNCTION("GOOGLETRANSLATE(ES!A61,""es"",""en"")"),"E060")</f>
        <v>E060</v>
      </c>
      <c r="B61" s="6"/>
      <c r="C61" s="4" t="str">
        <f>IFERROR(__xludf.DUMMYFUNCTION("GOOGLETRANSLATE(ES!C61,""es"",""en"")"),"Error when Editing Sector")</f>
        <v>Error when Editing Sector</v>
      </c>
      <c r="D61" s="4" t="str">
        <f>IFERROR(__xludf.DUMMYFUNCTION("GOOGLETRANSLATE(ES!D61,""es"",""en"")"),"Alert")</f>
        <v>Alert</v>
      </c>
      <c r="E61" s="4" t="str">
        <f>IFERROR(__xludf.DUMMYFUNCTION("GOOGLETRANSLATE(ES!E61,""es"",""en"")"),"The sector could not be updated. Please verify the information entered and try again.")</f>
        <v>The sector could not be updated. Please verify the information entered and try again.</v>
      </c>
      <c r="F61" s="4"/>
      <c r="G61" s="4" t="str">
        <f>IFERROR(__xludf.DUMMYFUNCTION("GOOGLETRANSLATE(ES!G61,""es"",""en"")"),"When an error occurs when trying to edit a sector, such as missing data or connection problems.")</f>
        <v>When an error occurs when trying to edit a sector, such as missing data or connection problems.</v>
      </c>
      <c r="H61" s="4" t="str">
        <f>IFERROR(__xludf.DUMMYFUNCTION("GOOGLETRANSLATE(ES!H61,""es"",""en"")"),"Sector Edit Screen")</f>
        <v>Sector Edit Screen</v>
      </c>
    </row>
    <row r="62">
      <c r="A62" s="4" t="str">
        <f>IFERROR(__xludf.DUMMYFUNCTION("GOOGLETRANSLATE(ES!A62,""es"",""en"")"),"E061")</f>
        <v>E061</v>
      </c>
      <c r="B62" s="6"/>
      <c r="C62" s="4" t="str">
        <f>IFERROR(__xludf.DUMMYFUNCTION("GOOGLETRANSLATE(ES!C62,""es"",""en"")"),"Eliminated Sector")</f>
        <v>Eliminated Sector</v>
      </c>
      <c r="D62" s="4" t="str">
        <f>IFERROR(__xludf.DUMMYFUNCTION("GOOGLETRANSLATE(ES!D62,""es"",""en"")"),"Notification")</f>
        <v>Notification</v>
      </c>
      <c r="E62" s="4" t="str">
        <f>IFERROR(__xludf.DUMMYFUNCTION("GOOGLETRANSLATE(ES!E62,""es"",""en"")"),"The sector [Sector Name] has been removed from the system.")</f>
        <v>The sector [Sector Name] has been removed from the system.</v>
      </c>
      <c r="F62" s="4"/>
      <c r="G62" s="4" t="str">
        <f>IFERROR(__xludf.DUMMYFUNCTION("GOOGLETRANSLATE(ES!G62,""es"",""en"")"),"When an administrator deletes a sector from the system.")</f>
        <v>When an administrator deletes a sector from the system.</v>
      </c>
      <c r="H62" s="4" t="str">
        <f>IFERROR(__xludf.DUMMYFUNCTION("GOOGLETRANSLATE(ES!H62,""es"",""en"")"),"Sector Management Screen")</f>
        <v>Sector Management Screen</v>
      </c>
    </row>
    <row r="63">
      <c r="A63" s="4" t="str">
        <f>IFERROR(__xludf.DUMMYFUNCTION("GOOGLETRANSLATE(ES!A63,""es"",""en"")"),"E062")</f>
        <v>E062</v>
      </c>
      <c r="B63" s="6"/>
      <c r="C63" s="4" t="str">
        <f>IFERROR(__xludf.DUMMYFUNCTION("GOOGLETRANSLATE(ES!C63,""es"",""en"")"),"Error when deleting sector")</f>
        <v>Error when deleting sector</v>
      </c>
      <c r="D63" s="4" t="str">
        <f>IFERROR(__xludf.DUMMYFUNCTION("GOOGLETRANSLATE(ES!D63,""es"",""en"")"),"Alert")</f>
        <v>Alert</v>
      </c>
      <c r="E63" s="4" t="str">
        <f>IFERROR(__xludf.DUMMYFUNCTION("GOOGLETRANSLATE(ES!E63,""es"",""en"")"),"The sector could not be deleted. Check if the sector is associated with other records and try again.")</f>
        <v>The sector could not be deleted. Check if the sector is associated with other records and try again.</v>
      </c>
      <c r="F63" s="4"/>
      <c r="G63" s="4" t="str">
        <f>IFERROR(__xludf.DUMMYFUNCTION("GOOGLETRANSLATE(ES!G63,""es"",""en"")"),"When an error occurs when trying to delete a sector, such as data integrity rules preventing deletion.")</f>
        <v>When an error occurs when trying to delete a sector, such as data integrity rules preventing deletion.</v>
      </c>
      <c r="H63" s="4" t="str">
        <f>IFERROR(__xludf.DUMMYFUNCTION("GOOGLETRANSLATE(ES!H63,""es"",""en"")"),"Sector Management Screen")</f>
        <v>Sector Management Screen</v>
      </c>
    </row>
    <row r="64">
      <c r="A64" s="4" t="str">
        <f>IFERROR(__xludf.DUMMYFUNCTION("GOOGLETRANSLATE(ES!A64,""es"",""en"")"),"E063")</f>
        <v>E063</v>
      </c>
      <c r="B64" s="6"/>
      <c r="C64" s="4" t="str">
        <f>IFERROR(__xludf.DUMMYFUNCTION("GOOGLETRANSLATE(ES!C64,""es"",""en"")"),"Created Table")</f>
        <v>Created Table</v>
      </c>
      <c r="D64" s="4" t="str">
        <f>IFERROR(__xludf.DUMMYFUNCTION("GOOGLETRANSLATE(ES!D64,""es"",""en"")"),"Notification")</f>
        <v>Notification</v>
      </c>
      <c r="E64" s="4" t="str">
        <f>IFERROR(__xludf.DUMMYFUNCTION("GOOGLETRANSLATE(ES!E64,""es"",""en"")"),"The table [Table Number] has been successfully created in the sector [Sector Name].")</f>
        <v>The table [Table Number] has been successfully created in the sector [Sector Name].</v>
      </c>
      <c r="F64" s="4"/>
      <c r="G64" s="4" t="str">
        <f>IFERROR(__xludf.DUMMYFUNCTION("GOOGLETRANSLATE(ES!G64,""es"",""en"")"),"When an administrator or cashier creates a new table in an existing sector.")</f>
        <v>When an administrator or cashier creates a new table in an existing sector.</v>
      </c>
      <c r="H64" s="4" t="str">
        <f>IFERROR(__xludf.DUMMYFUNCTION("GOOGLETRANSLATE(ES!H64,""es"",""en"")"),"Table Management Screen")</f>
        <v>Table Management Screen</v>
      </c>
    </row>
    <row r="65">
      <c r="A65" s="4" t="str">
        <f>IFERROR(__xludf.DUMMYFUNCTION("GOOGLETRANSLATE(ES!A65,""es"",""en"")"),"E064")</f>
        <v>E064</v>
      </c>
      <c r="B65" s="6"/>
      <c r="C65" s="4" t="str">
        <f>IFERROR(__xludf.DUMMYFUNCTION("GOOGLETRANSLATE(ES!C65,""es"",""en"")"),"Error creating table")</f>
        <v>Error creating table</v>
      </c>
      <c r="D65" s="4" t="str">
        <f>IFERROR(__xludf.DUMMYFUNCTION("GOOGLETRANSLATE(ES!D65,""es"",""en"")"),"Alert")</f>
        <v>Alert</v>
      </c>
      <c r="E65" s="4" t="str">
        <f>IFERROR(__xludf.DUMMYFUNCTION("GOOGLETRANSLATE(ES!E65,""es"",""en"")"),"The table could not be created. Please verify the information entered and try again.")</f>
        <v>The table could not be created. Please verify the information entered and try again.</v>
      </c>
      <c r="F65" s="4"/>
      <c r="G65" s="4" t="str">
        <f>IFERROR(__xludf.DUMMYFUNCTION("GOOGLETRANSLATE(ES!G65,""es"",""en"")"),"When an error occurs when trying to create a table, such as leaving required fields blank or connection problems.")</f>
        <v>When an error occurs when trying to create a table, such as leaving required fields blank or connection problems.</v>
      </c>
      <c r="H65" s="4" t="str">
        <f>IFERROR(__xludf.DUMMYFUNCTION("GOOGLETRANSLATE(ES!H65,""es"",""en"")"),"Table Creation Screen")</f>
        <v>Table Creation Screen</v>
      </c>
    </row>
    <row r="66">
      <c r="A66" s="4" t="str">
        <f>IFERROR(__xludf.DUMMYFUNCTION("GOOGLETRANSLATE(ES!A66,""es"",""en"")"),"E065")</f>
        <v>E065</v>
      </c>
      <c r="B66" s="6"/>
      <c r="C66" s="4" t="str">
        <f>IFERROR(__xludf.DUMMYFUNCTION("GOOGLETRANSLATE(ES!C66,""es"",""en"")"),"Edited Table")</f>
        <v>Edited Table</v>
      </c>
      <c r="D66" s="4" t="str">
        <f>IFERROR(__xludf.DUMMYFUNCTION("GOOGLETRANSLATE(ES!D66,""es"",""en"")"),"Notification")</f>
        <v>Notification</v>
      </c>
      <c r="E66" s="4" t="str">
        <f>IFERROR(__xludf.DUMMYFUNCTION("GOOGLETRANSLATE(ES!E66,""es"",""en"")"),"The table [Table Number] has been successfully updated in the sector [Sector Name].")</f>
        <v>The table [Table Number] has been successfully updated in the sector [Sector Name].</v>
      </c>
      <c r="F66" s="4"/>
      <c r="G66" s="4" t="str">
        <f>IFERROR(__xludf.DUMMYFUNCTION("GOOGLETRANSLATE(ES!G66,""es"",""en"")"),"When an administrator or cashier edits an existing table in a sector.")</f>
        <v>When an administrator or cashier edits an existing table in a sector.</v>
      </c>
      <c r="H66" s="4" t="str">
        <f>IFERROR(__xludf.DUMMYFUNCTION("GOOGLETRANSLATE(ES!H66,""es"",""en"")"),"Table Management Screen")</f>
        <v>Table Management Screen</v>
      </c>
    </row>
    <row r="67">
      <c r="A67" s="4" t="str">
        <f>IFERROR(__xludf.DUMMYFUNCTION("GOOGLETRANSLATE(ES!A67,""es"",""en"")"),"E066")</f>
        <v>E066</v>
      </c>
      <c r="B67" s="6"/>
      <c r="C67" s="4" t="str">
        <f>IFERROR(__xludf.DUMMYFUNCTION("GOOGLETRANSLATE(ES!C67,""es"",""en"")"),"Error when Editing Table")</f>
        <v>Error when Editing Table</v>
      </c>
      <c r="D67" s="4" t="str">
        <f>IFERROR(__xludf.DUMMYFUNCTION("GOOGLETRANSLATE(ES!D67,""es"",""en"")"),"Alert")</f>
        <v>Alert</v>
      </c>
      <c r="E67" s="4" t="str">
        <f>IFERROR(__xludf.DUMMYFUNCTION("GOOGLETRANSLATE(ES!E67,""es"",""en"")"),"Could not update table. Please verify the information entered and try again.")</f>
        <v>Could not update table. Please verify the information entered and try again.</v>
      </c>
      <c r="F67" s="4"/>
      <c r="G67" s="4" t="str">
        <f>IFERROR(__xludf.DUMMYFUNCTION("GOOGLETRANSLATE(ES!G67,""es"",""en"")"),"When an error occurs when trying to edit a table, such as missing data or connection problems.")</f>
        <v>When an error occurs when trying to edit a table, such as missing data or connection problems.</v>
      </c>
      <c r="H67" s="4" t="str">
        <f>IFERROR(__xludf.DUMMYFUNCTION("GOOGLETRANSLATE(ES!H67,""es"",""en"")"),"Table Edit Screen")</f>
        <v>Table Edit Screen</v>
      </c>
    </row>
    <row r="68">
      <c r="A68" s="4" t="str">
        <f>IFERROR(__xludf.DUMMYFUNCTION("GOOGLETRANSLATE(ES!A68,""es"",""en"")"),"E067")</f>
        <v>E067</v>
      </c>
      <c r="B68" s="6"/>
      <c r="C68" s="4" t="str">
        <f>IFERROR(__xludf.DUMMYFUNCTION("GOOGLETRANSLATE(ES!C68,""es"",""en"")"),"Deleted table")</f>
        <v>Deleted table</v>
      </c>
      <c r="D68" s="4" t="str">
        <f>IFERROR(__xludf.DUMMYFUNCTION("GOOGLETRANSLATE(ES!D68,""es"",""en"")"),"Notification")</f>
        <v>Notification</v>
      </c>
      <c r="E68" s="4" t="str">
        <f>IFERROR(__xludf.DUMMYFUNCTION("GOOGLETRANSLATE(ES!E68,""es"",""en"")"),"The table [Table Number] has been removed from the sector [Sector Name].")</f>
        <v>The table [Table Number] has been removed from the sector [Sector Name].</v>
      </c>
      <c r="F68" s="4"/>
      <c r="G68" s="4" t="str">
        <f>IFERROR(__xludf.DUMMYFUNCTION("GOOGLETRANSLATE(ES!G68,""es"",""en"")"),"When an administrator or cashier deletes a table from the system.")</f>
        <v>When an administrator or cashier deletes a table from the system.</v>
      </c>
      <c r="H68" s="4" t="str">
        <f>IFERROR(__xludf.DUMMYFUNCTION("GOOGLETRANSLATE(ES!H68,""es"",""en"")"),"Table Management Screen")</f>
        <v>Table Management Screen</v>
      </c>
    </row>
    <row r="69">
      <c r="A69" s="4" t="str">
        <f>IFERROR(__xludf.DUMMYFUNCTION("GOOGLETRANSLATE(ES!A69,""es"",""en"")"),"E068")</f>
        <v>E068</v>
      </c>
      <c r="B69" s="6"/>
      <c r="C69" s="4" t="str">
        <f>IFERROR(__xludf.DUMMYFUNCTION("GOOGLETRANSLATE(ES!C69,""es"",""en"")"),"Error when deleting table")</f>
        <v>Error when deleting table</v>
      </c>
      <c r="D69" s="4" t="str">
        <f>IFERROR(__xludf.DUMMYFUNCTION("GOOGLETRANSLATE(ES!D69,""es"",""en"")"),"Alert")</f>
        <v>Alert</v>
      </c>
      <c r="E69" s="4" t="str">
        <f>IFERROR(__xludf.DUMMYFUNCTION("GOOGLETRANSLATE(ES!E69,""es"",""en"")"),"Could not delete table. Check if the table is associated with other records and try again.")</f>
        <v>Could not delete table. Check if the table is associated with other records and try again.</v>
      </c>
      <c r="F69" s="4"/>
      <c r="G69" s="4" t="str">
        <f>IFERROR(__xludf.DUMMYFUNCTION("GOOGLETRANSLATE(ES!G69,""es"",""en"")"),"When an error occurs when trying to delete a table, such as data integrity rules that prevent deletion.")</f>
        <v>When an error occurs when trying to delete a table, such as data integrity rules that prevent deletion.</v>
      </c>
      <c r="H69" s="4" t="str">
        <f>IFERROR(__xludf.DUMMYFUNCTION("GOOGLETRANSLATE(ES!H69,""es"",""en"")"),"Table Management Screen")</f>
        <v>Table Management Screen</v>
      </c>
    </row>
    <row r="70">
      <c r="A70" s="4" t="str">
        <f>IFERROR(__xludf.DUMMYFUNCTION("GOOGLETRANSLATE(ES!A70,""es"",""en"")"),"E069")</f>
        <v>E069</v>
      </c>
      <c r="B70" s="6"/>
      <c r="C70" s="4" t="str">
        <f>IFERROR(__xludf.DUMMYFUNCTION("GOOGLETRANSLATE(ES!C70,""es"",""en"")"),"Order Assigned to Table")</f>
        <v>Order Assigned to Table</v>
      </c>
      <c r="D70" s="4" t="str">
        <f>IFERROR(__xludf.DUMMYFUNCTION("GOOGLETRANSLATE(ES!D70,""es"",""en"")"),"Notification")</f>
        <v>Notification</v>
      </c>
      <c r="E70" s="4" t="str">
        <f>IFERROR(__xludf.DUMMYFUNCTION("GOOGLETRANSLATE(ES!E70,""es"",""en"")"),"Order [Order Number] has been successfully assigned to table [Table Number] in sector [Sector Name].")</f>
        <v>Order [Order Number] has been successfully assigned to table [Table Number] in sector [Sector Name].</v>
      </c>
      <c r="F70" s="4"/>
      <c r="G70" s="4" t="str">
        <f>IFERROR(__xludf.DUMMYFUNCTION("GOOGLETRANSLATE(ES!G70,""es"",""en"")"),"When an administrator, cashier or server assigns an order to a specific table.")</f>
        <v>When an administrator, cashier or server assigns an order to a specific table.</v>
      </c>
      <c r="H70" s="4" t="str">
        <f>IFERROR(__xludf.DUMMYFUNCTION("GOOGLETRANSLATE(ES!H70,""es"",""en"")"),"Table Detail Screen")</f>
        <v>Table Detail Screen</v>
      </c>
    </row>
    <row r="71">
      <c r="A71" s="4" t="str">
        <f>IFERROR(__xludf.DUMMYFUNCTION("GOOGLETRANSLATE(ES!A71,""es"",""en"")"),"E070")</f>
        <v>E070</v>
      </c>
      <c r="B71" s="6"/>
      <c r="C71" s="4" t="str">
        <f>IFERROR(__xludf.DUMMYFUNCTION("GOOGLETRANSLATE(ES!C71,""es"",""en"")"),"Error when Assigning Order to Table")</f>
        <v>Error when Assigning Order to Table</v>
      </c>
      <c r="D71" s="4" t="str">
        <f>IFERROR(__xludf.DUMMYFUNCTION("GOOGLETRANSLATE(ES!D71,""es"",""en"")"),"Alert")</f>
        <v>Alert</v>
      </c>
      <c r="E71" s="4" t="str">
        <f>IFERROR(__xludf.DUMMYFUNCTION("GOOGLETRANSLATE(ES!E71,""es"",""en"")"),"The order could not be assigned to the table. Please verify the information and try again.")</f>
        <v>The order could not be assigned to the table. Please verify the information and try again.</v>
      </c>
      <c r="F71" s="4"/>
      <c r="G71" s="4" t="str">
        <f>IFERROR(__xludf.DUMMYFUNCTION("GOOGLETRANSLATE(ES!G71,""es"",""en"")"),"When an error occurs when trying to assign an order to a table, such as connection problems or incorrect data.")</f>
        <v>When an error occurs when trying to assign an order to a table, such as connection problems or incorrect data.</v>
      </c>
      <c r="H71" s="4" t="str">
        <f>IFERROR(__xludf.DUMMYFUNCTION("GOOGLETRANSLATE(ES!H71,""es"",""en"")"),"Table Management Screen")</f>
        <v>Table Management Screen</v>
      </c>
    </row>
    <row r="72">
      <c r="A72" s="4" t="str">
        <f>IFERROR(__xludf.DUMMYFUNCTION("GOOGLETRANSLATE(ES!A72,""es"",""en"")"),"E071")</f>
        <v>E071</v>
      </c>
      <c r="B72" s="6"/>
      <c r="C72" s="4" t="str">
        <f>IFERROR(__xludf.DUMMYFUNCTION("GOOGLETRANSLATE(ES!C72,""es"",""en"")"),"Released Table")</f>
        <v>Released Table</v>
      </c>
      <c r="D72" s="4" t="str">
        <f>IFERROR(__xludf.DUMMYFUNCTION("GOOGLETRANSLATE(ES!D72,""es"",""en"")"),"Notification")</f>
        <v>Notification</v>
      </c>
      <c r="E72" s="4" t="str">
        <f>IFERROR(__xludf.DUMMYFUNCTION("GOOGLETRANSLATE(ES!E72,""es"",""en"")"),"Table [Table Number] has been released and is available for new orders.")</f>
        <v>Table [Table Number] has been released and is available for new orders.</v>
      </c>
      <c r="F72" s="4"/>
      <c r="G72" s="4" t="str">
        <f>IFERROR(__xludf.DUMMYFUNCTION("GOOGLETRANSLATE(ES!G72,""es"",""en"")"),"When a manager, cashier, or waiter releases a table after completing an order.")</f>
        <v>When a manager, cashier, or waiter releases a table after completing an order.</v>
      </c>
      <c r="H72" s="4" t="str">
        <f>IFERROR(__xludf.DUMMYFUNCTION("GOOGLETRANSLATE(ES!H72,""es"",""en"")"),"Table Management Screen")</f>
        <v>Table Management Screen</v>
      </c>
    </row>
    <row r="73">
      <c r="A73" s="4" t="str">
        <f>IFERROR(__xludf.DUMMYFUNCTION("GOOGLETRANSLATE(ES!A73,""es"",""en"")"),"E072")</f>
        <v>E072</v>
      </c>
      <c r="B73" s="7"/>
      <c r="C73" s="4" t="str">
        <f>IFERROR(__xludf.DUMMYFUNCTION("GOOGLETRANSLATE(ES!C73,""es"",""en"")"),"Error when releasing table")</f>
        <v>Error when releasing table</v>
      </c>
      <c r="D73" s="4" t="str">
        <f>IFERROR(__xludf.DUMMYFUNCTION("GOOGLETRANSLATE(ES!D73,""es"",""en"")"),"Alert")</f>
        <v>Alert</v>
      </c>
      <c r="E73" s="4" t="str">
        <f>IFERROR(__xludf.DUMMYFUNCTION("GOOGLETRANSLATE(ES!E73,""es"",""en"")"),"Could not free the table. Check if the order is closed or if there are connection problems and try again.")</f>
        <v>Could not free the table. Check if the order is closed or if there are connection problems and try again.</v>
      </c>
      <c r="F73" s="4"/>
      <c r="G73" s="4" t="str">
        <f>IFERROR(__xludf.DUMMYFUNCTION("GOOGLETRANSLATE(ES!G73,""es"",""en"")"),"When an error occurs when trying to release a table, such as if the order has not been closed or connection problems.")</f>
        <v>When an error occurs when trying to release a table, such as if the order has not been closed or connection problems.</v>
      </c>
      <c r="H73" s="4" t="str">
        <f>IFERROR(__xludf.DUMMYFUNCTION("GOOGLETRANSLATE(ES!H73,""es"",""en"")"),"Table Management Screen")</f>
        <v>Table Management Screen</v>
      </c>
    </row>
    <row r="74">
      <c r="A74" s="4" t="str">
        <f>IFERROR(__xludf.DUMMYFUNCTION("GOOGLETRANSLATE(ES!A74,""es"",""en"")"),"E073")</f>
        <v>E073</v>
      </c>
      <c r="B74" s="5" t="s">
        <v>8</v>
      </c>
      <c r="C74" s="4" t="str">
        <f>IFERROR(__xludf.DUMMYFUNCTION("GOOGLETRANSLATE(ES!C74,""es"",""en"")"),"Created Menu")</f>
        <v>Created Menu</v>
      </c>
      <c r="D74" s="4" t="str">
        <f>IFERROR(__xludf.DUMMYFUNCTION("GOOGLETRANSLATE(ES!D74,""es"",""en"")"),"Notification")</f>
        <v>Notification</v>
      </c>
      <c r="E74" s="4" t="str">
        <f>IFERROR(__xludf.DUMMYFUNCTION("GOOGLETRANSLATE(ES!E74,""es"",""en"")"),"The menu [Menu Name] has been created successfully.")</f>
        <v>The menu [Menu Name] has been created successfully.</v>
      </c>
      <c r="F74" s="4"/>
      <c r="G74" s="4" t="str">
        <f>IFERROR(__xludf.DUMMYFUNCTION("GOOGLETRANSLATE(ES!G74,""es"",""en"")"),"When an administrator or cashier creates a new menu in the system.")</f>
        <v>When an administrator or cashier creates a new menu in the system.</v>
      </c>
      <c r="H74" s="4" t="str">
        <f>IFERROR(__xludf.DUMMYFUNCTION("GOOGLETRANSLATE(ES!H74,""es"",""en"")"),"Digital Menu Management Screen")</f>
        <v>Digital Menu Management Screen</v>
      </c>
    </row>
    <row r="75">
      <c r="A75" s="4" t="str">
        <f>IFERROR(__xludf.DUMMYFUNCTION("GOOGLETRANSLATE(ES!A75,""es"",""en"")"),"E074")</f>
        <v>E074</v>
      </c>
      <c r="B75" s="6"/>
      <c r="C75" s="4" t="str">
        <f>IFERROR(__xludf.DUMMYFUNCTION("GOOGLETRANSLATE(ES!C75,""es"",""en"")"),"Error creating menu")</f>
        <v>Error creating menu</v>
      </c>
      <c r="D75" s="4" t="str">
        <f>IFERROR(__xludf.DUMMYFUNCTION("GOOGLETRANSLATE(ES!D75,""es"",""en"")"),"Alert")</f>
        <v>Alert</v>
      </c>
      <c r="E75" s="4" t="str">
        <f>IFERROR(__xludf.DUMMYFUNCTION("GOOGLETRANSLATE(ES!E75,""es"",""en"")"),"The menu could not be created. Please verify the information entered and try again.")</f>
        <v>The menu could not be created. Please verify the information entered and try again.</v>
      </c>
      <c r="F75" s="4"/>
      <c r="G75" s="4" t="str">
        <f>IFERROR(__xludf.DUMMYFUNCTION("GOOGLETRANSLATE(ES!G75,""es"",""en"")"),"When an error occurs when trying to create a menu, such as leaving required fields blank or connection problems.")</f>
        <v>When an error occurs when trying to create a menu, such as leaving required fields blank or connection problems.</v>
      </c>
      <c r="H75" s="4" t="str">
        <f>IFERROR(__xludf.DUMMYFUNCTION("GOOGLETRANSLATE(ES!H75,""es"",""en"")"),"Menu Creation Screen")</f>
        <v>Menu Creation Screen</v>
      </c>
    </row>
    <row r="76">
      <c r="A76" s="4" t="str">
        <f>IFERROR(__xludf.DUMMYFUNCTION("GOOGLETRANSLATE(ES!A76,""es"",""en"")"),"E075")</f>
        <v>E075</v>
      </c>
      <c r="B76" s="6"/>
      <c r="C76" s="4" t="str">
        <f>IFERROR(__xludf.DUMMYFUNCTION("GOOGLETRANSLATE(ES!C76,""es"",""en"")"),"Edited Menu")</f>
        <v>Edited Menu</v>
      </c>
      <c r="D76" s="4" t="str">
        <f>IFERROR(__xludf.DUMMYFUNCTION("GOOGLETRANSLATE(ES!D76,""es"",""en"")"),"Notification")</f>
        <v>Notification</v>
      </c>
      <c r="E76" s="4" t="str">
        <f>IFERROR(__xludf.DUMMYFUNCTION("GOOGLETRANSLATE(ES!E76,""es"",""en"")"),"The [Menu Name] menu has been updated successfully.")</f>
        <v>The [Menu Name] menu has been updated successfully.</v>
      </c>
      <c r="F76" s="4"/>
      <c r="G76" s="4" t="str">
        <f>IFERROR(__xludf.DUMMYFUNCTION("GOOGLETRANSLATE(ES!G76,""es"",""en"")"),"When an administrator or cashier edits an existing menu in the system.")</f>
        <v>When an administrator or cashier edits an existing menu in the system.</v>
      </c>
      <c r="H76" s="4" t="str">
        <f>IFERROR(__xludf.DUMMYFUNCTION("GOOGLETRANSLATE(ES!H76,""es"",""en"")"),"Digital Menu Management Screen")</f>
        <v>Digital Menu Management Screen</v>
      </c>
    </row>
    <row r="77">
      <c r="A77" s="4" t="str">
        <f>IFERROR(__xludf.DUMMYFUNCTION("GOOGLETRANSLATE(ES!A77,""es"",""en"")"),"E076")</f>
        <v>E076</v>
      </c>
      <c r="B77" s="6"/>
      <c r="C77" s="4" t="str">
        <f>IFERROR(__xludf.DUMMYFUNCTION("GOOGLETRANSLATE(ES!C77,""es"",""en"")"),"Error editing menu")</f>
        <v>Error editing menu</v>
      </c>
      <c r="D77" s="4" t="str">
        <f>IFERROR(__xludf.DUMMYFUNCTION("GOOGLETRANSLATE(ES!D77,""es"",""en"")"),"Alert")</f>
        <v>Alert</v>
      </c>
      <c r="E77" s="4" t="str">
        <f>IFERROR(__xludf.DUMMYFUNCTION("GOOGLETRANSLATE(ES!E77,""es"",""en"")"),"Could not update menu. Please verify the information entered and try again.")</f>
        <v>Could not update menu. Please verify the information entered and try again.</v>
      </c>
      <c r="F77" s="4"/>
      <c r="G77" s="4" t="str">
        <f>IFERROR(__xludf.DUMMYFUNCTION("GOOGLETRANSLATE(ES!G77,""es"",""en"")"),"When an error occurs when trying to edit a menu, such as missing data or connection problems.")</f>
        <v>When an error occurs when trying to edit a menu, such as missing data or connection problems.</v>
      </c>
      <c r="H77" s="4" t="str">
        <f>IFERROR(__xludf.DUMMYFUNCTION("GOOGLETRANSLATE(ES!H77,""es"",""en"")"),"Menu Edit Screen")</f>
        <v>Menu Edit Screen</v>
      </c>
    </row>
    <row r="78">
      <c r="A78" s="4" t="str">
        <f>IFERROR(__xludf.DUMMYFUNCTION("GOOGLETRANSLATE(ES!A78,""es"",""en"")"),"E077")</f>
        <v>E077</v>
      </c>
      <c r="B78" s="6"/>
      <c r="C78" s="4" t="str">
        <f>IFERROR(__xludf.DUMMYFUNCTION("GOOGLETRANSLATE(ES!C78,""es"",""en"")"),"Removed Menu")</f>
        <v>Removed Menu</v>
      </c>
      <c r="D78" s="4" t="str">
        <f>IFERROR(__xludf.DUMMYFUNCTION("GOOGLETRANSLATE(ES!D78,""es"",""en"")"),"Notification")</f>
        <v>Notification</v>
      </c>
      <c r="E78" s="4" t="str">
        <f>IFERROR(__xludf.DUMMYFUNCTION("GOOGLETRANSLATE(ES!E78,""es"",""en"")"),"The [Menu Name] menu has been removed from the system.")</f>
        <v>The [Menu Name] menu has been removed from the system.</v>
      </c>
      <c r="F78" s="4"/>
      <c r="G78" s="4" t="str">
        <f>IFERROR(__xludf.DUMMYFUNCTION("GOOGLETRANSLATE(ES!G78,""es"",""en"")"),"When an administrator deletes a menu from the system.")</f>
        <v>When an administrator deletes a menu from the system.</v>
      </c>
      <c r="H78" s="4" t="str">
        <f>IFERROR(__xludf.DUMMYFUNCTION("GOOGLETRANSLATE(ES!H78,""es"",""en"")"),"Digital Menu Management Screen")</f>
        <v>Digital Menu Management Screen</v>
      </c>
    </row>
    <row r="79">
      <c r="A79" s="4" t="str">
        <f>IFERROR(__xludf.DUMMYFUNCTION("GOOGLETRANSLATE(ES!A79,""es"",""en"")"),"E078")</f>
        <v>E078</v>
      </c>
      <c r="B79" s="6"/>
      <c r="C79" s="4" t="str">
        <f>IFERROR(__xludf.DUMMYFUNCTION("GOOGLETRANSLATE(ES!C79,""es"",""en"")"),"Menu Delete Error")</f>
        <v>Menu Delete Error</v>
      </c>
      <c r="D79" s="4" t="str">
        <f>IFERROR(__xludf.DUMMYFUNCTION("GOOGLETRANSLATE(ES!D79,""es"",""en"")"),"Alert")</f>
        <v>Alert</v>
      </c>
      <c r="E79" s="4" t="str">
        <f>IFERROR(__xludf.DUMMYFUNCTION("GOOGLETRANSLATE(ES!E79,""es"",""en"")"),"Could not delete menu. Check if the menu is associated with other records and try again.")</f>
        <v>Could not delete menu. Check if the menu is associated with other records and try again.</v>
      </c>
      <c r="F79" s="4"/>
      <c r="G79" s="4" t="str">
        <f>IFERROR(__xludf.DUMMYFUNCTION("GOOGLETRANSLATE(ES!G79,""es"",""en"")"),"When an error occurs when trying to delete a menu, such as data integrity rules preventing deletion.")</f>
        <v>When an error occurs when trying to delete a menu, such as data integrity rules preventing deletion.</v>
      </c>
      <c r="H79" s="4" t="str">
        <f>IFERROR(__xludf.DUMMYFUNCTION("GOOGLETRANSLATE(ES!H79,""es"",""en"")"),"Digital Menu Management Screen")</f>
        <v>Digital Menu Management Screen</v>
      </c>
    </row>
    <row r="80">
      <c r="A80" s="4" t="str">
        <f>IFERROR(__xludf.DUMMYFUNCTION("GOOGLETRANSLATE(ES!A80,""es"",""en"")"),"E079")</f>
        <v>E079</v>
      </c>
      <c r="B80" s="6"/>
      <c r="C80" s="4" t="str">
        <f>IFERROR(__xludf.DUMMYFUNCTION("GOOGLETRANSLATE(ES!C80,""es"",""en"")"),"Item Added to Menu")</f>
        <v>Item Added to Menu</v>
      </c>
      <c r="D80" s="4" t="str">
        <f>IFERROR(__xludf.DUMMYFUNCTION("GOOGLETRANSLATE(ES!D80,""es"",""en"")"),"Notification")</f>
        <v>Notification</v>
      </c>
      <c r="E80" s="4" t="str">
        <f>IFERROR(__xludf.DUMMYFUNCTION("GOOGLETRANSLATE(ES!E80,""es"",""en"")"),"The item [Item Name] has been successfully added to the [Menu Name] menu.")</f>
        <v>The item [Item Name] has been successfully added to the [Menu Name] menu.</v>
      </c>
      <c r="F80" s="4"/>
      <c r="G80" s="4" t="str">
        <f>IFERROR(__xludf.DUMMYFUNCTION("GOOGLETRANSLATE(ES!G80,""es"",""en"")"),"When a manager or cashier adds an item to an existing menu.")</f>
        <v>When a manager or cashier adds an item to an existing menu.</v>
      </c>
      <c r="H80" s="4" t="str">
        <f>IFERROR(__xludf.DUMMYFUNCTION("GOOGLETRANSLATE(ES!H80,""es"",""en"")"),"Digital Menu Management Screen")</f>
        <v>Digital Menu Management Screen</v>
      </c>
    </row>
    <row r="81">
      <c r="A81" s="4" t="str">
        <f>IFERROR(__xludf.DUMMYFUNCTION("GOOGLETRANSLATE(ES!A81,""es"",""en"")"),"E080")</f>
        <v>E080</v>
      </c>
      <c r="B81" s="6"/>
      <c r="C81" s="4" t="str">
        <f>IFERROR(__xludf.DUMMYFUNCTION("GOOGLETRANSLATE(ES!C81,""es"",""en"")"),"Error Adding Item to Menu")</f>
        <v>Error Adding Item to Menu</v>
      </c>
      <c r="D81" s="4" t="str">
        <f>IFERROR(__xludf.DUMMYFUNCTION("GOOGLETRANSLATE(ES!D81,""es"",""en"")"),"Alert")</f>
        <v>Alert</v>
      </c>
      <c r="E81" s="4" t="str">
        <f>IFERROR(__xludf.DUMMYFUNCTION("GOOGLETRANSLATE(ES!E81,""es"",""en"")"),"Could not add item to menu. Please verify the information entered and try again.")</f>
        <v>Could not add item to menu. Please verify the information entered and try again.</v>
      </c>
      <c r="F81" s="4"/>
      <c r="G81" s="4" t="str">
        <f>IFERROR(__xludf.DUMMYFUNCTION("GOOGLETRANSLATE(ES!G81,""es"",""en"")"),"When an error occurs when trying to add an item to a menu, such as connection problems or incorrect data.")</f>
        <v>When an error occurs when trying to add an item to a menu, such as connection problems or incorrect data.</v>
      </c>
      <c r="H81" s="4" t="str">
        <f>IFERROR(__xludf.DUMMYFUNCTION("GOOGLETRANSLATE(ES!H81,""es"",""en"")"),"Digital Menu Management Screen")</f>
        <v>Digital Menu Management Screen</v>
      </c>
    </row>
    <row r="82">
      <c r="A82" s="4" t="str">
        <f>IFERROR(__xludf.DUMMYFUNCTION("GOOGLETRANSLATE(ES!A82,""es"",""en"")"),"E081")</f>
        <v>E081</v>
      </c>
      <c r="B82" s="6"/>
      <c r="C82" s="4" t="str">
        <f>IFERROR(__xludf.DUMMYFUNCTION("GOOGLETRANSLATE(ES!C82,""es"",""en"")"),"Item Removed from Menu")</f>
        <v>Item Removed from Menu</v>
      </c>
      <c r="D82" s="4" t="str">
        <f>IFERROR(__xludf.DUMMYFUNCTION("GOOGLETRANSLATE(ES!D82,""es"",""en"")"),"Notification")</f>
        <v>Notification</v>
      </c>
      <c r="E82" s="4" t="str">
        <f>IFERROR(__xludf.DUMMYFUNCTION("GOOGLETRANSLATE(ES!E82,""es"",""en"")"),"The item [Item Name] has been successfully removed from the [Menu Name] menu.")</f>
        <v>The item [Item Name] has been successfully removed from the [Menu Name] menu.</v>
      </c>
      <c r="F82" s="4"/>
      <c r="G82" s="4" t="str">
        <f>IFERROR(__xludf.DUMMYFUNCTION("GOOGLETRANSLATE(ES!G82,""es"",""en"")"),"When a manager or cashier removes an item from an existing menu.")</f>
        <v>When a manager or cashier removes an item from an existing menu.</v>
      </c>
      <c r="H82" s="4" t="str">
        <f>IFERROR(__xludf.DUMMYFUNCTION("GOOGLETRANSLATE(ES!H82,""es"",""en"")"),"Digital Menu Management Screen")</f>
        <v>Digital Menu Management Screen</v>
      </c>
    </row>
    <row r="83">
      <c r="A83" s="4" t="str">
        <f>IFERROR(__xludf.DUMMYFUNCTION("GOOGLETRANSLATE(ES!A83,""es"",""en"")"),"E082")</f>
        <v>E082</v>
      </c>
      <c r="B83" s="7"/>
      <c r="C83" s="4" t="str">
        <f>IFERROR(__xludf.DUMMYFUNCTION("GOOGLETRANSLATE(ES!C83,""es"",""en"")"),"Error Deleting Menu Item")</f>
        <v>Error Deleting Menu Item</v>
      </c>
      <c r="D83" s="4" t="str">
        <f>IFERROR(__xludf.DUMMYFUNCTION("GOOGLETRANSLATE(ES!D83,""es"",""en"")"),"Alert")</f>
        <v>Alert</v>
      </c>
      <c r="E83" s="4" t="str">
        <f>IFERROR(__xludf.DUMMYFUNCTION("GOOGLETRANSLATE(ES!E83,""es"",""en"")"),"Could not remove menu item. Please verify the information and try again.")</f>
        <v>Could not remove menu item. Please verify the information and try again.</v>
      </c>
      <c r="F83" s="4"/>
      <c r="G83" s="4" t="str">
        <f>IFERROR(__xludf.DUMMYFUNCTION("GOOGLETRANSLATE(ES!G83,""es"",""en"")"),"When an error occurs when trying to delete an item from a menu, such as connection problems or system restrictions.")</f>
        <v>When an error occurs when trying to delete an item from a menu, such as connection problems or system restrictions.</v>
      </c>
      <c r="H83" s="4" t="str">
        <f>IFERROR(__xludf.DUMMYFUNCTION("GOOGLETRANSLATE(ES!H83,""es"",""en"")"),"Digital Menu Management Screen")</f>
        <v>Digital Menu Management Screen</v>
      </c>
    </row>
    <row r="84">
      <c r="A84" s="4" t="str">
        <f>IFERROR(__xludf.DUMMYFUNCTION("GOOGLETRANSLATE(ES!A84,""es"",""en"")"),"E083")</f>
        <v>E083</v>
      </c>
      <c r="B84" s="5" t="s">
        <v>9</v>
      </c>
      <c r="C84" s="4" t="str">
        <f>IFERROR(__xludf.DUMMYFUNCTION("GOOGLETRANSLATE(ES!C84,""es"",""en"")"),"Production Center Created")</f>
        <v>Production Center Created</v>
      </c>
      <c r="D84" s="4" t="str">
        <f>IFERROR(__xludf.DUMMYFUNCTION("GOOGLETRANSLATE(ES!D84,""es"",""en"")"),"Notification")</f>
        <v>Notification</v>
      </c>
      <c r="E84" s="4" t="str">
        <f>IFERROR(__xludf.DUMMYFUNCTION("GOOGLETRANSLATE(ES!E84,""es"",""en"")"),"The production center [Name of Center] has been successfully created.")</f>
        <v>The production center [Name of Center] has been successfully created.</v>
      </c>
      <c r="F84" s="4"/>
      <c r="G84" s="4" t="str">
        <f>IFERROR(__xludf.DUMMYFUNCTION("GOOGLETRANSLATE(ES!G84,""es"",""en"")"),"When an administrator creates a new production center in the system.")</f>
        <v>When an administrator creates a new production center in the system.</v>
      </c>
      <c r="H84" s="4" t="str">
        <f>IFERROR(__xludf.DUMMYFUNCTION("GOOGLETRANSLATE(ES!H84,""es"",""en"")"),"Production Center Management Screen")</f>
        <v>Production Center Management Screen</v>
      </c>
    </row>
    <row r="85">
      <c r="A85" s="4" t="str">
        <f>IFERROR(__xludf.DUMMYFUNCTION("GOOGLETRANSLATE(ES!A85,""es"",""en"")"),"E084")</f>
        <v>E084</v>
      </c>
      <c r="B85" s="6"/>
      <c r="C85" s="4" t="str">
        <f>IFERROR(__xludf.DUMMYFUNCTION("GOOGLETRANSLATE(ES!C85,""es"",""en"")"),"Error when Creating Production Center")</f>
        <v>Error when Creating Production Center</v>
      </c>
      <c r="D85" s="4" t="str">
        <f>IFERROR(__xludf.DUMMYFUNCTION("GOOGLETRANSLATE(ES!D85,""es"",""en"")"),"Alert")</f>
        <v>Alert</v>
      </c>
      <c r="E85" s="4" t="str">
        <f>IFERROR(__xludf.DUMMYFUNCTION("GOOGLETRANSLATE(ES!E85,""es"",""en"")"),"The production center could not be created. Please verify the information entered and try again.")</f>
        <v>The production center could not be created. Please verify the information entered and try again.</v>
      </c>
      <c r="F85" s="4"/>
      <c r="G85" s="4" t="str">
        <f>IFERROR(__xludf.DUMMYFUNCTION("GOOGLETRANSLATE(ES!G85,""es"",""en"")"),"When an error occurs when trying to create a production center, such as leaving required fields blank or connection problems.")</f>
        <v>When an error occurs when trying to create a production center, such as leaving required fields blank or connection problems.</v>
      </c>
      <c r="H85" s="4" t="str">
        <f>IFERROR(__xludf.DUMMYFUNCTION("GOOGLETRANSLATE(ES!H85,""es"",""en"")"),"Production Center Creation Screen")</f>
        <v>Production Center Creation Screen</v>
      </c>
    </row>
    <row r="86">
      <c r="A86" s="4" t="str">
        <f>IFERROR(__xludf.DUMMYFUNCTION("GOOGLETRANSLATE(ES!A86,""es"",""en"")"),"E085")</f>
        <v>E085</v>
      </c>
      <c r="B86" s="6"/>
      <c r="C86" s="4" t="str">
        <f>IFERROR(__xludf.DUMMYFUNCTION("GOOGLETRANSLATE(ES!C86,""es"",""en"")"),"Edited Production Center")</f>
        <v>Edited Production Center</v>
      </c>
      <c r="D86" s="4" t="str">
        <f>IFERROR(__xludf.DUMMYFUNCTION("GOOGLETRANSLATE(ES!D86,""es"",""en"")"),"Notification")</f>
        <v>Notification</v>
      </c>
      <c r="E86" s="4" t="str">
        <f>IFERROR(__xludf.DUMMYFUNCTION("GOOGLETRANSLATE(ES!E86,""es"",""en"")"),"The production center [Name of Center] has been successfully updated.")</f>
        <v>The production center [Name of Center] has been successfully updated.</v>
      </c>
      <c r="F86" s="4"/>
      <c r="G86" s="4" t="str">
        <f>IFERROR(__xludf.DUMMYFUNCTION("GOOGLETRANSLATE(ES!G86,""es"",""en"")"),"When an administrator edits an existing production center in the system.")</f>
        <v>When an administrator edits an existing production center in the system.</v>
      </c>
      <c r="H86" s="4" t="str">
        <f>IFERROR(__xludf.DUMMYFUNCTION("GOOGLETRANSLATE(ES!H86,""es"",""en"")"),"Production Center Management Screen")</f>
        <v>Production Center Management Screen</v>
      </c>
    </row>
    <row r="87">
      <c r="A87" s="4" t="str">
        <f>IFERROR(__xludf.DUMMYFUNCTION("GOOGLETRANSLATE(ES!A87,""es"",""en"")"),"E086")</f>
        <v>E086</v>
      </c>
      <c r="B87" s="6"/>
      <c r="C87" s="4" t="str">
        <f>IFERROR(__xludf.DUMMYFUNCTION("GOOGLETRANSLATE(ES!C87,""es"",""en"")"),"Error when Editing Production Center")</f>
        <v>Error when Editing Production Center</v>
      </c>
      <c r="D87" s="4" t="str">
        <f>IFERROR(__xludf.DUMMYFUNCTION("GOOGLETRANSLATE(ES!D87,""es"",""en"")"),"Alert")</f>
        <v>Alert</v>
      </c>
      <c r="E87" s="4" t="str">
        <f>IFERROR(__xludf.DUMMYFUNCTION("GOOGLETRANSLATE(ES!E87,""es"",""en"")"),"The production center could not be updated. Please verify the information entered and try again.")</f>
        <v>The production center could not be updated. Please verify the information entered and try again.</v>
      </c>
      <c r="F87" s="4"/>
      <c r="G87" s="4" t="str">
        <f>IFERROR(__xludf.DUMMYFUNCTION("GOOGLETRANSLATE(ES!G87,""es"",""en"")"),"When an error occurs when trying to edit a production site, such as missing data or connection problems.")</f>
        <v>When an error occurs when trying to edit a production site, such as missing data or connection problems.</v>
      </c>
      <c r="H87" s="4" t="str">
        <f>IFERROR(__xludf.DUMMYFUNCTION("GOOGLETRANSLATE(ES!H87,""es"",""en"")"),"Production Center Edit Screen")</f>
        <v>Production Center Edit Screen</v>
      </c>
    </row>
    <row r="88">
      <c r="A88" s="4" t="str">
        <f>IFERROR(__xludf.DUMMYFUNCTION("GOOGLETRANSLATE(ES!A88,""es"",""en"")"),"E087")</f>
        <v>E087</v>
      </c>
      <c r="B88" s="6"/>
      <c r="C88" s="4" t="str">
        <f>IFERROR(__xludf.DUMMYFUNCTION("GOOGLETRANSLATE(ES!C88,""es"",""en"")"),"Production Center Eliminated")</f>
        <v>Production Center Eliminated</v>
      </c>
      <c r="D88" s="4" t="str">
        <f>IFERROR(__xludf.DUMMYFUNCTION("GOOGLETRANSLATE(ES!D88,""es"",""en"")"),"Notification")</f>
        <v>Notification</v>
      </c>
      <c r="E88" s="4" t="str">
        <f>IFERROR(__xludf.DUMMYFUNCTION("GOOGLETRANSLATE(ES!E88,""es"",""en"")"),"The production center [Name of Center] has been deleted from the system.")</f>
        <v>The production center [Name of Center] has been deleted from the system.</v>
      </c>
      <c r="F88" s="4"/>
      <c r="G88" s="4" t="str">
        <f>IFERROR(__xludf.DUMMYFUNCTION("GOOGLETRANSLATE(ES!G88,""es"",""en"")"),"When an administrator deletes a production center from the system.")</f>
        <v>When an administrator deletes a production center from the system.</v>
      </c>
      <c r="H88" s="4" t="str">
        <f>IFERROR(__xludf.DUMMYFUNCTION("GOOGLETRANSLATE(ES!H88,""es"",""en"")"),"Production Center Management Screen")</f>
        <v>Production Center Management Screen</v>
      </c>
    </row>
    <row r="89">
      <c r="A89" s="4" t="str">
        <f>IFERROR(__xludf.DUMMYFUNCTION("GOOGLETRANSLATE(ES!A89,""es"",""en"")"),"E088")</f>
        <v>E088</v>
      </c>
      <c r="B89" s="6"/>
      <c r="C89" s="4" t="str">
        <f>IFERROR(__xludf.DUMMYFUNCTION("GOOGLETRANSLATE(ES!C89,""es"",""en"")"),"Error when deleting production center")</f>
        <v>Error when deleting production center</v>
      </c>
      <c r="D89" s="4" t="str">
        <f>IFERROR(__xludf.DUMMYFUNCTION("GOOGLETRANSLATE(ES!D89,""es"",""en"")"),"Alert")</f>
        <v>Alert</v>
      </c>
      <c r="E89" s="4" t="str">
        <f>IFERROR(__xludf.DUMMYFUNCTION("GOOGLETRANSLATE(ES!E89,""es"",""en"")"),"The production center could not be deleted. Check if the center is associated with other records and try again.")</f>
        <v>The production center could not be deleted. Check if the center is associated with other records and try again.</v>
      </c>
      <c r="F89" s="4"/>
      <c r="G89" s="4" t="str">
        <f>IFERROR(__xludf.DUMMYFUNCTION("GOOGLETRANSLATE(ES!G89,""es"",""en"")"),"When an error occurs when trying to delete a production center, such as data integrity rules preventing the deletion.")</f>
        <v>When an error occurs when trying to delete a production center, such as data integrity rules preventing the deletion.</v>
      </c>
      <c r="H89" s="4" t="str">
        <f>IFERROR(__xludf.DUMMYFUNCTION("GOOGLETRANSLATE(ES!H89,""es"",""en"")"),"Production Center Management Screen")</f>
        <v>Production Center Management Screen</v>
      </c>
    </row>
    <row r="90">
      <c r="A90" s="4" t="str">
        <f>IFERROR(__xludf.DUMMYFUNCTION("GOOGLETRANSLATE(ES!A90,""es"",""en"")"),"E089")</f>
        <v>E089</v>
      </c>
      <c r="B90" s="6"/>
      <c r="C90" s="4" t="str">
        <f>IFERROR(__xludf.DUMMYFUNCTION("GOOGLETRANSLATE(ES!C90,""es"",""en"")"),"Item Added to Production Center")</f>
        <v>Item Added to Production Center</v>
      </c>
      <c r="D90" s="4" t="str">
        <f>IFERROR(__xludf.DUMMYFUNCTION("GOOGLETRANSLATE(ES!D90,""es"",""en"")"),"Notification")</f>
        <v>Notification</v>
      </c>
      <c r="E90" s="4" t="str">
        <f>IFERROR(__xludf.DUMMYFUNCTION("GOOGLETRANSLATE(ES!E90,""es"",""en"")"),"The item [Item Name] has been successfully added to the production center [Name of Center].")</f>
        <v>The item [Item Name] has been successfully added to the production center [Name of Center].</v>
      </c>
      <c r="F90" s="4"/>
      <c r="G90" s="4" t="str">
        <f>IFERROR(__xludf.DUMMYFUNCTION("GOOGLETRANSLATE(ES!G90,""es"",""en"")"),"When an administrator adds an item to an existing production facility.")</f>
        <v>When an administrator adds an item to an existing production facility.</v>
      </c>
      <c r="H90" s="4" t="str">
        <f>IFERROR(__xludf.DUMMYFUNCTION("GOOGLETRANSLATE(ES!H90,""es"",""en"")"),"Production Center Management Screen")</f>
        <v>Production Center Management Screen</v>
      </c>
    </row>
    <row r="91">
      <c r="A91" s="4" t="str">
        <f>IFERROR(__xludf.DUMMYFUNCTION("GOOGLETRANSLATE(ES!A91,""es"",""en"")"),"E090")</f>
        <v>E090</v>
      </c>
      <c r="B91" s="6"/>
      <c r="C91" s="4" t="str">
        <f>IFERROR(__xludf.DUMMYFUNCTION("GOOGLETRANSLATE(ES!C91,""es"",""en"")"),"Error when Adding Item to Production Center")</f>
        <v>Error when Adding Item to Production Center</v>
      </c>
      <c r="D91" s="4" t="str">
        <f>IFERROR(__xludf.DUMMYFUNCTION("GOOGLETRANSLATE(ES!D91,""es"",""en"")"),"Alert")</f>
        <v>Alert</v>
      </c>
      <c r="E91" s="4" t="str">
        <f>IFERROR(__xludf.DUMMYFUNCTION("GOOGLETRANSLATE(ES!E91,""es"",""en"")"),"The item could not be added to the production plant. Please verify the information entered and try again.")</f>
        <v>The item could not be added to the production plant. Please verify the information entered and try again.</v>
      </c>
      <c r="F91" s="4"/>
      <c r="G91" s="4" t="str">
        <f>IFERROR(__xludf.DUMMYFUNCTION("GOOGLETRANSLATE(ES!G91,""es"",""en"")"),"When an error occurs when trying to add an item to a production site, such as connection problems or incorrect data.")</f>
        <v>When an error occurs when trying to add an item to a production site, such as connection problems or incorrect data.</v>
      </c>
      <c r="H91" s="4" t="str">
        <f>IFERROR(__xludf.DUMMYFUNCTION("GOOGLETRANSLATE(ES!H91,""es"",""en"")"),"Production Center Management Screen")</f>
        <v>Production Center Management Screen</v>
      </c>
    </row>
    <row r="92">
      <c r="A92" s="4" t="str">
        <f>IFERROR(__xludf.DUMMYFUNCTION("GOOGLETRANSLATE(ES!A92,""es"",""en"")"),"E091")</f>
        <v>E091</v>
      </c>
      <c r="B92" s="6"/>
      <c r="C92" s="4" t="str">
        <f>IFERROR(__xludf.DUMMYFUNCTION("GOOGLETRANSLATE(ES!C92,""es"",""en"")"),"Item Removed from Production Center")</f>
        <v>Item Removed from Production Center</v>
      </c>
      <c r="D92" s="4" t="str">
        <f>IFERROR(__xludf.DUMMYFUNCTION("GOOGLETRANSLATE(ES!D92,""es"",""en"")"),"Notification")</f>
        <v>Notification</v>
      </c>
      <c r="E92" s="4" t="str">
        <f>IFERROR(__xludf.DUMMYFUNCTION("GOOGLETRANSLATE(ES!E92,""es"",""en"")"),"Item [Item Name] has been successfully removed from production facility [Factory Name].")</f>
        <v>Item [Item Name] has been successfully removed from production facility [Factory Name].</v>
      </c>
      <c r="F92" s="4"/>
      <c r="G92" s="4" t="str">
        <f>IFERROR(__xludf.DUMMYFUNCTION("GOOGLETRANSLATE(ES!G92,""es"",""en"")"),"When an administrator deletes an item from an existing production plant.")</f>
        <v>When an administrator deletes an item from an existing production plant.</v>
      </c>
      <c r="H92" s="4" t="str">
        <f>IFERROR(__xludf.DUMMYFUNCTION("GOOGLETRANSLATE(ES!H92,""es"",""en"")"),"Production Center Management Screen")</f>
        <v>Production Center Management Screen</v>
      </c>
    </row>
    <row r="93">
      <c r="A93" s="4" t="str">
        <f>IFERROR(__xludf.DUMMYFUNCTION("GOOGLETRANSLATE(ES!A93,""es"",""en"")"),"E092")</f>
        <v>E092</v>
      </c>
      <c r="B93" s="7"/>
      <c r="C93" s="4" t="str">
        <f>IFERROR(__xludf.DUMMYFUNCTION("GOOGLETRANSLATE(ES!C93,""es"",""en"")"),"Error Deleting Item from Production Center")</f>
        <v>Error Deleting Item from Production Center</v>
      </c>
      <c r="D93" s="4" t="str">
        <f>IFERROR(__xludf.DUMMYFUNCTION("GOOGLETRANSLATE(ES!D93,""es"",""en"")"),"Alert")</f>
        <v>Alert</v>
      </c>
      <c r="E93" s="4" t="str">
        <f>IFERROR(__xludf.DUMMYFUNCTION("GOOGLETRANSLATE(ES!E93,""es"",""en"")"),"The item could not be removed from the production plant. Please verify the information and try again.")</f>
        <v>The item could not be removed from the production plant. Please verify the information and try again.</v>
      </c>
      <c r="F93" s="4"/>
      <c r="G93" s="4" t="str">
        <f>IFERROR(__xludf.DUMMYFUNCTION("GOOGLETRANSLATE(ES!G93,""es"",""en"")"),"When an error occurs when trying to remove an item from a production site, such as connection problems or system restrictions.")</f>
        <v>When an error occurs when trying to remove an item from a production site, such as connection problems or system restrictions.</v>
      </c>
      <c r="H93" s="4" t="str">
        <f>IFERROR(__xludf.DUMMYFUNCTION("GOOGLETRANSLATE(ES!H93,""es"",""en"")"),"Production Center Management Screen")</f>
        <v>Production Center Management Screen</v>
      </c>
    </row>
    <row r="94">
      <c r="A94" s="4" t="str">
        <f>IFERROR(__xludf.DUMMYFUNCTION("GOOGLETRANSLATE(ES!A94,""es"",""en"")"),"E093")</f>
        <v>E093</v>
      </c>
      <c r="B94" s="5" t="s">
        <v>10</v>
      </c>
      <c r="C94" s="4" t="str">
        <f>IFERROR(__xludf.DUMMYFUNCTION("GOOGLETRANSLATE(ES!C94,""es"",""en"")"),"Order Assigned to KDS")</f>
        <v>Order Assigned to KDS</v>
      </c>
      <c r="D94" s="4" t="str">
        <f>IFERROR(__xludf.DUMMYFUNCTION("GOOGLETRANSLATE(ES!D94,""es"",""en"")"),"Notification")</f>
        <v>Notification</v>
      </c>
      <c r="E94" s="4" t="str">
        <f>IFERROR(__xludf.DUMMYFUNCTION("GOOGLETRANSLATE(ES!E94,""es"",""en"")"),"The order [Order Number] has been successfully assigned to the KDS of the production site [Site Name].")</f>
        <v>The order [Order Number] has been successfully assigned to the KDS of the production site [Site Name].</v>
      </c>
      <c r="F94" s="4"/>
      <c r="G94" s="4" t="str">
        <f>IFERROR(__xludf.DUMMYFUNCTION("GOOGLETRANSLATE(ES!G94,""es"",""en"")"),"When an order is automatically or manually assigned to a KDS in a production center.")</f>
        <v>When an order is automatically or manually assigned to a KDS in a production center.</v>
      </c>
      <c r="H94" s="4" t="str">
        <f>IFERROR(__xludf.DUMMYFUNCTION("GOOGLETRANSLATE(ES!H94,""es"",""en"")"),"KDS screen")</f>
        <v>KDS screen</v>
      </c>
    </row>
    <row r="95">
      <c r="A95" s="4" t="str">
        <f>IFERROR(__xludf.DUMMYFUNCTION("GOOGLETRANSLATE(ES!A95,""es"",""en"")"),"E094")</f>
        <v>E094</v>
      </c>
      <c r="B95" s="6"/>
      <c r="C95" s="4" t="str">
        <f>IFERROR(__xludf.DUMMYFUNCTION("GOOGLETRANSLATE(ES!C95,""es"",""en"")"),"Error Assigning Order to KDS")</f>
        <v>Error Assigning Order to KDS</v>
      </c>
      <c r="D95" s="4" t="str">
        <f>IFERROR(__xludf.DUMMYFUNCTION("GOOGLETRANSLATE(ES!D95,""es"",""en"")"),"Alert")</f>
        <v>Alert</v>
      </c>
      <c r="E95" s="4" t="str">
        <f>IFERROR(__xludf.DUMMYFUNCTION("GOOGLETRANSLATE(ES!E95,""es"",""en"")"),"The order [Order Number] could not be assigned to the KDS. Please verify the information and try again.")</f>
        <v>The order [Order Number] could not be assigned to the KDS. Please verify the information and try again.</v>
      </c>
      <c r="F95" s="4"/>
      <c r="G95" s="4" t="str">
        <f>IFERROR(__xludf.DUMMYFUNCTION("GOOGLETRANSLATE(ES!G95,""es"",""en"")"),"When an error occurs when trying to assign an order to a KDS, such as connection problems or incorrect data.")</f>
        <v>When an error occurs when trying to assign an order to a KDS, such as connection problems or incorrect data.</v>
      </c>
      <c r="H95" s="4" t="str">
        <f>IFERROR(__xludf.DUMMYFUNCTION("GOOGLETRANSLATE(ES!H95,""es"",""en"")"),"Order Management Screen")</f>
        <v>Order Management Screen</v>
      </c>
    </row>
    <row r="96">
      <c r="A96" s="4" t="str">
        <f>IFERROR(__xludf.DUMMYFUNCTION("GOOGLETRANSLATE(ES!A96,""es"",""en"")"),"E095")</f>
        <v>E095</v>
      </c>
      <c r="B96" s="6"/>
      <c r="C96" s="4" t="str">
        <f>IFERROR(__xludf.DUMMYFUNCTION("GOOGLETRANSLATE(ES!C96,""es"",""en"")"),"Order in Process")</f>
        <v>Order in Process</v>
      </c>
      <c r="D96" s="4" t="str">
        <f>IFERROR(__xludf.DUMMYFUNCTION("GOOGLETRANSLATE(ES!D96,""es"",""en"")"),"Notification")</f>
        <v>Notification</v>
      </c>
      <c r="E96" s="4" t="str">
        <f>IFERROR(__xludf.DUMMYFUNCTION("GOOGLETRANSLATE(ES!E96,""es"",""en"")"),"The order [Order Number] has been marked as ""In Process"" in the KDS of the production site [Site Name].")</f>
        <v>The order [Order Number] has been marked as "In Process" in the KDS of the production site [Site Name].</v>
      </c>
      <c r="F96" s="4"/>
      <c r="G96" s="4" t="str">
        <f>IFERROR(__xludf.DUMMYFUNCTION("GOOGLETRANSLATE(ES!G96,""es"",""en"")"),"When an order is updated to ""In Process"" status in the KDS.")</f>
        <v>When an order is updated to "In Process" status in the KDS.</v>
      </c>
      <c r="H96" s="4" t="str">
        <f>IFERROR(__xludf.DUMMYFUNCTION("GOOGLETRANSLATE(ES!H96,""es"",""en"")"),"KDS screen")</f>
        <v>KDS screen</v>
      </c>
    </row>
    <row r="97">
      <c r="A97" s="4" t="str">
        <f>IFERROR(__xludf.DUMMYFUNCTION("GOOGLETRANSLATE(ES!A97,""es"",""en"")"),"E096")</f>
        <v>E096</v>
      </c>
      <c r="B97" s="6"/>
      <c r="C97" s="4" t="str">
        <f>IFERROR(__xludf.DUMMYFUNCTION("GOOGLETRANSLATE(ES!C97,""es"",""en"")"),"Error when Marking Order as In Process")</f>
        <v>Error when Marking Order as In Process</v>
      </c>
      <c r="D97" s="4" t="str">
        <f>IFERROR(__xludf.DUMMYFUNCTION("GOOGLETRANSLATE(ES!D97,""es"",""en"")"),"Alert")</f>
        <v>Alert</v>
      </c>
      <c r="E97" s="4" t="str">
        <f>IFERROR(__xludf.DUMMYFUNCTION("GOOGLETRANSLATE(ES!E97,""es"",""en"")"),"Could not mark order [Order Number] as ""In Process"". Try again later.")</f>
        <v>Could not mark order [Order Number] as "In Process". Try again later.</v>
      </c>
      <c r="F97" s="4"/>
      <c r="G97" s="4" t="str">
        <f>IFERROR(__xludf.DUMMYFUNCTION("GOOGLETRANSLATE(ES!G97,""es"",""en"")"),"When an error occurs when trying to update the status of an order to ""In Process"", such as connection problems.")</f>
        <v>When an error occurs when trying to update the status of an order to "In Process", such as connection problems.</v>
      </c>
      <c r="H97" s="4" t="str">
        <f>IFERROR(__xludf.DUMMYFUNCTION("GOOGLETRANSLATE(ES!H97,""es"",""en"")"),"KDS screen")</f>
        <v>KDS screen</v>
      </c>
    </row>
    <row r="98">
      <c r="A98" s="4" t="str">
        <f>IFERROR(__xludf.DUMMYFUNCTION("GOOGLETRANSLATE(ES!A98,""es"",""en"")"),"E097")</f>
        <v>E097</v>
      </c>
      <c r="B98" s="6"/>
      <c r="C98" s="4" t="str">
        <f>IFERROR(__xludf.DUMMYFUNCTION("GOOGLETRANSLATE(ES!C98,""es"",""en"")"),"Completed Order")</f>
        <v>Completed Order</v>
      </c>
      <c r="D98" s="4" t="str">
        <f>IFERROR(__xludf.DUMMYFUNCTION("GOOGLETRANSLATE(ES!D98,""es"",""en"")"),"Notification")</f>
        <v>Notification</v>
      </c>
      <c r="E98" s="4" t="str">
        <f>IFERROR(__xludf.DUMMYFUNCTION("GOOGLETRANSLATE(ES!E98,""es"",""en"")"),"The order [Order Number] has been successfully completed in the KDS of the production center [Name of Center].")</f>
        <v>The order [Order Number] has been successfully completed in the KDS of the production center [Name of Center].</v>
      </c>
      <c r="F98" s="4"/>
      <c r="G98" s="4" t="str">
        <f>IFERROR(__xludf.DUMMYFUNCTION("GOOGLETRANSLATE(ES!G98,""es"",""en"")"),"When an order is marked as ""Completed"" in the KDS.")</f>
        <v>When an order is marked as "Completed" in the KDS.</v>
      </c>
      <c r="H98" s="4" t="str">
        <f>IFERROR(__xludf.DUMMYFUNCTION("GOOGLETRANSLATE(ES!H98,""es"",""en"")"),"KDS screen")</f>
        <v>KDS screen</v>
      </c>
    </row>
    <row r="99">
      <c r="A99" s="4" t="str">
        <f>IFERROR(__xludf.DUMMYFUNCTION("GOOGLETRANSLATE(ES!A99,""es"",""en"")"),"E098")</f>
        <v>E098</v>
      </c>
      <c r="B99" s="6"/>
      <c r="C99" s="4" t="str">
        <f>IFERROR(__xludf.DUMMYFUNCTION("GOOGLETRANSLATE(ES!C99,""es"",""en"")"),"Error completing order")</f>
        <v>Error completing order</v>
      </c>
      <c r="D99" s="4" t="str">
        <f>IFERROR(__xludf.DUMMYFUNCTION("GOOGLETRANSLATE(ES!D99,""es"",""en"")"),"Alert")</f>
        <v>Alert</v>
      </c>
      <c r="E99" s="4" t="str">
        <f>IFERROR(__xludf.DUMMYFUNCTION("GOOGLETRANSLATE(ES!E99,""es"",""en"")"),"Could not mark order [Order Number] as ""Completed"". Please verify the information and try again.")</f>
        <v>Could not mark order [Order Number] as "Completed". Please verify the information and try again.</v>
      </c>
      <c r="F99" s="4"/>
      <c r="G99" s="4" t="str">
        <f>IFERROR(__xludf.DUMMYFUNCTION("GOOGLETRANSLATE(ES!G99,""es"",""en"")"),"When an error occurs when trying to update the status of an order to ""Completed"", such as connection problems or incorrect data.")</f>
        <v>When an error occurs when trying to update the status of an order to "Completed", such as connection problems or incorrect data.</v>
      </c>
      <c r="H99" s="4" t="str">
        <f>IFERROR(__xludf.DUMMYFUNCTION("GOOGLETRANSLATE(ES!H99,""es"",""en"")"),"KDS screen")</f>
        <v>KDS screen</v>
      </c>
    </row>
    <row r="100">
      <c r="A100" s="4" t="str">
        <f>IFERROR(__xludf.DUMMYFUNCTION("GOOGLETRANSLATE(ES!A100,""es"",""en"")"),"E099")</f>
        <v>E099</v>
      </c>
      <c r="B100" s="6"/>
      <c r="C100" s="4" t="str">
        <f>IFERROR(__xludf.DUMMYFUNCTION("GOOGLETRANSLATE(ES!C100,""es"",""en"")"),"Canceled Order at KDS")</f>
        <v>Canceled Order at KDS</v>
      </c>
      <c r="D100" s="4" t="str">
        <f>IFERROR(__xludf.DUMMYFUNCTION("GOOGLETRANSLATE(ES!D100,""es"",""en"")"),"Notification")</f>
        <v>Notification</v>
      </c>
      <c r="E100" s="4" t="str">
        <f>IFERROR(__xludf.DUMMYFUNCTION("GOOGLETRANSLATE(ES!E100,""es"",""en"")"),"The order [Order Number] has been canceled in the KDS of the production site [Site Name].")</f>
        <v>The order [Order Number] has been canceled in the KDS of the production site [Site Name].</v>
      </c>
      <c r="F100" s="4"/>
      <c r="G100" s="4" t="str">
        <f>IFERROR(__xludf.DUMMYFUNCTION("GOOGLETRANSLATE(ES!G100,""es"",""en"")"),"When an order is canceled from the KDS.")</f>
        <v>When an order is canceled from the KDS.</v>
      </c>
      <c r="H100" s="4" t="str">
        <f>IFERROR(__xludf.DUMMYFUNCTION("GOOGLETRANSLATE(ES!H100,""es"",""en"")"),"Order Management Screen")</f>
        <v>Order Management Screen</v>
      </c>
    </row>
    <row r="101">
      <c r="A101" s="4" t="str">
        <f>IFERROR(__xludf.DUMMYFUNCTION("GOOGLETRANSLATE(ES!A101,""es"",""en"")"),"E100")</f>
        <v>E100</v>
      </c>
      <c r="B101" s="6"/>
      <c r="C101" s="4" t="str">
        <f>IFERROR(__xludf.DUMMYFUNCTION("GOOGLETRANSLATE(ES!C101,""es"",""en"")"),"Error Canceling Order in KDS")</f>
        <v>Error Canceling Order in KDS</v>
      </c>
      <c r="D101" s="4" t="str">
        <f>IFERROR(__xludf.DUMMYFUNCTION("GOOGLETRANSLATE(ES!D101,""es"",""en"")"),"Alert")</f>
        <v>Alert</v>
      </c>
      <c r="E101" s="4" t="str">
        <f>IFERROR(__xludf.DUMMYFUNCTION("GOOGLETRANSLATE(ES!E101,""es"",""en"")"),"Could not cancel order [Order Number] in the KDS. Please verify the information and try again.")</f>
        <v>Could not cancel order [Order Number] in the KDS. Please verify the information and try again.</v>
      </c>
      <c r="F101" s="4"/>
      <c r="G101" s="4" t="str">
        <f>IFERROR(__xludf.DUMMYFUNCTION("GOOGLETRANSLATE(ES!G101,""es"",""en"")"),"When an error occurs when trying to cancel an order from the KDS, such as connection problems or incorrect data.")</f>
        <v>When an error occurs when trying to cancel an order from the KDS, such as connection problems or incorrect data.</v>
      </c>
      <c r="H101" s="4" t="str">
        <f>IFERROR(__xludf.DUMMYFUNCTION("GOOGLETRANSLATE(ES!H101,""es"",""en"")"),"KDS screen")</f>
        <v>KDS screen</v>
      </c>
    </row>
    <row r="102">
      <c r="A102" s="4" t="str">
        <f>IFERROR(__xludf.DUMMYFUNCTION("GOOGLETRANSLATE(ES!A102,""es"",""en"")"),"E101")</f>
        <v>E101</v>
      </c>
      <c r="B102" s="6"/>
      <c r="C102" s="4" t="str">
        <f>IFERROR(__xludf.DUMMYFUNCTION("GOOGLETRANSLATE(ES!C102,""es"",""en"")"),"New Order at KDS")</f>
        <v>New Order at KDS</v>
      </c>
      <c r="D102" s="4" t="str">
        <f>IFERROR(__xludf.DUMMYFUNCTION("GOOGLETRANSLATE(ES!D102,""es"",""en"")"),"Notification")</f>
        <v>Notification</v>
      </c>
      <c r="E102" s="4" t="str">
        <f>IFERROR(__xludf.DUMMYFUNCTION("GOOGLETRANSLATE(ES!E102,""es"",""en"")"),"A new order [Order Number] has been added to the KDS of the production site [Site Name].")</f>
        <v>A new order [Order Number] has been added to the KDS of the production site [Site Name].</v>
      </c>
      <c r="F102" s="4"/>
      <c r="G102" s="4" t="str">
        <f>IFERROR(__xludf.DUMMYFUNCTION("GOOGLETRANSLATE(ES!G102,""es"",""en"")"),"When a new order enters the KDS system.")</f>
        <v>When a new order enters the KDS system.</v>
      </c>
      <c r="H102" s="4" t="str">
        <f>IFERROR(__xludf.DUMMYFUNCTION("GOOGLETRANSLATE(ES!H102,""es"",""en"")"),"KDS screen")</f>
        <v>KDS screen</v>
      </c>
    </row>
    <row r="103">
      <c r="A103" s="4" t="str">
        <f>IFERROR(__xludf.DUMMYFUNCTION("GOOGLETRANSLATE(ES!A103,""es"",""en"")"),"E102")</f>
        <v>E102</v>
      </c>
      <c r="B103" s="7"/>
      <c r="C103" s="4" t="str">
        <f>IFERROR(__xludf.DUMMYFUNCTION("GOOGLETRANSLATE(ES!C103,""es"",""en"")"),"Error when adding new order to KDS")</f>
        <v>Error when adding new order to KDS</v>
      </c>
      <c r="D103" s="4" t="str">
        <f>IFERROR(__xludf.DUMMYFUNCTION("GOOGLETRANSLATE(ES!D103,""es"",""en"")"),"Alert")</f>
        <v>Alert</v>
      </c>
      <c r="E103" s="4" t="str">
        <f>IFERROR(__xludf.DUMMYFUNCTION("GOOGLETRANSLATE(ES!E103,""es"",""en"")"),"The new order could not be added to the KDS. Please verify the information and try again.")</f>
        <v>The new order could not be added to the KDS. Please verify the information and try again.</v>
      </c>
      <c r="F103" s="4"/>
      <c r="G103" s="4" t="str">
        <f>IFERROR(__xludf.DUMMYFUNCTION("GOOGLETRANSLATE(ES!G103,""es"",""en"")"),"When an error occurs when trying to add a new order to the KDS, such as connection problems or incorrect data.")</f>
        <v>When an error occurs when trying to add a new order to the KDS, such as connection problems or incorrect data.</v>
      </c>
      <c r="H103" s="4" t="str">
        <f>IFERROR(__xludf.DUMMYFUNCTION("GOOGLETRANSLATE(ES!H103,""es"",""en"")"),"KDS screen")</f>
        <v>KDS screen</v>
      </c>
    </row>
    <row r="104">
      <c r="A104" s="4" t="str">
        <f>IFERROR(__xludf.DUMMYFUNCTION("GOOGLETRANSLATE(ES!A104,""es"",""en"")"),"E103")</f>
        <v>E103</v>
      </c>
      <c r="B104" s="5" t="s">
        <v>11</v>
      </c>
      <c r="C104" s="4" t="str">
        <f>IFERROR(__xludf.DUMMYFUNCTION("GOOGLETRANSLATE(ES!C104,""es"",""en"")"),"New Message")</f>
        <v>New Message</v>
      </c>
      <c r="D104" s="4" t="str">
        <f>IFERROR(__xludf.DUMMYFUNCTION("GOOGLETRANSLATE(ES!D104,""es"",""en"")"),"Notification")</f>
        <v>Notification</v>
      </c>
      <c r="E104" s="4" t="str">
        <f>IFERROR(__xludf.DUMMYFUNCTION("GOOGLETRANSLATE(ES!E104,""es"",""en"")"),"You have received a new message from [Sender Name]: ""[Message Subject]"".")</f>
        <v>You have received a new message from [Sender Name]: "[Message Subject]".</v>
      </c>
      <c r="F104" s="4" t="str">
        <f>IFERROR(__xludf.DUMMYFUNCTION("GOOGLETRANSLATE(ES!F104,""es"",""en"")"),"Read Message")</f>
        <v>Read Message</v>
      </c>
      <c r="G104" s="4" t="str">
        <f>IFERROR(__xludf.DUMMYFUNCTION("GOOGLETRANSLATE(ES!G104,""es"",""en"")"),"When a user receives a new internal message in the system.")</f>
        <v>When a user receives a new internal message in the system.</v>
      </c>
      <c r="H104" s="4" t="str">
        <f>IFERROR(__xludf.DUMMYFUNCTION("GOOGLETRANSLATE(ES!H104,""es"",""en"")"),"Message Detail Screen")</f>
        <v>Message Detail Screen</v>
      </c>
    </row>
    <row r="105">
      <c r="A105" s="4" t="str">
        <f>IFERROR(__xludf.DUMMYFUNCTION("GOOGLETRANSLATE(ES!A105,""es"",""en"")"),"E104")</f>
        <v>E104</v>
      </c>
      <c r="B105" s="6"/>
      <c r="C105" s="4" t="str">
        <f>IFERROR(__xludf.DUMMYFUNCTION("GOOGLETRANSLATE(ES!C105,""es"",""en"")"),"Error sending message")</f>
        <v>Error sending message</v>
      </c>
      <c r="D105" s="4" t="str">
        <f>IFERROR(__xludf.DUMMYFUNCTION("GOOGLETRANSLATE(ES!D105,""es"",""en"")"),"Alert")</f>
        <v>Alert</v>
      </c>
      <c r="E105" s="4" t="str">
        <f>IFERROR(__xludf.DUMMYFUNCTION("GOOGLETRANSLATE(ES!E105,""es"",""en"")"),"The message could not be sent to [Recipient Name]. Please verify the information and try again.")</f>
        <v>The message could not be sent to [Recipient Name]. Please verify the information and try again.</v>
      </c>
      <c r="F105" s="4"/>
      <c r="G105" s="4" t="str">
        <f>IFERROR(__xludf.DUMMYFUNCTION("GOOGLETRANSLATE(ES!G105,""es"",""en"")"),"When an error occurs when trying to send an internal message, such as connection problems or missing data.")</f>
        <v>When an error occurs when trying to send an internal message, such as connection problems or missing data.</v>
      </c>
      <c r="H105" s="4" t="str">
        <f>IFERROR(__xludf.DUMMYFUNCTION("GOOGLETRANSLATE(ES!H105,""es"",""en"")"),"Message Composition Screen")</f>
        <v>Message Composition Screen</v>
      </c>
    </row>
    <row r="106">
      <c r="A106" s="4" t="str">
        <f>IFERROR(__xludf.DUMMYFUNCTION("GOOGLETRANSLATE(ES!A106,""es"",""en"")"),"E105")</f>
        <v>E105</v>
      </c>
      <c r="B106" s="6"/>
      <c r="C106" s="4" t="str">
        <f>IFERROR(__xludf.DUMMYFUNCTION("GOOGLETRANSLATE(ES!C106,""es"",""en"")"),"Message Sent")</f>
        <v>Message Sent</v>
      </c>
      <c r="D106" s="4" t="str">
        <f>IFERROR(__xludf.DUMMYFUNCTION("GOOGLETRANSLATE(ES!D106,""es"",""en"")"),"Notification")</f>
        <v>Notification</v>
      </c>
      <c r="E106" s="4" t="str">
        <f>IFERROR(__xludf.DUMMYFUNCTION("GOOGLETRANSLATE(ES!E106,""es"",""en"")"),"Your message has been successfully sent to [Recipient Name].")</f>
        <v>Your message has been successfully sent to [Recipient Name].</v>
      </c>
      <c r="F106" s="4"/>
      <c r="G106" s="4" t="str">
        <f>IFERROR(__xludf.DUMMYFUNCTION("GOOGLETRANSLATE(ES!G106,""es"",""en"")"),"When a user successfully sends an internal message.")</f>
        <v>When a user successfully sends an internal message.</v>
      </c>
      <c r="H106" s="4" t="str">
        <f>IFERROR(__xludf.DUMMYFUNCTION("GOOGLETRANSLATE(ES!H106,""es"",""en"")"),"Inbox Screen")</f>
        <v>Inbox Screen</v>
      </c>
    </row>
    <row r="107">
      <c r="A107" s="4" t="str">
        <f>IFERROR(__xludf.DUMMYFUNCTION("GOOGLETRANSLATE(ES!A107,""es"",""en"")"),"E106")</f>
        <v>E106</v>
      </c>
      <c r="B107" s="6"/>
      <c r="C107" s="4" t="str">
        <f>IFERROR(__xludf.DUMMYFUNCTION("GOOGLETRANSLATE(ES!C107,""es"",""en"")"),"Message Marked as Read")</f>
        <v>Message Marked as Read</v>
      </c>
      <c r="D107" s="4" t="str">
        <f>IFERROR(__xludf.DUMMYFUNCTION("GOOGLETRANSLATE(ES!D107,""es"",""en"")"),"Notification")</f>
        <v>Notification</v>
      </c>
      <c r="E107" s="4" t="str">
        <f>IFERROR(__xludf.DUMMYFUNCTION("GOOGLETRANSLATE(ES!E107,""es"",""en"")"),"You have marked the message from [Sender Name] as read.")</f>
        <v>You have marked the message from [Sender Name] as read.</v>
      </c>
      <c r="F107" s="4"/>
      <c r="G107" s="4" t="str">
        <f>IFERROR(__xludf.DUMMYFUNCTION("GOOGLETRANSLATE(ES!G107,""es"",""en"")"),"When a user marks a message as read in their inbox.")</f>
        <v>When a user marks a message as read in their inbox.</v>
      </c>
      <c r="H107" s="4" t="str">
        <f>IFERROR(__xludf.DUMMYFUNCTION("GOOGLETRANSLATE(ES!H107,""es"",""en"")"),"Inbox Screen")</f>
        <v>Inbox Screen</v>
      </c>
    </row>
    <row r="108">
      <c r="A108" s="4" t="str">
        <f>IFERROR(__xludf.DUMMYFUNCTION("GOOGLETRANSLATE(ES!A108,""es"",""en"")"),"E107")</f>
        <v>E107</v>
      </c>
      <c r="B108" s="6"/>
      <c r="C108" s="4" t="str">
        <f>IFERROR(__xludf.DUMMYFUNCTION("GOOGLETRANSLATE(ES!C108,""es"",""en"")"),"Error Marking Message as Read")</f>
        <v>Error Marking Message as Read</v>
      </c>
      <c r="D108" s="4" t="str">
        <f>IFERROR(__xludf.DUMMYFUNCTION("GOOGLETRANSLATE(ES!D108,""es"",""en"")"),"Alert")</f>
        <v>Alert</v>
      </c>
      <c r="E108" s="4" t="str">
        <f>IFERROR(__xludf.DUMMYFUNCTION("GOOGLETRANSLATE(ES!E108,""es"",""en"")"),"Could not mark message from [Sender Name] as read. Try again.")</f>
        <v>Could not mark message from [Sender Name] as read. Try again.</v>
      </c>
      <c r="F108" s="4"/>
      <c r="G108" s="4" t="str">
        <f>IFERROR(__xludf.DUMMYFUNCTION("GOOGLETRANSLATE(ES!G108,""es"",""en"")"),"When an error occurs when trying to mark a message as read, such as connection problems or system errors.")</f>
        <v>When an error occurs when trying to mark a message as read, such as connection problems or system errors.</v>
      </c>
      <c r="H108" s="4" t="str">
        <f>IFERROR(__xludf.DUMMYFUNCTION("GOOGLETRANSLATE(ES!H108,""es"",""en"")"),"Inbox Screen")</f>
        <v>Inbox Screen</v>
      </c>
    </row>
    <row r="109">
      <c r="A109" s="4" t="str">
        <f>IFERROR(__xludf.DUMMYFUNCTION("GOOGLETRANSLATE(ES!A109,""es"",""en"")"),"E108")</f>
        <v>E108</v>
      </c>
      <c r="B109" s="6"/>
      <c r="C109" s="4" t="str">
        <f>IFERROR(__xludf.DUMMYFUNCTION("GOOGLETRANSLATE(ES!C109,""es"",""en"")"),"Deleted Message")</f>
        <v>Deleted Message</v>
      </c>
      <c r="D109" s="4" t="str">
        <f>IFERROR(__xludf.DUMMYFUNCTION("GOOGLETRANSLATE(ES!D109,""es"",""en"")"),"Notification")</f>
        <v>Notification</v>
      </c>
      <c r="E109" s="4" t="str">
        <f>IFERROR(__xludf.DUMMYFUNCTION("GOOGLETRANSLATE(ES!E109,""es"",""en"")"),"You have deleted the message from [Sender Name] from your inbox.")</f>
        <v>You have deleted the message from [Sender Name] from your inbox.</v>
      </c>
      <c r="F109" s="4"/>
      <c r="G109" s="4" t="str">
        <f>IFERROR(__xludf.DUMMYFUNCTION("GOOGLETRANSLATE(ES!G109,""es"",""en"")"),"When a user deletes a message from their inbox.")</f>
        <v>When a user deletes a message from their inbox.</v>
      </c>
      <c r="H109" s="4" t="str">
        <f>IFERROR(__xludf.DUMMYFUNCTION("GOOGLETRANSLATE(ES!H109,""es"",""en"")"),"Inbox Screen")</f>
        <v>Inbox Screen</v>
      </c>
    </row>
    <row r="110">
      <c r="A110" s="4" t="str">
        <f>IFERROR(__xludf.DUMMYFUNCTION("GOOGLETRANSLATE(ES!A110,""es"",""en"")"),"E109")</f>
        <v>E109</v>
      </c>
      <c r="B110" s="6"/>
      <c r="C110" s="4" t="str">
        <f>IFERROR(__xludf.DUMMYFUNCTION("GOOGLETRANSLATE(ES!C110,""es"",""en"")"),"Error Deleting Message")</f>
        <v>Error Deleting Message</v>
      </c>
      <c r="D110" s="4" t="str">
        <f>IFERROR(__xludf.DUMMYFUNCTION("GOOGLETRANSLATE(ES!D110,""es"",""en"")"),"Alert")</f>
        <v>Alert</v>
      </c>
      <c r="E110" s="4" t="str">
        <f>IFERROR(__xludf.DUMMYFUNCTION("GOOGLETRANSLATE(ES!E110,""es"",""en"")"),"Could not delete message from [Sender Name]. Try again.")</f>
        <v>Could not delete message from [Sender Name]. Try again.</v>
      </c>
      <c r="F110" s="4"/>
      <c r="G110" s="4" t="str">
        <f>IFERROR(__xludf.DUMMYFUNCTION("GOOGLETRANSLATE(ES!G110,""es"",""en"")"),"When an error occurs when trying to delete a message, such as connection problems or system restrictions.")</f>
        <v>When an error occurs when trying to delete a message, such as connection problems or system restrictions.</v>
      </c>
      <c r="H110" s="4" t="str">
        <f>IFERROR(__xludf.DUMMYFUNCTION("GOOGLETRANSLATE(ES!H110,""es"",""en"")"),"Inbox Screen")</f>
        <v>Inbox Screen</v>
      </c>
    </row>
    <row r="111">
      <c r="A111" s="4" t="str">
        <f>IFERROR(__xludf.DUMMYFUNCTION("GOOGLETRANSLATE(ES!A111,""es"",""en"")"),"E110")</f>
        <v>E110</v>
      </c>
      <c r="B111" s="6"/>
      <c r="C111" s="4" t="str">
        <f>IFERROR(__xludf.DUMMYFUNCTION("GOOGLETRANSLATE(ES!C111,""es"",""en"")"),"Group Message Sent")</f>
        <v>Group Message Sent</v>
      </c>
      <c r="D111" s="4" t="str">
        <f>IFERROR(__xludf.DUMMYFUNCTION("GOOGLETRANSLATE(ES!D111,""es"",""en"")"),"Notification")</f>
        <v>Notification</v>
      </c>
      <c r="E111" s="4" t="str">
        <f>IFERROR(__xludf.DUMMYFUNCTION("GOOGLETRANSLATE(ES!E111,""es"",""en"")"),"You have sent a message to the group [Group Name]: ""[Message Subject]"".")</f>
        <v>You have sent a message to the group [Group Name]: "[Message Subject]".</v>
      </c>
      <c r="F111" s="4"/>
      <c r="G111" s="4" t="str">
        <f>IFERROR(__xludf.DUMMYFUNCTION("GOOGLETRANSLATE(ES!G111,""es"",""en"")"),"When a user sends a message to a group of users in the system.")</f>
        <v>When a user sends a message to a group of users in the system.</v>
      </c>
      <c r="H111" s="4" t="str">
        <f>IFERROR(__xludf.DUMMYFUNCTION("GOOGLETRANSLATE(ES!H111,""es"",""en"")"),"Group Message Screen")</f>
        <v>Group Message Screen</v>
      </c>
    </row>
    <row r="112">
      <c r="A112" s="4" t="str">
        <f>IFERROR(__xludf.DUMMYFUNCTION("GOOGLETRANSLATE(ES!A112,""es"",""en"")"),"E111")</f>
        <v>E111</v>
      </c>
      <c r="B112" s="6"/>
      <c r="C112" s="4" t="str">
        <f>IFERROR(__xludf.DUMMYFUNCTION("GOOGLETRANSLATE(ES!C112,""es"",""en"")"),"Error sending message to group")</f>
        <v>Error sending message to group</v>
      </c>
      <c r="D112" s="4" t="str">
        <f>IFERROR(__xludf.DUMMYFUNCTION("GOOGLETRANSLATE(ES!D112,""es"",""en"")"),"Alert")</f>
        <v>Alert</v>
      </c>
      <c r="E112" s="4" t="str">
        <f>IFERROR(__xludf.DUMMYFUNCTION("GOOGLETRANSLATE(ES!E112,""es"",""en"")"),"The message could not be sent to the group [Group Name]. Please verify the information and try again.")</f>
        <v>The message could not be sent to the group [Group Name]. Please verify the information and try again.</v>
      </c>
      <c r="F112" s="4"/>
      <c r="G112" s="4" t="str">
        <f>IFERROR(__xludf.DUMMYFUNCTION("GOOGLETRANSLATE(ES!G112,""es"",""en"")"),"When an error occurs when trying to send a message to a group of users, such as connection problems or missing data.")</f>
        <v>When an error occurs when trying to send a message to a group of users, such as connection problems or missing data.</v>
      </c>
      <c r="H112" s="4" t="str">
        <f>IFERROR(__xludf.DUMMYFUNCTION("GOOGLETRANSLATE(ES!H112,""es"",""en"")"),"Group Message Composition Screen")</f>
        <v>Group Message Composition Screen</v>
      </c>
    </row>
    <row r="113">
      <c r="A113" s="4" t="str">
        <f>IFERROR(__xludf.DUMMYFUNCTION("GOOGLETRANSLATE(ES!A113,""es"",""en"")"),"E112")</f>
        <v>E112</v>
      </c>
      <c r="B113" s="7"/>
      <c r="C113" s="4" t="str">
        <f>IFERROR(__xludf.DUMMYFUNCTION("GOOGLETRANSLATE(ES!C113,""es"",""en"")"),"Group Message Marked as Read")</f>
        <v>Group Message Marked as Read</v>
      </c>
      <c r="D113" s="4" t="str">
        <f>IFERROR(__xludf.DUMMYFUNCTION("GOOGLETRANSLATE(ES!D113,""es"",""en"")"),"Notification")</f>
        <v>Notification</v>
      </c>
      <c r="E113" s="4" t="str">
        <f>IFERROR(__xludf.DUMMYFUNCTION("GOOGLETRANSLATE(ES!E113,""es"",""en"")"),"You have marked the message from the group [Group Name] as read.")</f>
        <v>You have marked the message from the group [Group Name] as read.</v>
      </c>
      <c r="F113" s="4"/>
      <c r="G113" s="4" t="str">
        <f>IFERROR(__xludf.DUMMYFUNCTION("GOOGLETRANSLATE(ES!G113,""es"",""en"")"),"When a user marks a group message as read in their inbox.")</f>
        <v>When a user marks a group message as read in their inbox.</v>
      </c>
      <c r="H113" s="4" t="str">
        <f>IFERROR(__xludf.DUMMYFUNCTION("GOOGLETRANSLATE(ES!H113,""es"",""en"")"),"Inbox Screen")</f>
        <v>Inbox Screen</v>
      </c>
    </row>
    <row r="114">
      <c r="A114" s="4" t="str">
        <f>IFERROR(__xludf.DUMMYFUNCTION("GOOGLETRANSLATE(ES!A114,""es"",""en"")"),"E113")</f>
        <v>E113</v>
      </c>
      <c r="B114" s="5" t="s">
        <v>12</v>
      </c>
      <c r="C114" s="4" t="str">
        <f>IFERROR(__xludf.DUMMYFUNCTION("GOOGLETRANSLATE(ES!C114,""es"",""en"")"),"New Delivery Order")</f>
        <v>New Delivery Order</v>
      </c>
      <c r="D114" s="4" t="str">
        <f>IFERROR(__xludf.DUMMYFUNCTION("GOOGLETRANSLATE(ES!D114,""es"",""en"")"),"Notification")</f>
        <v>Notification</v>
      </c>
      <c r="E114" s="4" t="str">
        <f>IFERROR(__xludf.DUMMYFUNCTION("GOOGLETRANSLATE(ES!E114,""es"",""en"")"),"A new delivery order has been received with the number [Order Number]. Review the details to confirm preparation.")</f>
        <v>A new delivery order has been received with the number [Order Number]. Review the details to confirm preparation.</v>
      </c>
      <c r="F114" s="4" t="str">
        <f>IFERROR(__xludf.DUMMYFUNCTION("GOOGLETRANSLATE(ES!F114,""es"",""en"")"),"View Order")</f>
        <v>View Order</v>
      </c>
      <c r="G114" s="4" t="str">
        <f>IFERROR(__xludf.DUMMYFUNCTION("GOOGLETRANSLATE(ES!G114,""es"",""en"")"),"When a new delivery order is received in the system.")</f>
        <v>When a new delivery order is received in the system.</v>
      </c>
      <c r="H114" s="4" t="str">
        <f>IFERROR(__xludf.DUMMYFUNCTION("GOOGLETRANSLATE(ES!H114,""es"",""en"")"),"Delivery Order Detail Screen")</f>
        <v>Delivery Order Detail Screen</v>
      </c>
    </row>
    <row r="115">
      <c r="A115" s="4" t="str">
        <f>IFERROR(__xludf.DUMMYFUNCTION("GOOGLETRANSLATE(ES!A115,""es"",""en"")"),"E114")</f>
        <v>E114</v>
      </c>
      <c r="B115" s="6"/>
      <c r="C115" s="4" t="str">
        <f>IFERROR(__xludf.DUMMYFUNCTION("GOOGLETRANSLATE(ES!C115,""es"",""en"")"),"Error when receiving delivery order")</f>
        <v>Error when receiving delivery order</v>
      </c>
      <c r="D115" s="4" t="str">
        <f>IFERROR(__xludf.DUMMYFUNCTION("GOOGLETRANSLATE(ES!D115,""es"",""en"")"),"Alert")</f>
        <v>Alert</v>
      </c>
      <c r="E115" s="4" t="str">
        <f>IFERROR(__xludf.DUMMYFUNCTION("GOOGLETRANSLATE(ES!E115,""es"",""en"")"),"An error occurred while processing the delivery order with the number [Order Number]. Please verify the information and try again.")</f>
        <v>An error occurred while processing the delivery order with the number [Order Number]. Please verify the information and try again.</v>
      </c>
      <c r="F115" s="4"/>
      <c r="G115" s="4" t="str">
        <f>IFERROR(__xludf.DUMMYFUNCTION("GOOGLETRANSLATE(ES!G115,""es"",""en"")"),"When an error occurs when trying to receive a delivery order, such as connection problems or missing data.")</f>
        <v>When an error occurs when trying to receive a delivery order, such as connection problems or missing data.</v>
      </c>
      <c r="H115" s="4" t="str">
        <f>IFERROR(__xludf.DUMMYFUNCTION("GOOGLETRANSLATE(ES!H115,""es"",""en"")"),"Delivery Management Screen")</f>
        <v>Delivery Management Screen</v>
      </c>
    </row>
    <row r="116">
      <c r="A116" s="4" t="str">
        <f>IFERROR(__xludf.DUMMYFUNCTION("GOOGLETRANSLATE(ES!A116,""es"",""en"")"),"E115")</f>
        <v>E115</v>
      </c>
      <c r="B116" s="6"/>
      <c r="C116" s="4" t="str">
        <f>IFERROR(__xludf.DUMMYFUNCTION("GOOGLETRANSLATE(ES!C116,""es"",""en"")"),"Order Assigned to Delivery Driver")</f>
        <v>Order Assigned to Delivery Driver</v>
      </c>
      <c r="D116" s="4" t="str">
        <f>IFERROR(__xludf.DUMMYFUNCTION("GOOGLETRANSLATE(ES!D116,""es"",""en"")"),"Notification")</f>
        <v>Notification</v>
      </c>
      <c r="E116" s="4" t="str">
        <f>IFERROR(__xludf.DUMMYFUNCTION("GOOGLETRANSLATE(ES!E116,""es"",""en"")"),"The delivery order with the number [Order Number] has been assigned to the delivery person [Delivery Name].")</f>
        <v>The delivery order with the number [Order Number] has been assigned to the delivery person [Delivery Name].</v>
      </c>
      <c r="F116" s="4"/>
      <c r="G116" s="4" t="str">
        <f>IFERROR(__xludf.DUMMYFUNCTION("GOOGLETRANSLATE(ES!G116,""es"",""en"")"),"When a delivery order is assigned to a delivery person for delivery.")</f>
        <v>When a delivery order is assigned to a delivery person for delivery.</v>
      </c>
      <c r="H116" s="4" t="str">
        <f>IFERROR(__xludf.DUMMYFUNCTION("GOOGLETRANSLATE(ES!H116,""es"",""en"")"),"Delivery Driver Management Screen")</f>
        <v>Delivery Driver Management Screen</v>
      </c>
    </row>
    <row r="117">
      <c r="A117" s="4" t="str">
        <f>IFERROR(__xludf.DUMMYFUNCTION("GOOGLETRANSLATE(ES!A117,""es"",""en"")"),"E116")</f>
        <v>E116</v>
      </c>
      <c r="B117" s="6"/>
      <c r="C117" s="4" t="str">
        <f>IFERROR(__xludf.DUMMYFUNCTION("GOOGLETRANSLATE(ES!C117,""es"",""en"")"),"Error when Assigning Order to Delivery Driver")</f>
        <v>Error when Assigning Order to Delivery Driver</v>
      </c>
      <c r="D117" s="4" t="str">
        <f>IFERROR(__xludf.DUMMYFUNCTION("GOOGLETRANSLATE(ES!D117,""es"",""en"")"),"Alert")</f>
        <v>Alert</v>
      </c>
      <c r="E117" s="4" t="str">
        <f>IFERROR(__xludf.DUMMYFUNCTION("GOOGLETRANSLATE(ES!E117,""es"",""en"")"),"The delivery order could not be assigned to the delivery person. Please verify the information and try again.")</f>
        <v>The delivery order could not be assigned to the delivery person. Please verify the information and try again.</v>
      </c>
      <c r="F117" s="4"/>
      <c r="G117" s="4" t="str">
        <f>IFERROR(__xludf.DUMMYFUNCTION("GOOGLETRANSLATE(ES!G117,""es"",""en"")"),"When an error occurs when trying to assign a delivery order to a delivery person, such as connection problems or incorrect data.")</f>
        <v>When an error occurs when trying to assign a delivery order to a delivery person, such as connection problems or incorrect data.</v>
      </c>
      <c r="H117" s="4" t="str">
        <f>IFERROR(__xludf.DUMMYFUNCTION("GOOGLETRANSLATE(ES!H117,""es"",""en"")"),"Delivery Driver Management Screen")</f>
        <v>Delivery Driver Management Screen</v>
      </c>
    </row>
    <row r="118">
      <c r="A118" s="4" t="str">
        <f>IFERROR(__xludf.DUMMYFUNCTION("GOOGLETRANSLATE(ES!A118,""es"",""en"")"),"E117")</f>
        <v>E117</v>
      </c>
      <c r="B118" s="6"/>
      <c r="C118" s="4" t="str">
        <f>IFERROR(__xludf.DUMMYFUNCTION("GOOGLETRANSLATE(ES!C118,""es"",""en"")"),"Delivery Order on the Road")</f>
        <v>Delivery Order on the Road</v>
      </c>
      <c r="D118" s="4" t="str">
        <f>IFERROR(__xludf.DUMMYFUNCTION("GOOGLETRANSLATE(ES!D118,""es"",""en"")"),"Notification")</f>
        <v>Notification</v>
      </c>
      <c r="E118" s="4" t="str">
        <f>IFERROR(__xludf.DUMMYFUNCTION("GOOGLETRANSLATE(ES!E118,""es"",""en"")"),"The delivery order with the number [Order Number] is on its way to the customer.")</f>
        <v>The delivery order with the number [Order Number] is on its way to the customer.</v>
      </c>
      <c r="F118" s="4"/>
      <c r="G118" s="4" t="str">
        <f>IFERROR(__xludf.DUMMYFUNCTION("GOOGLETRANSLATE(ES!G118,""es"",""en"")"),"When the delivery person marks a delivery order as ""On the way"" in the system.")</f>
        <v>When the delivery person marks a delivery order as "On the way" in the system.</v>
      </c>
      <c r="H118" s="4" t="str">
        <f>IFERROR(__xludf.DUMMYFUNCTION("GOOGLETRANSLATE(ES!H118,""es"",""en"")"),"Delivery Management Screen")</f>
        <v>Delivery Management Screen</v>
      </c>
    </row>
    <row r="119">
      <c r="A119" s="4" t="str">
        <f>IFERROR(__xludf.DUMMYFUNCTION("GOOGLETRANSLATE(ES!A119,""es"",""en"")"),"E118")</f>
        <v>E118</v>
      </c>
      <c r="B119" s="6"/>
      <c r="C119" s="4" t="str">
        <f>IFERROR(__xludf.DUMMYFUNCTION("GOOGLETRANSLATE(ES!C119,""es"",""en"")"),"Error when marking order as on the way")</f>
        <v>Error when marking order as on the way</v>
      </c>
      <c r="D119" s="4" t="str">
        <f>IFERROR(__xludf.DUMMYFUNCTION("GOOGLETRANSLATE(ES!D119,""es"",""en"")"),"Alert")</f>
        <v>Alert</v>
      </c>
      <c r="E119" s="4" t="str">
        <f>IFERROR(__xludf.DUMMYFUNCTION("GOOGLETRANSLATE(ES!E119,""es"",""en"")"),"The delivery order could not be marked as ""On the way"". Please verify the information and try again.")</f>
        <v>The delivery order could not be marked as "On the way". Please verify the information and try again.</v>
      </c>
      <c r="F119" s="4"/>
      <c r="G119" s="4" t="str">
        <f>IFERROR(__xludf.DUMMYFUNCTION("GOOGLETRANSLATE(ES!G119,""es"",""en"")"),"When an error occurs when trying to update the status of a delivery order to ""On the way"", such as connection problems.")</f>
        <v>When an error occurs when trying to update the status of a delivery order to "On the way", such as connection problems.</v>
      </c>
      <c r="H119" s="4" t="str">
        <f>IFERROR(__xludf.DUMMYFUNCTION("GOOGLETRANSLATE(ES!H119,""es"",""en"")"),"Delivery Order Detail Screen")</f>
        <v>Delivery Order Detail Screen</v>
      </c>
    </row>
    <row r="120">
      <c r="A120" s="4" t="str">
        <f>IFERROR(__xludf.DUMMYFUNCTION("GOOGLETRANSLATE(ES!A120,""es"",""en"")"),"E119")</f>
        <v>E119</v>
      </c>
      <c r="B120" s="6"/>
      <c r="C120" s="4" t="str">
        <f>IFERROR(__xludf.DUMMYFUNCTION("GOOGLETRANSLATE(ES!C120,""es"",""en"")"),"Delivery Order Delivered")</f>
        <v>Delivery Order Delivered</v>
      </c>
      <c r="D120" s="4" t="str">
        <f>IFERROR(__xludf.DUMMYFUNCTION("GOOGLETRANSLATE(ES!D120,""es"",""en"")"),"Notification")</f>
        <v>Notification</v>
      </c>
      <c r="E120" s="4" t="str">
        <f>IFERROR(__xludf.DUMMYFUNCTION("GOOGLETRANSLATE(ES!E120,""es"",""en"")"),"The delivery order with the number [Order Number] has been successfully delivered to the customer.")</f>
        <v>The delivery order with the number [Order Number] has been successfully delivered to the customer.</v>
      </c>
      <c r="F120" s="4"/>
      <c r="G120" s="4" t="str">
        <f>IFERROR(__xludf.DUMMYFUNCTION("GOOGLETRANSLATE(ES!G120,""es"",""en"")"),"When the delivery person marks a delivery order as ""Delivered"" in the system.")</f>
        <v>When the delivery person marks a delivery order as "Delivered" in the system.</v>
      </c>
      <c r="H120" s="4" t="str">
        <f>IFERROR(__xludf.DUMMYFUNCTION("GOOGLETRANSLATE(ES!H120,""es"",""en"")"),"Delivery Order Detail Screen")</f>
        <v>Delivery Order Detail Screen</v>
      </c>
    </row>
    <row r="121">
      <c r="A121" s="4" t="str">
        <f>IFERROR(__xludf.DUMMYFUNCTION("GOOGLETRANSLATE(ES!A121,""es"",""en"")"),"E120")</f>
        <v>E120</v>
      </c>
      <c r="B121" s="6"/>
      <c r="C121" s="4" t="str">
        <f>IFERROR(__xludf.DUMMYFUNCTION("GOOGLETRANSLATE(ES!C121,""es"",""en"")"),"Error Marking Order as Delivered")</f>
        <v>Error Marking Order as Delivered</v>
      </c>
      <c r="D121" s="4" t="str">
        <f>IFERROR(__xludf.DUMMYFUNCTION("GOOGLETRANSLATE(ES!D121,""es"",""en"")"),"Alert")</f>
        <v>Alert</v>
      </c>
      <c r="E121" s="4" t="str">
        <f>IFERROR(__xludf.DUMMYFUNCTION("GOOGLETRANSLATE(ES!E121,""es"",""en"")"),"The delivery order could not be marked as ""Delivered"". Please verify the information and try again.")</f>
        <v>The delivery order could not be marked as "Delivered". Please verify the information and try again.</v>
      </c>
      <c r="F121" s="4"/>
      <c r="G121" s="4" t="str">
        <f>IFERROR(__xludf.DUMMYFUNCTION("GOOGLETRANSLATE(ES!G121,""es"",""en"")"),"When an error occurs when trying to update the status of a delivery order to ""Delivered"", such as connection problems or incorrect data.")</f>
        <v>When an error occurs when trying to update the status of a delivery order to "Delivered", such as connection problems or incorrect data.</v>
      </c>
      <c r="H121" s="4" t="str">
        <f>IFERROR(__xludf.DUMMYFUNCTION("GOOGLETRANSLATE(ES!H121,""es"",""en"")"),"Delivery Management Screen")</f>
        <v>Delivery Management Screen</v>
      </c>
    </row>
    <row r="122">
      <c r="A122" s="4" t="str">
        <f>IFERROR(__xludf.DUMMYFUNCTION("GOOGLETRANSLATE(ES!A122,""es"",""en"")"),"E121")</f>
        <v>E121</v>
      </c>
      <c r="B122" s="6"/>
      <c r="C122" s="4" t="str">
        <f>IFERROR(__xludf.DUMMYFUNCTION("GOOGLETRANSLATE(ES!C122,""es"",""en"")"),"Canceled Delivery Order")</f>
        <v>Canceled Delivery Order</v>
      </c>
      <c r="D122" s="4" t="str">
        <f>IFERROR(__xludf.DUMMYFUNCTION("GOOGLETRANSLATE(ES!D122,""es"",""en"")"),"Notification")</f>
        <v>Notification</v>
      </c>
      <c r="E122" s="4" t="str">
        <f>IFERROR(__xludf.DUMMYFUNCTION("GOOGLETRANSLATE(ES!E122,""es"",""en"")"),"The delivery order with the number [Order Number] has been cancelled.")</f>
        <v>The delivery order with the number [Order Number] has been cancelled.</v>
      </c>
      <c r="F122" s="4"/>
      <c r="G122" s="4" t="str">
        <f>IFERROR(__xludf.DUMMYFUNCTION("GOOGLETRANSLATE(ES!G122,""es"",""en"")"),"When a delivery order is canceled from the system.")</f>
        <v>When a delivery order is canceled from the system.</v>
      </c>
      <c r="H122" s="4" t="str">
        <f>IFERROR(__xludf.DUMMYFUNCTION("GOOGLETRANSLATE(ES!H122,""es"",""en"")"),"Delivery Management Screen")</f>
        <v>Delivery Management Screen</v>
      </c>
    </row>
    <row r="123">
      <c r="A123" s="4" t="str">
        <f>IFERROR(__xludf.DUMMYFUNCTION("GOOGLETRANSLATE(ES!A123,""es"",""en"")"),"E122")</f>
        <v>E122</v>
      </c>
      <c r="B123" s="7"/>
      <c r="C123" s="4" t="str">
        <f>IFERROR(__xludf.DUMMYFUNCTION("GOOGLETRANSLATE(ES!C123,""es"",""en"")"),"Error Canceling Delivery Order")</f>
        <v>Error Canceling Delivery Order</v>
      </c>
      <c r="D123" s="4" t="str">
        <f>IFERROR(__xludf.DUMMYFUNCTION("GOOGLETRANSLATE(ES!D123,""es"",""en"")"),"Alert")</f>
        <v>Alert</v>
      </c>
      <c r="E123" s="4" t="str">
        <f>IFERROR(__xludf.DUMMYFUNCTION("GOOGLETRANSLATE(ES!E123,""es"",""en"")"),"The delivery order could not be canceled. Please verify the information and try again.")</f>
        <v>The delivery order could not be canceled. Please verify the information and try again.</v>
      </c>
      <c r="F123" s="4"/>
      <c r="G123" s="4" t="str">
        <f>IFERROR(__xludf.DUMMYFUNCTION("GOOGLETRANSLATE(ES!G123,""es"",""en"")"),"When an error occurs when trying to cancel a delivery order, such as connection problems or system restrictions.")</f>
        <v>When an error occurs when trying to cancel a delivery order, such as connection problems or system restrictions.</v>
      </c>
      <c r="H123" s="4" t="str">
        <f>IFERROR(__xludf.DUMMYFUNCTION("GOOGLETRANSLATE(ES!H123,""es"",""en"")"),"Delivery Management Screen")</f>
        <v>Delivery Management Screen</v>
      </c>
    </row>
    <row r="124">
      <c r="B124" s="8"/>
    </row>
    <row r="125">
      <c r="B125" s="8"/>
    </row>
  </sheetData>
  <mergeCells count="12">
    <mergeCell ref="B74:B83"/>
    <mergeCell ref="B84:B93"/>
    <mergeCell ref="B94:B103"/>
    <mergeCell ref="B104:B113"/>
    <mergeCell ref="B114:B123"/>
    <mergeCell ref="B2:B7"/>
    <mergeCell ref="B8:B17"/>
    <mergeCell ref="B18:B29"/>
    <mergeCell ref="B30:B37"/>
    <mergeCell ref="B38:B47"/>
    <mergeCell ref="B48:B57"/>
    <mergeCell ref="B58:B73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29"/>
    <col customWidth="1" min="2" max="2" width="29.43"/>
    <col customWidth="1" min="3" max="3" width="43.86"/>
    <col customWidth="1" min="4" max="4" width="17.29"/>
    <col customWidth="1" min="5" max="5" width="120.0"/>
    <col customWidth="1" min="6" max="6" width="17.71"/>
    <col customWidth="1" min="7" max="7" width="124.29"/>
    <col customWidth="1" min="8" max="8" width="66.57"/>
    <col customWidth="1" min="9" max="27" width="8.71"/>
  </cols>
  <sheetData>
    <row r="1">
      <c r="A1" s="9" t="s">
        <v>13</v>
      </c>
      <c r="B1" s="2" t="s">
        <v>0</v>
      </c>
      <c r="C1" s="9" t="s">
        <v>14</v>
      </c>
      <c r="D1" s="10" t="s">
        <v>15</v>
      </c>
      <c r="E1" s="9" t="s">
        <v>16</v>
      </c>
      <c r="F1" s="9" t="s">
        <v>17</v>
      </c>
      <c r="G1" s="9" t="s">
        <v>18</v>
      </c>
      <c r="H1" s="9" t="s">
        <v>19</v>
      </c>
    </row>
    <row r="2">
      <c r="A2" s="4" t="s">
        <v>20</v>
      </c>
      <c r="B2" s="5" t="s">
        <v>1</v>
      </c>
      <c r="C2" s="4" t="s">
        <v>21</v>
      </c>
      <c r="D2" s="4" t="s">
        <v>22</v>
      </c>
      <c r="E2" s="4" t="s">
        <v>23</v>
      </c>
      <c r="F2" s="4"/>
      <c r="G2" s="4" t="s">
        <v>24</v>
      </c>
      <c r="H2" s="4" t="s">
        <v>25</v>
      </c>
    </row>
    <row r="3">
      <c r="A3" s="4" t="s">
        <v>26</v>
      </c>
      <c r="B3" s="6"/>
      <c r="C3" s="4" t="s">
        <v>27</v>
      </c>
      <c r="D3" s="4" t="s">
        <v>28</v>
      </c>
      <c r="E3" s="4" t="s">
        <v>29</v>
      </c>
      <c r="F3" s="4"/>
      <c r="G3" s="4" t="s">
        <v>30</v>
      </c>
      <c r="H3" s="4" t="s">
        <v>25</v>
      </c>
    </row>
    <row r="4">
      <c r="A4" s="4" t="s">
        <v>31</v>
      </c>
      <c r="B4" s="6"/>
      <c r="C4" s="4" t="s">
        <v>32</v>
      </c>
      <c r="D4" s="4" t="s">
        <v>22</v>
      </c>
      <c r="E4" s="4" t="s">
        <v>33</v>
      </c>
      <c r="F4" s="4"/>
      <c r="G4" s="4" t="s">
        <v>34</v>
      </c>
      <c r="H4" s="4" t="s">
        <v>35</v>
      </c>
    </row>
    <row r="5">
      <c r="A5" s="4" t="s">
        <v>36</v>
      </c>
      <c r="B5" s="6"/>
      <c r="C5" s="4" t="s">
        <v>37</v>
      </c>
      <c r="D5" s="4" t="s">
        <v>28</v>
      </c>
      <c r="E5" s="4" t="s">
        <v>38</v>
      </c>
      <c r="F5" s="4"/>
      <c r="G5" s="4" t="s">
        <v>39</v>
      </c>
      <c r="H5" s="4" t="s">
        <v>40</v>
      </c>
    </row>
    <row r="6">
      <c r="A6" s="4" t="s">
        <v>41</v>
      </c>
      <c r="B6" s="6"/>
      <c r="C6" s="4" t="s">
        <v>42</v>
      </c>
      <c r="D6" s="4" t="s">
        <v>22</v>
      </c>
      <c r="E6" s="4" t="s">
        <v>43</v>
      </c>
      <c r="F6" s="4"/>
      <c r="G6" s="4" t="s">
        <v>44</v>
      </c>
      <c r="H6" s="4" t="s">
        <v>45</v>
      </c>
    </row>
    <row r="7">
      <c r="A7" s="4" t="s">
        <v>46</v>
      </c>
      <c r="B7" s="7"/>
      <c r="C7" s="4" t="s">
        <v>47</v>
      </c>
      <c r="D7" s="4" t="s">
        <v>28</v>
      </c>
      <c r="E7" s="4" t="s">
        <v>48</v>
      </c>
      <c r="F7" s="4"/>
      <c r="G7" s="4" t="s">
        <v>49</v>
      </c>
      <c r="H7" s="4" t="s">
        <v>35</v>
      </c>
    </row>
    <row r="8">
      <c r="A8" s="4" t="s">
        <v>50</v>
      </c>
      <c r="B8" s="5" t="s">
        <v>2</v>
      </c>
      <c r="C8" s="4" t="s">
        <v>51</v>
      </c>
      <c r="D8" s="4" t="s">
        <v>22</v>
      </c>
      <c r="E8" s="4" t="s">
        <v>52</v>
      </c>
      <c r="F8" s="4"/>
      <c r="G8" s="4" t="s">
        <v>53</v>
      </c>
      <c r="H8" s="4" t="s">
        <v>54</v>
      </c>
    </row>
    <row r="9">
      <c r="A9" s="4" t="s">
        <v>55</v>
      </c>
      <c r="B9" s="6"/>
      <c r="C9" s="4" t="s">
        <v>56</v>
      </c>
      <c r="D9" s="4" t="s">
        <v>28</v>
      </c>
      <c r="E9" s="4" t="s">
        <v>57</v>
      </c>
      <c r="F9" s="4"/>
      <c r="G9" s="4" t="s">
        <v>58</v>
      </c>
      <c r="H9" s="4" t="s">
        <v>59</v>
      </c>
    </row>
    <row r="10">
      <c r="A10" s="4" t="s">
        <v>60</v>
      </c>
      <c r="B10" s="6"/>
      <c r="C10" s="4" t="s">
        <v>61</v>
      </c>
      <c r="D10" s="4" t="s">
        <v>22</v>
      </c>
      <c r="E10" s="4" t="s">
        <v>62</v>
      </c>
      <c r="F10" s="4"/>
      <c r="G10" s="4" t="s">
        <v>63</v>
      </c>
      <c r="H10" s="4" t="s">
        <v>54</v>
      </c>
    </row>
    <row r="11">
      <c r="A11" s="4" t="s">
        <v>64</v>
      </c>
      <c r="B11" s="6"/>
      <c r="C11" s="4" t="s">
        <v>65</v>
      </c>
      <c r="D11" s="4" t="s">
        <v>28</v>
      </c>
      <c r="E11" s="4" t="s">
        <v>66</v>
      </c>
      <c r="F11" s="4"/>
      <c r="G11" s="4" t="s">
        <v>67</v>
      </c>
      <c r="H11" s="4" t="s">
        <v>68</v>
      </c>
    </row>
    <row r="12">
      <c r="A12" s="4" t="s">
        <v>69</v>
      </c>
      <c r="B12" s="6"/>
      <c r="C12" s="4" t="s">
        <v>70</v>
      </c>
      <c r="D12" s="4" t="s">
        <v>22</v>
      </c>
      <c r="E12" s="4" t="s">
        <v>71</v>
      </c>
      <c r="F12" s="4"/>
      <c r="G12" s="4" t="s">
        <v>72</v>
      </c>
      <c r="H12" s="4" t="s">
        <v>54</v>
      </c>
    </row>
    <row r="13">
      <c r="A13" s="4" t="s">
        <v>73</v>
      </c>
      <c r="B13" s="6"/>
      <c r="C13" s="4" t="s">
        <v>74</v>
      </c>
      <c r="D13" s="4" t="s">
        <v>28</v>
      </c>
      <c r="E13" s="4" t="s">
        <v>75</v>
      </c>
      <c r="F13" s="4"/>
      <c r="G13" s="4" t="s">
        <v>76</v>
      </c>
      <c r="H13" s="4" t="s">
        <v>54</v>
      </c>
    </row>
    <row r="14">
      <c r="A14" s="4" t="s">
        <v>77</v>
      </c>
      <c r="B14" s="6"/>
      <c r="C14" s="4" t="s">
        <v>78</v>
      </c>
      <c r="D14" s="4" t="s">
        <v>22</v>
      </c>
      <c r="E14" s="4" t="s">
        <v>79</v>
      </c>
      <c r="F14" s="4"/>
      <c r="G14" s="4" t="s">
        <v>80</v>
      </c>
      <c r="H14" s="4" t="s">
        <v>81</v>
      </c>
    </row>
    <row r="15">
      <c r="A15" s="4" t="s">
        <v>82</v>
      </c>
      <c r="B15" s="6"/>
      <c r="C15" s="4" t="s">
        <v>83</v>
      </c>
      <c r="D15" s="4" t="s">
        <v>28</v>
      </c>
      <c r="E15" s="4" t="s">
        <v>84</v>
      </c>
      <c r="F15" s="4"/>
      <c r="G15" s="4" t="s">
        <v>85</v>
      </c>
      <c r="H15" s="4" t="s">
        <v>86</v>
      </c>
    </row>
    <row r="16">
      <c r="A16" s="4" t="s">
        <v>87</v>
      </c>
      <c r="B16" s="6"/>
      <c r="C16" s="4" t="s">
        <v>88</v>
      </c>
      <c r="D16" s="4" t="s">
        <v>22</v>
      </c>
      <c r="E16" s="4" t="s">
        <v>89</v>
      </c>
      <c r="F16" s="4"/>
      <c r="G16" s="4" t="s">
        <v>90</v>
      </c>
      <c r="H16" s="4" t="s">
        <v>81</v>
      </c>
    </row>
    <row r="17">
      <c r="A17" s="4" t="s">
        <v>91</v>
      </c>
      <c r="B17" s="7"/>
      <c r="C17" s="4" t="s">
        <v>92</v>
      </c>
      <c r="D17" s="4" t="s">
        <v>28</v>
      </c>
      <c r="E17" s="4" t="s">
        <v>93</v>
      </c>
      <c r="F17" s="4"/>
      <c r="G17" s="4" t="s">
        <v>94</v>
      </c>
      <c r="H17" s="4" t="s">
        <v>86</v>
      </c>
    </row>
    <row r="18">
      <c r="A18" s="4" t="s">
        <v>95</v>
      </c>
      <c r="B18" s="5" t="s">
        <v>3</v>
      </c>
      <c r="C18" s="4" t="s">
        <v>96</v>
      </c>
      <c r="D18" s="4" t="s">
        <v>22</v>
      </c>
      <c r="E18" s="4" t="s">
        <v>97</v>
      </c>
      <c r="F18" s="4"/>
      <c r="G18" s="4" t="s">
        <v>98</v>
      </c>
      <c r="H18" s="4" t="s">
        <v>99</v>
      </c>
    </row>
    <row r="19">
      <c r="A19" s="4" t="s">
        <v>100</v>
      </c>
      <c r="B19" s="6"/>
      <c r="C19" s="4" t="s">
        <v>101</v>
      </c>
      <c r="D19" s="4" t="s">
        <v>28</v>
      </c>
      <c r="E19" s="4" t="s">
        <v>102</v>
      </c>
      <c r="F19" s="4"/>
      <c r="G19" s="4" t="s">
        <v>103</v>
      </c>
      <c r="H19" s="4" t="s">
        <v>104</v>
      </c>
    </row>
    <row r="20">
      <c r="A20" s="4" t="s">
        <v>105</v>
      </c>
      <c r="B20" s="6"/>
      <c r="C20" s="4" t="s">
        <v>106</v>
      </c>
      <c r="D20" s="4" t="s">
        <v>22</v>
      </c>
      <c r="E20" s="4" t="s">
        <v>107</v>
      </c>
      <c r="F20" s="4"/>
      <c r="G20" s="4" t="s">
        <v>108</v>
      </c>
      <c r="H20" s="4" t="s">
        <v>99</v>
      </c>
    </row>
    <row r="21" ht="15.75" customHeight="1">
      <c r="A21" s="4" t="s">
        <v>109</v>
      </c>
      <c r="B21" s="6"/>
      <c r="C21" s="4" t="s">
        <v>110</v>
      </c>
      <c r="D21" s="4" t="s">
        <v>28</v>
      </c>
      <c r="E21" s="4" t="s">
        <v>111</v>
      </c>
      <c r="F21" s="4"/>
      <c r="G21" s="4" t="s">
        <v>112</v>
      </c>
      <c r="H21" s="4" t="s">
        <v>113</v>
      </c>
    </row>
    <row r="22" ht="15.75" customHeight="1">
      <c r="A22" s="4" t="s">
        <v>114</v>
      </c>
      <c r="B22" s="6"/>
      <c r="C22" s="4" t="s">
        <v>115</v>
      </c>
      <c r="D22" s="4" t="s">
        <v>22</v>
      </c>
      <c r="E22" s="4" t="s">
        <v>116</v>
      </c>
      <c r="F22" s="4"/>
      <c r="G22" s="4" t="s">
        <v>117</v>
      </c>
      <c r="H22" s="4" t="s">
        <v>99</v>
      </c>
    </row>
    <row r="23" ht="15.75" customHeight="1">
      <c r="A23" s="4" t="s">
        <v>118</v>
      </c>
      <c r="B23" s="6"/>
      <c r="C23" s="4" t="s">
        <v>119</v>
      </c>
      <c r="D23" s="4" t="s">
        <v>28</v>
      </c>
      <c r="E23" s="4" t="s">
        <v>120</v>
      </c>
      <c r="F23" s="4"/>
      <c r="G23" s="4" t="s">
        <v>121</v>
      </c>
      <c r="H23" s="4" t="s">
        <v>99</v>
      </c>
    </row>
    <row r="24" ht="15.75" customHeight="1">
      <c r="A24" s="4" t="s">
        <v>122</v>
      </c>
      <c r="B24" s="6"/>
      <c r="C24" s="4" t="s">
        <v>123</v>
      </c>
      <c r="D24" s="4" t="s">
        <v>22</v>
      </c>
      <c r="E24" s="4" t="s">
        <v>124</v>
      </c>
      <c r="F24" s="4"/>
      <c r="G24" s="4" t="s">
        <v>125</v>
      </c>
      <c r="H24" s="4" t="s">
        <v>99</v>
      </c>
    </row>
    <row r="25" ht="15.75" customHeight="1">
      <c r="A25" s="4" t="s">
        <v>126</v>
      </c>
      <c r="B25" s="6"/>
      <c r="C25" s="4" t="s">
        <v>127</v>
      </c>
      <c r="D25" s="4" t="s">
        <v>28</v>
      </c>
      <c r="E25" s="4" t="s">
        <v>128</v>
      </c>
      <c r="F25" s="4"/>
      <c r="G25" s="4" t="s">
        <v>129</v>
      </c>
      <c r="H25" s="4" t="s">
        <v>130</v>
      </c>
    </row>
    <row r="26" ht="15.75" customHeight="1">
      <c r="A26" s="4" t="s">
        <v>131</v>
      </c>
      <c r="B26" s="6"/>
      <c r="C26" s="4" t="s">
        <v>132</v>
      </c>
      <c r="D26" s="4" t="s">
        <v>22</v>
      </c>
      <c r="E26" s="4" t="s">
        <v>133</v>
      </c>
      <c r="F26" s="4"/>
      <c r="G26" s="4" t="s">
        <v>134</v>
      </c>
      <c r="H26" s="4" t="s">
        <v>99</v>
      </c>
    </row>
    <row r="27" ht="15.75" customHeight="1">
      <c r="A27" s="4" t="s">
        <v>135</v>
      </c>
      <c r="B27" s="6"/>
      <c r="C27" s="4" t="s">
        <v>136</v>
      </c>
      <c r="D27" s="4" t="s">
        <v>28</v>
      </c>
      <c r="E27" s="4" t="s">
        <v>137</v>
      </c>
      <c r="F27" s="4"/>
      <c r="G27" s="4" t="s">
        <v>138</v>
      </c>
      <c r="H27" s="4" t="s">
        <v>139</v>
      </c>
    </row>
    <row r="28" ht="15.75" customHeight="1">
      <c r="A28" s="4" t="s">
        <v>140</v>
      </c>
      <c r="B28" s="6"/>
      <c r="C28" s="4" t="s">
        <v>141</v>
      </c>
      <c r="D28" s="4" t="s">
        <v>22</v>
      </c>
      <c r="E28" s="4" t="s">
        <v>142</v>
      </c>
      <c r="F28" s="4"/>
      <c r="G28" s="4" t="s">
        <v>143</v>
      </c>
      <c r="H28" s="4" t="s">
        <v>99</v>
      </c>
    </row>
    <row r="29" ht="15.75" customHeight="1">
      <c r="A29" s="4" t="s">
        <v>144</v>
      </c>
      <c r="B29" s="7"/>
      <c r="C29" s="4" t="s">
        <v>145</v>
      </c>
      <c r="D29" s="4" t="s">
        <v>28</v>
      </c>
      <c r="E29" s="4" t="s">
        <v>146</v>
      </c>
      <c r="F29" s="4"/>
      <c r="G29" s="4" t="s">
        <v>147</v>
      </c>
      <c r="H29" s="4" t="s">
        <v>99</v>
      </c>
    </row>
    <row r="30" ht="15.75" customHeight="1">
      <c r="A30" s="4" t="s">
        <v>148</v>
      </c>
      <c r="B30" s="5" t="s">
        <v>4</v>
      </c>
      <c r="C30" s="4" t="s">
        <v>149</v>
      </c>
      <c r="D30" s="4" t="s">
        <v>22</v>
      </c>
      <c r="E30" s="4" t="s">
        <v>150</v>
      </c>
      <c r="F30" s="4"/>
      <c r="G30" s="4" t="s">
        <v>151</v>
      </c>
      <c r="H30" s="4" t="s">
        <v>152</v>
      </c>
    </row>
    <row r="31" ht="15.75" customHeight="1">
      <c r="A31" s="4" t="s">
        <v>153</v>
      </c>
      <c r="B31" s="6"/>
      <c r="C31" s="4" t="s">
        <v>154</v>
      </c>
      <c r="D31" s="4" t="s">
        <v>28</v>
      </c>
      <c r="E31" s="4" t="s">
        <v>155</v>
      </c>
      <c r="F31" s="4"/>
      <c r="G31" s="4" t="s">
        <v>156</v>
      </c>
      <c r="H31" s="4" t="s">
        <v>157</v>
      </c>
    </row>
    <row r="32" ht="15.75" customHeight="1">
      <c r="A32" s="4" t="s">
        <v>158</v>
      </c>
      <c r="B32" s="6"/>
      <c r="C32" s="4" t="s">
        <v>159</v>
      </c>
      <c r="D32" s="4" t="s">
        <v>22</v>
      </c>
      <c r="E32" s="4" t="s">
        <v>160</v>
      </c>
      <c r="F32" s="4"/>
      <c r="G32" s="4" t="s">
        <v>161</v>
      </c>
      <c r="H32" s="4" t="s">
        <v>162</v>
      </c>
    </row>
    <row r="33" ht="15.75" customHeight="1">
      <c r="A33" s="4" t="s">
        <v>163</v>
      </c>
      <c r="B33" s="6"/>
      <c r="C33" s="4" t="s">
        <v>164</v>
      </c>
      <c r="D33" s="4" t="s">
        <v>28</v>
      </c>
      <c r="E33" s="4" t="s">
        <v>165</v>
      </c>
      <c r="F33" s="4"/>
      <c r="G33" s="4" t="s">
        <v>166</v>
      </c>
      <c r="H33" s="4" t="s">
        <v>162</v>
      </c>
    </row>
    <row r="34" ht="15.75" customHeight="1">
      <c r="A34" s="4" t="s">
        <v>167</v>
      </c>
      <c r="B34" s="6"/>
      <c r="C34" s="4" t="s">
        <v>168</v>
      </c>
      <c r="D34" s="4" t="s">
        <v>22</v>
      </c>
      <c r="E34" s="4" t="s">
        <v>169</v>
      </c>
      <c r="F34" s="4"/>
      <c r="G34" s="4" t="s">
        <v>170</v>
      </c>
      <c r="H34" s="4" t="s">
        <v>171</v>
      </c>
    </row>
    <row r="35" ht="15.75" customHeight="1">
      <c r="A35" s="4" t="s">
        <v>172</v>
      </c>
      <c r="B35" s="6"/>
      <c r="C35" s="4" t="s">
        <v>173</v>
      </c>
      <c r="D35" s="4" t="s">
        <v>22</v>
      </c>
      <c r="E35" s="4" t="s">
        <v>174</v>
      </c>
      <c r="F35" s="4" t="s">
        <v>175</v>
      </c>
      <c r="G35" s="4" t="s">
        <v>176</v>
      </c>
      <c r="H35" s="4" t="s">
        <v>177</v>
      </c>
    </row>
    <row r="36" ht="15.75" customHeight="1">
      <c r="A36" s="4" t="s">
        <v>178</v>
      </c>
      <c r="B36" s="6"/>
      <c r="C36" s="4" t="s">
        <v>179</v>
      </c>
      <c r="D36" s="4" t="s">
        <v>22</v>
      </c>
      <c r="E36" s="4" t="s">
        <v>180</v>
      </c>
      <c r="F36" s="4"/>
      <c r="G36" s="4" t="s">
        <v>181</v>
      </c>
      <c r="H36" s="4" t="s">
        <v>152</v>
      </c>
    </row>
    <row r="37" ht="15.75" customHeight="1">
      <c r="A37" s="4" t="s">
        <v>182</v>
      </c>
      <c r="B37" s="7"/>
      <c r="C37" s="4" t="s">
        <v>183</v>
      </c>
      <c r="D37" s="4" t="s">
        <v>28</v>
      </c>
      <c r="E37" s="4" t="s">
        <v>184</v>
      </c>
      <c r="F37" s="4"/>
      <c r="G37" s="4" t="s">
        <v>185</v>
      </c>
      <c r="H37" s="4" t="s">
        <v>162</v>
      </c>
    </row>
    <row r="38" ht="15.75" customHeight="1">
      <c r="A38" s="4" t="s">
        <v>186</v>
      </c>
      <c r="B38" s="5" t="s">
        <v>5</v>
      </c>
      <c r="C38" s="4" t="s">
        <v>187</v>
      </c>
      <c r="D38" s="4" t="s">
        <v>22</v>
      </c>
      <c r="E38" s="4" t="s">
        <v>188</v>
      </c>
      <c r="F38" s="4"/>
      <c r="G38" s="4" t="s">
        <v>189</v>
      </c>
      <c r="H38" s="4" t="s">
        <v>190</v>
      </c>
    </row>
    <row r="39" ht="15.75" customHeight="1">
      <c r="A39" s="4" t="s">
        <v>191</v>
      </c>
      <c r="B39" s="6"/>
      <c r="C39" s="4" t="s">
        <v>192</v>
      </c>
      <c r="D39" s="4" t="s">
        <v>28</v>
      </c>
      <c r="E39" s="4" t="s">
        <v>193</v>
      </c>
      <c r="F39" s="4"/>
      <c r="G39" s="4" t="s">
        <v>194</v>
      </c>
      <c r="H39" s="4" t="s">
        <v>195</v>
      </c>
    </row>
    <row r="40" ht="15.75" customHeight="1">
      <c r="A40" s="4" t="s">
        <v>196</v>
      </c>
      <c r="B40" s="6"/>
      <c r="C40" s="4" t="s">
        <v>197</v>
      </c>
      <c r="D40" s="4" t="s">
        <v>22</v>
      </c>
      <c r="E40" s="4" t="s">
        <v>198</v>
      </c>
      <c r="F40" s="4"/>
      <c r="G40" s="4" t="s">
        <v>199</v>
      </c>
      <c r="H40" s="4" t="s">
        <v>200</v>
      </c>
    </row>
    <row r="41" ht="15.75" customHeight="1">
      <c r="A41" s="4" t="s">
        <v>201</v>
      </c>
      <c r="B41" s="6"/>
      <c r="C41" s="4" t="s">
        <v>202</v>
      </c>
      <c r="D41" s="4" t="s">
        <v>28</v>
      </c>
      <c r="E41" s="4" t="s">
        <v>203</v>
      </c>
      <c r="F41" s="4"/>
      <c r="G41" s="4" t="s">
        <v>204</v>
      </c>
      <c r="H41" s="4" t="s">
        <v>205</v>
      </c>
    </row>
    <row r="42" ht="15.75" customHeight="1">
      <c r="A42" s="4" t="s">
        <v>206</v>
      </c>
      <c r="B42" s="6"/>
      <c r="C42" s="4" t="s">
        <v>207</v>
      </c>
      <c r="D42" s="4" t="s">
        <v>22</v>
      </c>
      <c r="E42" s="4" t="s">
        <v>208</v>
      </c>
      <c r="F42" s="4"/>
      <c r="G42" s="4" t="s">
        <v>209</v>
      </c>
      <c r="H42" s="4" t="s">
        <v>152</v>
      </c>
    </row>
    <row r="43" ht="15.75" customHeight="1">
      <c r="A43" s="4" t="s">
        <v>210</v>
      </c>
      <c r="B43" s="6"/>
      <c r="C43" s="4" t="s">
        <v>211</v>
      </c>
      <c r="D43" s="4" t="s">
        <v>28</v>
      </c>
      <c r="E43" s="4" t="s">
        <v>212</v>
      </c>
      <c r="F43" s="4"/>
      <c r="G43" s="4" t="s">
        <v>213</v>
      </c>
      <c r="H43" s="4" t="s">
        <v>200</v>
      </c>
    </row>
    <row r="44" ht="15.75" customHeight="1">
      <c r="A44" s="4" t="s">
        <v>214</v>
      </c>
      <c r="B44" s="6"/>
      <c r="C44" s="4" t="s">
        <v>215</v>
      </c>
      <c r="D44" s="4" t="s">
        <v>22</v>
      </c>
      <c r="E44" s="4" t="s">
        <v>216</v>
      </c>
      <c r="F44" s="4"/>
      <c r="G44" s="4" t="s">
        <v>217</v>
      </c>
      <c r="H44" s="4" t="s">
        <v>200</v>
      </c>
    </row>
    <row r="45" ht="15.75" customHeight="1">
      <c r="A45" s="4" t="s">
        <v>218</v>
      </c>
      <c r="B45" s="6"/>
      <c r="C45" s="4" t="s">
        <v>219</v>
      </c>
      <c r="D45" s="4" t="s">
        <v>28</v>
      </c>
      <c r="E45" s="4" t="s">
        <v>220</v>
      </c>
      <c r="F45" s="4"/>
      <c r="G45" s="4" t="s">
        <v>221</v>
      </c>
      <c r="H45" s="4" t="s">
        <v>200</v>
      </c>
    </row>
    <row r="46" ht="15.75" customHeight="1">
      <c r="A46" s="4" t="s">
        <v>222</v>
      </c>
      <c r="B46" s="6"/>
      <c r="C46" s="4" t="s">
        <v>223</v>
      </c>
      <c r="D46" s="4" t="s">
        <v>22</v>
      </c>
      <c r="E46" s="4" t="s">
        <v>224</v>
      </c>
      <c r="F46" s="4"/>
      <c r="G46" s="4" t="s">
        <v>225</v>
      </c>
      <c r="H46" s="4" t="s">
        <v>195</v>
      </c>
    </row>
    <row r="47" ht="15.75" customHeight="1">
      <c r="A47" s="4" t="s">
        <v>226</v>
      </c>
      <c r="B47" s="7"/>
      <c r="C47" s="4" t="s">
        <v>227</v>
      </c>
      <c r="D47" s="4" t="s">
        <v>28</v>
      </c>
      <c r="E47" s="4" t="s">
        <v>228</v>
      </c>
      <c r="F47" s="4"/>
      <c r="G47" s="4" t="s">
        <v>229</v>
      </c>
      <c r="H47" s="4" t="s">
        <v>195</v>
      </c>
    </row>
    <row r="48" ht="15.75" customHeight="1">
      <c r="A48" s="4" t="s">
        <v>230</v>
      </c>
      <c r="B48" s="5" t="s">
        <v>6</v>
      </c>
      <c r="C48" s="4" t="s">
        <v>231</v>
      </c>
      <c r="D48" s="4" t="s">
        <v>22</v>
      </c>
      <c r="E48" s="4" t="s">
        <v>232</v>
      </c>
      <c r="F48" s="4"/>
      <c r="G48" s="4" t="s">
        <v>233</v>
      </c>
      <c r="H48" s="4" t="s">
        <v>234</v>
      </c>
    </row>
    <row r="49" ht="15.75" customHeight="1">
      <c r="A49" s="4" t="s">
        <v>235</v>
      </c>
      <c r="B49" s="6"/>
      <c r="C49" s="4" t="s">
        <v>236</v>
      </c>
      <c r="D49" s="4" t="s">
        <v>28</v>
      </c>
      <c r="E49" s="4" t="s">
        <v>237</v>
      </c>
      <c r="F49" s="4"/>
      <c r="G49" s="4" t="s">
        <v>238</v>
      </c>
      <c r="H49" s="4" t="s">
        <v>239</v>
      </c>
    </row>
    <row r="50" ht="15.75" customHeight="1">
      <c r="A50" s="4" t="s">
        <v>240</v>
      </c>
      <c r="B50" s="6"/>
      <c r="C50" s="4" t="s">
        <v>241</v>
      </c>
      <c r="D50" s="4" t="s">
        <v>22</v>
      </c>
      <c r="E50" s="4" t="s">
        <v>242</v>
      </c>
      <c r="F50" s="4"/>
      <c r="G50" s="4" t="s">
        <v>243</v>
      </c>
      <c r="H50" s="4" t="s">
        <v>234</v>
      </c>
    </row>
    <row r="51" ht="15.75" customHeight="1">
      <c r="A51" s="4" t="s">
        <v>244</v>
      </c>
      <c r="B51" s="6"/>
      <c r="C51" s="4" t="s">
        <v>245</v>
      </c>
      <c r="D51" s="4" t="s">
        <v>28</v>
      </c>
      <c r="E51" s="4" t="s">
        <v>246</v>
      </c>
      <c r="F51" s="4"/>
      <c r="G51" s="4" t="s">
        <v>247</v>
      </c>
      <c r="H51" s="4" t="s">
        <v>248</v>
      </c>
    </row>
    <row r="52" ht="15.75" customHeight="1">
      <c r="A52" s="4" t="s">
        <v>249</v>
      </c>
      <c r="B52" s="6"/>
      <c r="C52" s="4" t="s">
        <v>250</v>
      </c>
      <c r="D52" s="4" t="s">
        <v>22</v>
      </c>
      <c r="E52" s="4" t="s">
        <v>251</v>
      </c>
      <c r="F52" s="4"/>
      <c r="G52" s="4" t="s">
        <v>252</v>
      </c>
      <c r="H52" s="4" t="s">
        <v>253</v>
      </c>
    </row>
    <row r="53" ht="15.75" customHeight="1">
      <c r="A53" s="4" t="s">
        <v>254</v>
      </c>
      <c r="B53" s="6"/>
      <c r="C53" s="4" t="s">
        <v>255</v>
      </c>
      <c r="D53" s="4" t="s">
        <v>28</v>
      </c>
      <c r="E53" s="4" t="s">
        <v>256</v>
      </c>
      <c r="F53" s="4"/>
      <c r="G53" s="4" t="s">
        <v>257</v>
      </c>
      <c r="H53" s="4" t="s">
        <v>253</v>
      </c>
    </row>
    <row r="54" ht="15.75" customHeight="1">
      <c r="A54" s="4" t="s">
        <v>258</v>
      </c>
      <c r="B54" s="6"/>
      <c r="C54" s="4" t="s">
        <v>259</v>
      </c>
      <c r="D54" s="4" t="s">
        <v>22</v>
      </c>
      <c r="E54" s="4" t="s">
        <v>260</v>
      </c>
      <c r="F54" s="4"/>
      <c r="G54" s="4" t="s">
        <v>261</v>
      </c>
      <c r="H54" s="4" t="s">
        <v>234</v>
      </c>
    </row>
    <row r="55" ht="15.75" customHeight="1">
      <c r="A55" s="4" t="s">
        <v>262</v>
      </c>
      <c r="B55" s="6"/>
      <c r="C55" s="4" t="s">
        <v>263</v>
      </c>
      <c r="D55" s="4" t="s">
        <v>28</v>
      </c>
      <c r="E55" s="4" t="s">
        <v>264</v>
      </c>
      <c r="F55" s="4"/>
      <c r="G55" s="4" t="s">
        <v>265</v>
      </c>
      <c r="H55" s="4" t="s">
        <v>253</v>
      </c>
    </row>
    <row r="56" ht="15.75" customHeight="1">
      <c r="A56" s="4" t="s">
        <v>266</v>
      </c>
      <c r="B56" s="6"/>
      <c r="C56" s="4" t="s">
        <v>267</v>
      </c>
      <c r="D56" s="4" t="s">
        <v>22</v>
      </c>
      <c r="E56" s="4" t="s">
        <v>268</v>
      </c>
      <c r="F56" s="4"/>
      <c r="G56" s="4" t="s">
        <v>269</v>
      </c>
      <c r="H56" s="4" t="s">
        <v>234</v>
      </c>
    </row>
    <row r="57" ht="15.75" customHeight="1">
      <c r="A57" s="4" t="s">
        <v>270</v>
      </c>
      <c r="B57" s="7"/>
      <c r="C57" s="4" t="s">
        <v>271</v>
      </c>
      <c r="D57" s="4" t="s">
        <v>28</v>
      </c>
      <c r="E57" s="4" t="s">
        <v>272</v>
      </c>
      <c r="F57" s="4"/>
      <c r="G57" s="4" t="s">
        <v>273</v>
      </c>
      <c r="H57" s="4" t="s">
        <v>205</v>
      </c>
    </row>
    <row r="58" ht="15.75" customHeight="1">
      <c r="A58" s="4" t="s">
        <v>274</v>
      </c>
      <c r="B58" s="5" t="s">
        <v>7</v>
      </c>
      <c r="C58" s="4" t="s">
        <v>275</v>
      </c>
      <c r="D58" s="4" t="s">
        <v>22</v>
      </c>
      <c r="E58" s="4" t="s">
        <v>276</v>
      </c>
      <c r="F58" s="4"/>
      <c r="G58" s="4" t="s">
        <v>277</v>
      </c>
      <c r="H58" s="4" t="s">
        <v>278</v>
      </c>
    </row>
    <row r="59" ht="15.75" customHeight="1">
      <c r="A59" s="4" t="s">
        <v>279</v>
      </c>
      <c r="B59" s="6"/>
      <c r="C59" s="4" t="s">
        <v>280</v>
      </c>
      <c r="D59" s="4" t="s">
        <v>28</v>
      </c>
      <c r="E59" s="4" t="s">
        <v>281</v>
      </c>
      <c r="F59" s="4"/>
      <c r="G59" s="4" t="s">
        <v>282</v>
      </c>
      <c r="H59" s="4" t="s">
        <v>283</v>
      </c>
    </row>
    <row r="60" ht="15.75" customHeight="1">
      <c r="A60" s="4" t="s">
        <v>284</v>
      </c>
      <c r="B60" s="6"/>
      <c r="C60" s="4" t="s">
        <v>285</v>
      </c>
      <c r="D60" s="4" t="s">
        <v>22</v>
      </c>
      <c r="E60" s="4" t="s">
        <v>286</v>
      </c>
      <c r="F60" s="4"/>
      <c r="G60" s="4" t="s">
        <v>287</v>
      </c>
      <c r="H60" s="4" t="s">
        <v>278</v>
      </c>
    </row>
    <row r="61" ht="15.75" customHeight="1">
      <c r="A61" s="4" t="s">
        <v>288</v>
      </c>
      <c r="B61" s="6"/>
      <c r="C61" s="4" t="s">
        <v>289</v>
      </c>
      <c r="D61" s="4" t="s">
        <v>28</v>
      </c>
      <c r="E61" s="4" t="s">
        <v>290</v>
      </c>
      <c r="F61" s="4"/>
      <c r="G61" s="4" t="s">
        <v>291</v>
      </c>
      <c r="H61" s="4" t="s">
        <v>292</v>
      </c>
    </row>
    <row r="62" ht="15.75" customHeight="1">
      <c r="A62" s="4" t="s">
        <v>293</v>
      </c>
      <c r="B62" s="6"/>
      <c r="C62" s="4" t="s">
        <v>294</v>
      </c>
      <c r="D62" s="4" t="s">
        <v>22</v>
      </c>
      <c r="E62" s="4" t="s">
        <v>295</v>
      </c>
      <c r="F62" s="4"/>
      <c r="G62" s="4" t="s">
        <v>296</v>
      </c>
      <c r="H62" s="4" t="s">
        <v>278</v>
      </c>
    </row>
    <row r="63" ht="15.75" customHeight="1">
      <c r="A63" s="4" t="s">
        <v>297</v>
      </c>
      <c r="B63" s="6"/>
      <c r="C63" s="4" t="s">
        <v>298</v>
      </c>
      <c r="D63" s="4" t="s">
        <v>28</v>
      </c>
      <c r="E63" s="4" t="s">
        <v>299</v>
      </c>
      <c r="F63" s="4"/>
      <c r="G63" s="4" t="s">
        <v>300</v>
      </c>
      <c r="H63" s="4" t="s">
        <v>278</v>
      </c>
    </row>
    <row r="64" ht="15.75" customHeight="1">
      <c r="A64" s="4" t="s">
        <v>301</v>
      </c>
      <c r="B64" s="6"/>
      <c r="C64" s="4" t="s">
        <v>302</v>
      </c>
      <c r="D64" s="4" t="s">
        <v>22</v>
      </c>
      <c r="E64" s="4" t="s">
        <v>303</v>
      </c>
      <c r="F64" s="4"/>
      <c r="G64" s="4" t="s">
        <v>304</v>
      </c>
      <c r="H64" s="4" t="s">
        <v>305</v>
      </c>
    </row>
    <row r="65" ht="15.75" customHeight="1">
      <c r="A65" s="4" t="s">
        <v>306</v>
      </c>
      <c r="B65" s="6"/>
      <c r="C65" s="4" t="s">
        <v>307</v>
      </c>
      <c r="D65" s="4" t="s">
        <v>28</v>
      </c>
      <c r="E65" s="4" t="s">
        <v>308</v>
      </c>
      <c r="F65" s="4"/>
      <c r="G65" s="4" t="s">
        <v>309</v>
      </c>
      <c r="H65" s="4" t="s">
        <v>310</v>
      </c>
    </row>
    <row r="66" ht="15.75" customHeight="1">
      <c r="A66" s="4" t="s">
        <v>311</v>
      </c>
      <c r="B66" s="6"/>
      <c r="C66" s="4" t="s">
        <v>312</v>
      </c>
      <c r="D66" s="4" t="s">
        <v>22</v>
      </c>
      <c r="E66" s="4" t="s">
        <v>313</v>
      </c>
      <c r="F66" s="4"/>
      <c r="G66" s="4" t="s">
        <v>314</v>
      </c>
      <c r="H66" s="4" t="s">
        <v>305</v>
      </c>
    </row>
    <row r="67" ht="15.75" customHeight="1">
      <c r="A67" s="4" t="s">
        <v>315</v>
      </c>
      <c r="B67" s="6"/>
      <c r="C67" s="4" t="s">
        <v>316</v>
      </c>
      <c r="D67" s="4" t="s">
        <v>28</v>
      </c>
      <c r="E67" s="4" t="s">
        <v>317</v>
      </c>
      <c r="F67" s="4"/>
      <c r="G67" s="4" t="s">
        <v>318</v>
      </c>
      <c r="H67" s="4" t="s">
        <v>319</v>
      </c>
    </row>
    <row r="68" ht="15.75" customHeight="1">
      <c r="A68" s="4" t="s">
        <v>320</v>
      </c>
      <c r="B68" s="6"/>
      <c r="C68" s="4" t="s">
        <v>321</v>
      </c>
      <c r="D68" s="4" t="s">
        <v>22</v>
      </c>
      <c r="E68" s="4" t="s">
        <v>322</v>
      </c>
      <c r="F68" s="4"/>
      <c r="G68" s="4" t="s">
        <v>323</v>
      </c>
      <c r="H68" s="4" t="s">
        <v>305</v>
      </c>
    </row>
    <row r="69" ht="15.75" customHeight="1">
      <c r="A69" s="4" t="s">
        <v>324</v>
      </c>
      <c r="B69" s="6"/>
      <c r="C69" s="4" t="s">
        <v>325</v>
      </c>
      <c r="D69" s="4" t="s">
        <v>28</v>
      </c>
      <c r="E69" s="4" t="s">
        <v>326</v>
      </c>
      <c r="F69" s="4"/>
      <c r="G69" s="4" t="s">
        <v>327</v>
      </c>
      <c r="H69" s="4" t="s">
        <v>305</v>
      </c>
    </row>
    <row r="70" ht="15.75" customHeight="1">
      <c r="A70" s="4" t="s">
        <v>328</v>
      </c>
      <c r="B70" s="6"/>
      <c r="C70" s="4" t="s">
        <v>329</v>
      </c>
      <c r="D70" s="4" t="s">
        <v>22</v>
      </c>
      <c r="E70" s="4" t="s">
        <v>330</v>
      </c>
      <c r="F70" s="4"/>
      <c r="G70" s="4" t="s">
        <v>331</v>
      </c>
      <c r="H70" s="4" t="s">
        <v>332</v>
      </c>
    </row>
    <row r="71" ht="15.75" customHeight="1">
      <c r="A71" s="4" t="s">
        <v>333</v>
      </c>
      <c r="B71" s="6"/>
      <c r="C71" s="4" t="s">
        <v>334</v>
      </c>
      <c r="D71" s="4" t="s">
        <v>28</v>
      </c>
      <c r="E71" s="4" t="s">
        <v>335</v>
      </c>
      <c r="F71" s="4"/>
      <c r="G71" s="4" t="s">
        <v>336</v>
      </c>
      <c r="H71" s="4" t="s">
        <v>305</v>
      </c>
    </row>
    <row r="72" ht="15.75" customHeight="1">
      <c r="A72" s="4" t="s">
        <v>337</v>
      </c>
      <c r="B72" s="6"/>
      <c r="C72" s="4" t="s">
        <v>338</v>
      </c>
      <c r="D72" s="4" t="s">
        <v>22</v>
      </c>
      <c r="E72" s="4" t="s">
        <v>339</v>
      </c>
      <c r="F72" s="4"/>
      <c r="G72" s="4" t="s">
        <v>340</v>
      </c>
      <c r="H72" s="4" t="s">
        <v>305</v>
      </c>
    </row>
    <row r="73" ht="15.75" customHeight="1">
      <c r="A73" s="4" t="s">
        <v>341</v>
      </c>
      <c r="B73" s="7"/>
      <c r="C73" s="4" t="s">
        <v>342</v>
      </c>
      <c r="D73" s="4" t="s">
        <v>28</v>
      </c>
      <c r="E73" s="4" t="s">
        <v>343</v>
      </c>
      <c r="F73" s="4"/>
      <c r="G73" s="4" t="s">
        <v>344</v>
      </c>
      <c r="H73" s="4" t="s">
        <v>305</v>
      </c>
    </row>
    <row r="74" ht="15.75" customHeight="1">
      <c r="A74" s="4" t="s">
        <v>345</v>
      </c>
      <c r="B74" s="5" t="s">
        <v>8</v>
      </c>
      <c r="C74" s="4" t="s">
        <v>346</v>
      </c>
      <c r="D74" s="4" t="s">
        <v>22</v>
      </c>
      <c r="E74" s="4" t="s">
        <v>347</v>
      </c>
      <c r="F74" s="4"/>
      <c r="G74" s="4" t="s">
        <v>348</v>
      </c>
      <c r="H74" s="4" t="s">
        <v>349</v>
      </c>
    </row>
    <row r="75" ht="15.75" customHeight="1">
      <c r="A75" s="4" t="s">
        <v>350</v>
      </c>
      <c r="B75" s="6"/>
      <c r="C75" s="4" t="s">
        <v>351</v>
      </c>
      <c r="D75" s="4" t="s">
        <v>28</v>
      </c>
      <c r="E75" s="4" t="s">
        <v>352</v>
      </c>
      <c r="F75" s="4"/>
      <c r="G75" s="4" t="s">
        <v>353</v>
      </c>
      <c r="H75" s="4" t="s">
        <v>354</v>
      </c>
    </row>
    <row r="76" ht="15.75" customHeight="1">
      <c r="A76" s="4" t="s">
        <v>355</v>
      </c>
      <c r="B76" s="6"/>
      <c r="C76" s="4" t="s">
        <v>356</v>
      </c>
      <c r="D76" s="4" t="s">
        <v>22</v>
      </c>
      <c r="E76" s="4" t="s">
        <v>357</v>
      </c>
      <c r="F76" s="4"/>
      <c r="G76" s="4" t="s">
        <v>358</v>
      </c>
      <c r="H76" s="4" t="s">
        <v>349</v>
      </c>
    </row>
    <row r="77" ht="15.75" customHeight="1">
      <c r="A77" s="4" t="s">
        <v>359</v>
      </c>
      <c r="B77" s="6"/>
      <c r="C77" s="4" t="s">
        <v>360</v>
      </c>
      <c r="D77" s="4" t="s">
        <v>28</v>
      </c>
      <c r="E77" s="4" t="s">
        <v>361</v>
      </c>
      <c r="F77" s="4"/>
      <c r="G77" s="4" t="s">
        <v>362</v>
      </c>
      <c r="H77" s="4" t="s">
        <v>363</v>
      </c>
    </row>
    <row r="78" ht="15.75" customHeight="1">
      <c r="A78" s="4" t="s">
        <v>364</v>
      </c>
      <c r="B78" s="6"/>
      <c r="C78" s="4" t="s">
        <v>365</v>
      </c>
      <c r="D78" s="4" t="s">
        <v>22</v>
      </c>
      <c r="E78" s="4" t="s">
        <v>366</v>
      </c>
      <c r="F78" s="4"/>
      <c r="G78" s="4" t="s">
        <v>367</v>
      </c>
      <c r="H78" s="4" t="s">
        <v>349</v>
      </c>
    </row>
    <row r="79" ht="15.75" customHeight="1">
      <c r="A79" s="4" t="s">
        <v>368</v>
      </c>
      <c r="B79" s="6"/>
      <c r="C79" s="4" t="s">
        <v>369</v>
      </c>
      <c r="D79" s="4" t="s">
        <v>28</v>
      </c>
      <c r="E79" s="4" t="s">
        <v>370</v>
      </c>
      <c r="F79" s="4"/>
      <c r="G79" s="4" t="s">
        <v>371</v>
      </c>
      <c r="H79" s="4" t="s">
        <v>349</v>
      </c>
    </row>
    <row r="80" ht="15.75" customHeight="1">
      <c r="A80" s="4" t="s">
        <v>372</v>
      </c>
      <c r="B80" s="6"/>
      <c r="C80" s="4" t="s">
        <v>373</v>
      </c>
      <c r="D80" s="4" t="s">
        <v>22</v>
      </c>
      <c r="E80" s="4" t="s">
        <v>374</v>
      </c>
      <c r="F80" s="4"/>
      <c r="G80" s="4" t="s">
        <v>375</v>
      </c>
      <c r="H80" s="4" t="s">
        <v>349</v>
      </c>
    </row>
    <row r="81" ht="15.75" customHeight="1">
      <c r="A81" s="4" t="s">
        <v>376</v>
      </c>
      <c r="B81" s="6"/>
      <c r="C81" s="4" t="s">
        <v>377</v>
      </c>
      <c r="D81" s="4" t="s">
        <v>28</v>
      </c>
      <c r="E81" s="4" t="s">
        <v>378</v>
      </c>
      <c r="F81" s="4"/>
      <c r="G81" s="4" t="s">
        <v>379</v>
      </c>
      <c r="H81" s="4" t="s">
        <v>349</v>
      </c>
    </row>
    <row r="82" ht="15.75" customHeight="1">
      <c r="A82" s="4" t="s">
        <v>380</v>
      </c>
      <c r="B82" s="6"/>
      <c r="C82" s="4" t="s">
        <v>381</v>
      </c>
      <c r="D82" s="4" t="s">
        <v>22</v>
      </c>
      <c r="E82" s="4" t="s">
        <v>382</v>
      </c>
      <c r="F82" s="4"/>
      <c r="G82" s="4" t="s">
        <v>383</v>
      </c>
      <c r="H82" s="4" t="s">
        <v>349</v>
      </c>
    </row>
    <row r="83" ht="15.75" customHeight="1">
      <c r="A83" s="4" t="s">
        <v>384</v>
      </c>
      <c r="B83" s="7"/>
      <c r="C83" s="4" t="s">
        <v>385</v>
      </c>
      <c r="D83" s="4" t="s">
        <v>28</v>
      </c>
      <c r="E83" s="4" t="s">
        <v>386</v>
      </c>
      <c r="F83" s="4"/>
      <c r="G83" s="4" t="s">
        <v>387</v>
      </c>
      <c r="H83" s="4" t="s">
        <v>349</v>
      </c>
    </row>
    <row r="84" ht="15.75" customHeight="1">
      <c r="A84" s="4" t="s">
        <v>388</v>
      </c>
      <c r="B84" s="5" t="s">
        <v>9</v>
      </c>
      <c r="C84" s="4" t="s">
        <v>389</v>
      </c>
      <c r="D84" s="4" t="s">
        <v>22</v>
      </c>
      <c r="E84" s="4" t="s">
        <v>390</v>
      </c>
      <c r="F84" s="4"/>
      <c r="G84" s="4" t="s">
        <v>391</v>
      </c>
      <c r="H84" s="4" t="s">
        <v>392</v>
      </c>
    </row>
    <row r="85" ht="15.75" customHeight="1">
      <c r="A85" s="4" t="s">
        <v>393</v>
      </c>
      <c r="B85" s="6"/>
      <c r="C85" s="4" t="s">
        <v>394</v>
      </c>
      <c r="D85" s="4" t="s">
        <v>28</v>
      </c>
      <c r="E85" s="4" t="s">
        <v>395</v>
      </c>
      <c r="F85" s="4"/>
      <c r="G85" s="4" t="s">
        <v>396</v>
      </c>
      <c r="H85" s="4" t="s">
        <v>397</v>
      </c>
    </row>
    <row r="86" ht="15.75" customHeight="1">
      <c r="A86" s="4" t="s">
        <v>398</v>
      </c>
      <c r="B86" s="6"/>
      <c r="C86" s="4" t="s">
        <v>399</v>
      </c>
      <c r="D86" s="4" t="s">
        <v>22</v>
      </c>
      <c r="E86" s="4" t="s">
        <v>400</v>
      </c>
      <c r="F86" s="4"/>
      <c r="G86" s="4" t="s">
        <v>401</v>
      </c>
      <c r="H86" s="4" t="s">
        <v>392</v>
      </c>
    </row>
    <row r="87" ht="15.75" customHeight="1">
      <c r="A87" s="4" t="s">
        <v>402</v>
      </c>
      <c r="B87" s="6"/>
      <c r="C87" s="4" t="s">
        <v>403</v>
      </c>
      <c r="D87" s="4" t="s">
        <v>28</v>
      </c>
      <c r="E87" s="4" t="s">
        <v>404</v>
      </c>
      <c r="F87" s="4"/>
      <c r="G87" s="4" t="s">
        <v>405</v>
      </c>
      <c r="H87" s="4" t="s">
        <v>406</v>
      </c>
    </row>
    <row r="88" ht="15.75" customHeight="1">
      <c r="A88" s="4" t="s">
        <v>407</v>
      </c>
      <c r="B88" s="6"/>
      <c r="C88" s="4" t="s">
        <v>408</v>
      </c>
      <c r="D88" s="4" t="s">
        <v>22</v>
      </c>
      <c r="E88" s="4" t="s">
        <v>409</v>
      </c>
      <c r="F88" s="4"/>
      <c r="G88" s="4" t="s">
        <v>410</v>
      </c>
      <c r="H88" s="4" t="s">
        <v>392</v>
      </c>
    </row>
    <row r="89" ht="15.75" customHeight="1">
      <c r="A89" s="4" t="s">
        <v>411</v>
      </c>
      <c r="B89" s="6"/>
      <c r="C89" s="4" t="s">
        <v>412</v>
      </c>
      <c r="D89" s="4" t="s">
        <v>28</v>
      </c>
      <c r="E89" s="4" t="s">
        <v>413</v>
      </c>
      <c r="F89" s="4"/>
      <c r="G89" s="4" t="s">
        <v>414</v>
      </c>
      <c r="H89" s="4" t="s">
        <v>392</v>
      </c>
    </row>
    <row r="90" ht="15.75" customHeight="1">
      <c r="A90" s="4" t="s">
        <v>415</v>
      </c>
      <c r="B90" s="6"/>
      <c r="C90" s="4" t="s">
        <v>416</v>
      </c>
      <c r="D90" s="4" t="s">
        <v>22</v>
      </c>
      <c r="E90" s="4" t="s">
        <v>417</v>
      </c>
      <c r="F90" s="4"/>
      <c r="G90" s="4" t="s">
        <v>418</v>
      </c>
      <c r="H90" s="4" t="s">
        <v>392</v>
      </c>
    </row>
    <row r="91" ht="15.75" customHeight="1">
      <c r="A91" s="4" t="s">
        <v>419</v>
      </c>
      <c r="B91" s="6"/>
      <c r="C91" s="4" t="s">
        <v>420</v>
      </c>
      <c r="D91" s="4" t="s">
        <v>28</v>
      </c>
      <c r="E91" s="4" t="s">
        <v>421</v>
      </c>
      <c r="F91" s="4"/>
      <c r="G91" s="4" t="s">
        <v>422</v>
      </c>
      <c r="H91" s="4" t="s">
        <v>392</v>
      </c>
    </row>
    <row r="92" ht="15.75" customHeight="1">
      <c r="A92" s="4" t="s">
        <v>423</v>
      </c>
      <c r="B92" s="6"/>
      <c r="C92" s="4" t="s">
        <v>424</v>
      </c>
      <c r="D92" s="4" t="s">
        <v>22</v>
      </c>
      <c r="E92" s="4" t="s">
        <v>425</v>
      </c>
      <c r="F92" s="4"/>
      <c r="G92" s="4" t="s">
        <v>426</v>
      </c>
      <c r="H92" s="4" t="s">
        <v>392</v>
      </c>
    </row>
    <row r="93" ht="15.75" customHeight="1">
      <c r="A93" s="4" t="s">
        <v>427</v>
      </c>
      <c r="B93" s="7"/>
      <c r="C93" s="4" t="s">
        <v>428</v>
      </c>
      <c r="D93" s="4" t="s">
        <v>28</v>
      </c>
      <c r="E93" s="4" t="s">
        <v>429</v>
      </c>
      <c r="F93" s="4"/>
      <c r="G93" s="4" t="s">
        <v>430</v>
      </c>
      <c r="H93" s="4" t="s">
        <v>392</v>
      </c>
    </row>
    <row r="94" ht="15.75" customHeight="1">
      <c r="A94" s="4" t="s">
        <v>431</v>
      </c>
      <c r="B94" s="5" t="s">
        <v>10</v>
      </c>
      <c r="C94" s="4" t="s">
        <v>432</v>
      </c>
      <c r="D94" s="4" t="s">
        <v>22</v>
      </c>
      <c r="E94" s="4" t="s">
        <v>433</v>
      </c>
      <c r="F94" s="4"/>
      <c r="G94" s="4" t="s">
        <v>434</v>
      </c>
      <c r="H94" s="4" t="s">
        <v>435</v>
      </c>
    </row>
    <row r="95" ht="15.75" customHeight="1">
      <c r="A95" s="4" t="s">
        <v>436</v>
      </c>
      <c r="B95" s="6"/>
      <c r="C95" s="4" t="s">
        <v>437</v>
      </c>
      <c r="D95" s="4" t="s">
        <v>28</v>
      </c>
      <c r="E95" s="4" t="s">
        <v>438</v>
      </c>
      <c r="F95" s="4"/>
      <c r="G95" s="4" t="s">
        <v>439</v>
      </c>
      <c r="H95" s="4" t="s">
        <v>253</v>
      </c>
    </row>
    <row r="96" ht="15.75" customHeight="1">
      <c r="A96" s="4" t="s">
        <v>440</v>
      </c>
      <c r="B96" s="6"/>
      <c r="C96" s="4" t="s">
        <v>441</v>
      </c>
      <c r="D96" s="4" t="s">
        <v>22</v>
      </c>
      <c r="E96" s="4" t="s">
        <v>442</v>
      </c>
      <c r="F96" s="4"/>
      <c r="G96" s="4" t="s">
        <v>443</v>
      </c>
      <c r="H96" s="4" t="s">
        <v>435</v>
      </c>
    </row>
    <row r="97" ht="15.75" customHeight="1">
      <c r="A97" s="4" t="s">
        <v>444</v>
      </c>
      <c r="B97" s="6"/>
      <c r="C97" s="4" t="s">
        <v>445</v>
      </c>
      <c r="D97" s="4" t="s">
        <v>28</v>
      </c>
      <c r="E97" s="4" t="s">
        <v>446</v>
      </c>
      <c r="F97" s="4"/>
      <c r="G97" s="4" t="s">
        <v>447</v>
      </c>
      <c r="H97" s="4" t="s">
        <v>435</v>
      </c>
    </row>
    <row r="98" ht="15.75" customHeight="1">
      <c r="A98" s="4" t="s">
        <v>448</v>
      </c>
      <c r="B98" s="6"/>
      <c r="C98" s="4" t="s">
        <v>159</v>
      </c>
      <c r="D98" s="4" t="s">
        <v>22</v>
      </c>
      <c r="E98" s="4" t="s">
        <v>449</v>
      </c>
      <c r="F98" s="4"/>
      <c r="G98" s="4" t="s">
        <v>450</v>
      </c>
      <c r="H98" s="4" t="s">
        <v>435</v>
      </c>
    </row>
    <row r="99" ht="15.75" customHeight="1">
      <c r="A99" s="4" t="s">
        <v>451</v>
      </c>
      <c r="B99" s="6"/>
      <c r="C99" s="4" t="s">
        <v>452</v>
      </c>
      <c r="D99" s="4" t="s">
        <v>28</v>
      </c>
      <c r="E99" s="4" t="s">
        <v>453</v>
      </c>
      <c r="F99" s="4"/>
      <c r="G99" s="4" t="s">
        <v>454</v>
      </c>
      <c r="H99" s="4" t="s">
        <v>435</v>
      </c>
    </row>
    <row r="100" ht="15.75" customHeight="1">
      <c r="A100" s="4" t="s">
        <v>455</v>
      </c>
      <c r="B100" s="6"/>
      <c r="C100" s="4" t="s">
        <v>456</v>
      </c>
      <c r="D100" s="4" t="s">
        <v>22</v>
      </c>
      <c r="E100" s="4" t="s">
        <v>457</v>
      </c>
      <c r="F100" s="4"/>
      <c r="G100" s="4" t="s">
        <v>458</v>
      </c>
      <c r="H100" s="4" t="s">
        <v>253</v>
      </c>
    </row>
    <row r="101" ht="15.75" customHeight="1">
      <c r="A101" s="4" t="s">
        <v>459</v>
      </c>
      <c r="B101" s="6"/>
      <c r="C101" s="4" t="s">
        <v>460</v>
      </c>
      <c r="D101" s="4" t="s">
        <v>28</v>
      </c>
      <c r="E101" s="4" t="s">
        <v>461</v>
      </c>
      <c r="F101" s="4"/>
      <c r="G101" s="4" t="s">
        <v>462</v>
      </c>
      <c r="H101" s="4" t="s">
        <v>435</v>
      </c>
    </row>
    <row r="102" ht="15.75" customHeight="1">
      <c r="A102" s="4" t="s">
        <v>463</v>
      </c>
      <c r="B102" s="6"/>
      <c r="C102" s="4" t="s">
        <v>464</v>
      </c>
      <c r="D102" s="4" t="s">
        <v>22</v>
      </c>
      <c r="E102" s="4" t="s">
        <v>465</v>
      </c>
      <c r="F102" s="4"/>
      <c r="G102" s="4" t="s">
        <v>466</v>
      </c>
      <c r="H102" s="4" t="s">
        <v>435</v>
      </c>
    </row>
    <row r="103" ht="15.75" customHeight="1">
      <c r="A103" s="4" t="s">
        <v>467</v>
      </c>
      <c r="B103" s="7"/>
      <c r="C103" s="4" t="s">
        <v>468</v>
      </c>
      <c r="D103" s="4" t="s">
        <v>28</v>
      </c>
      <c r="E103" s="4" t="s">
        <v>469</v>
      </c>
      <c r="F103" s="4"/>
      <c r="G103" s="4" t="s">
        <v>470</v>
      </c>
      <c r="H103" s="4" t="s">
        <v>435</v>
      </c>
    </row>
    <row r="104" ht="15.75" customHeight="1">
      <c r="A104" s="4" t="s">
        <v>471</v>
      </c>
      <c r="B104" s="5" t="s">
        <v>11</v>
      </c>
      <c r="C104" s="4" t="s">
        <v>472</v>
      </c>
      <c r="D104" s="4" t="s">
        <v>22</v>
      </c>
      <c r="E104" s="4" t="s">
        <v>473</v>
      </c>
      <c r="F104" s="4" t="s">
        <v>474</v>
      </c>
      <c r="G104" s="4" t="s">
        <v>475</v>
      </c>
      <c r="H104" s="4" t="s">
        <v>476</v>
      </c>
    </row>
    <row r="105" ht="15.75" customHeight="1">
      <c r="A105" s="4" t="s">
        <v>477</v>
      </c>
      <c r="B105" s="6"/>
      <c r="C105" s="4" t="s">
        <v>478</v>
      </c>
      <c r="D105" s="4" t="s">
        <v>28</v>
      </c>
      <c r="E105" s="4" t="s">
        <v>479</v>
      </c>
      <c r="F105" s="4"/>
      <c r="G105" s="4" t="s">
        <v>480</v>
      </c>
      <c r="H105" s="4" t="s">
        <v>481</v>
      </c>
    </row>
    <row r="106" ht="15.75" customHeight="1">
      <c r="A106" s="4" t="s">
        <v>482</v>
      </c>
      <c r="B106" s="6"/>
      <c r="C106" s="4" t="s">
        <v>483</v>
      </c>
      <c r="D106" s="4" t="s">
        <v>22</v>
      </c>
      <c r="E106" s="4" t="s">
        <v>484</v>
      </c>
      <c r="F106" s="4"/>
      <c r="G106" s="4" t="s">
        <v>485</v>
      </c>
      <c r="H106" s="4" t="s">
        <v>486</v>
      </c>
    </row>
    <row r="107" ht="15.75" customHeight="1">
      <c r="A107" s="4" t="s">
        <v>487</v>
      </c>
      <c r="B107" s="6"/>
      <c r="C107" s="4" t="s">
        <v>488</v>
      </c>
      <c r="D107" s="4" t="s">
        <v>22</v>
      </c>
      <c r="E107" s="4" t="s">
        <v>489</v>
      </c>
      <c r="F107" s="4"/>
      <c r="G107" s="4" t="s">
        <v>490</v>
      </c>
      <c r="H107" s="4" t="s">
        <v>486</v>
      </c>
    </row>
    <row r="108" ht="15.75" customHeight="1">
      <c r="A108" s="4" t="s">
        <v>491</v>
      </c>
      <c r="B108" s="6"/>
      <c r="C108" s="4" t="s">
        <v>492</v>
      </c>
      <c r="D108" s="4" t="s">
        <v>28</v>
      </c>
      <c r="E108" s="4" t="s">
        <v>493</v>
      </c>
      <c r="F108" s="4"/>
      <c r="G108" s="4" t="s">
        <v>494</v>
      </c>
      <c r="H108" s="4" t="s">
        <v>486</v>
      </c>
    </row>
    <row r="109" ht="15.75" customHeight="1">
      <c r="A109" s="4" t="s">
        <v>495</v>
      </c>
      <c r="B109" s="6"/>
      <c r="C109" s="4" t="s">
        <v>496</v>
      </c>
      <c r="D109" s="4" t="s">
        <v>22</v>
      </c>
      <c r="E109" s="4" t="s">
        <v>497</v>
      </c>
      <c r="F109" s="4"/>
      <c r="G109" s="4" t="s">
        <v>498</v>
      </c>
      <c r="H109" s="4" t="s">
        <v>486</v>
      </c>
    </row>
    <row r="110" ht="15.75" customHeight="1">
      <c r="A110" s="4" t="s">
        <v>499</v>
      </c>
      <c r="B110" s="6"/>
      <c r="C110" s="4" t="s">
        <v>500</v>
      </c>
      <c r="D110" s="4" t="s">
        <v>28</v>
      </c>
      <c r="E110" s="4" t="s">
        <v>501</v>
      </c>
      <c r="F110" s="4"/>
      <c r="G110" s="4" t="s">
        <v>502</v>
      </c>
      <c r="H110" s="4" t="s">
        <v>486</v>
      </c>
    </row>
    <row r="111" ht="15.75" customHeight="1">
      <c r="A111" s="4" t="s">
        <v>503</v>
      </c>
      <c r="B111" s="6"/>
      <c r="C111" s="4" t="s">
        <v>504</v>
      </c>
      <c r="D111" s="4" t="s">
        <v>22</v>
      </c>
      <c r="E111" s="4" t="s">
        <v>505</v>
      </c>
      <c r="F111" s="4"/>
      <c r="G111" s="4" t="s">
        <v>506</v>
      </c>
      <c r="H111" s="4" t="s">
        <v>507</v>
      </c>
    </row>
    <row r="112" ht="15.75" customHeight="1">
      <c r="A112" s="4" t="s">
        <v>508</v>
      </c>
      <c r="B112" s="6"/>
      <c r="C112" s="4" t="s">
        <v>509</v>
      </c>
      <c r="D112" s="4" t="s">
        <v>28</v>
      </c>
      <c r="E112" s="4" t="s">
        <v>510</v>
      </c>
      <c r="F112" s="4"/>
      <c r="G112" s="4" t="s">
        <v>511</v>
      </c>
      <c r="H112" s="4" t="s">
        <v>512</v>
      </c>
    </row>
    <row r="113" ht="15.75" customHeight="1">
      <c r="A113" s="4" t="s">
        <v>513</v>
      </c>
      <c r="B113" s="7"/>
      <c r="C113" s="4" t="s">
        <v>514</v>
      </c>
      <c r="D113" s="4" t="s">
        <v>22</v>
      </c>
      <c r="E113" s="4" t="s">
        <v>515</v>
      </c>
      <c r="F113" s="4"/>
      <c r="G113" s="4" t="s">
        <v>516</v>
      </c>
      <c r="H113" s="4" t="s">
        <v>486</v>
      </c>
    </row>
    <row r="114" ht="15.75" customHeight="1">
      <c r="A114" s="4" t="s">
        <v>517</v>
      </c>
      <c r="B114" s="5" t="s">
        <v>12</v>
      </c>
      <c r="C114" s="4" t="s">
        <v>518</v>
      </c>
      <c r="D114" s="4" t="s">
        <v>22</v>
      </c>
      <c r="E114" s="4" t="s">
        <v>519</v>
      </c>
      <c r="F114" s="4" t="s">
        <v>520</v>
      </c>
      <c r="G114" s="4" t="s">
        <v>521</v>
      </c>
      <c r="H114" s="4" t="s">
        <v>522</v>
      </c>
    </row>
    <row r="115" ht="15.75" customHeight="1">
      <c r="A115" s="4" t="s">
        <v>523</v>
      </c>
      <c r="B115" s="6"/>
      <c r="C115" s="4" t="s">
        <v>524</v>
      </c>
      <c r="D115" s="4" t="s">
        <v>28</v>
      </c>
      <c r="E115" s="4" t="s">
        <v>525</v>
      </c>
      <c r="F115" s="4"/>
      <c r="G115" s="4" t="s">
        <v>526</v>
      </c>
      <c r="H115" s="4" t="s">
        <v>527</v>
      </c>
    </row>
    <row r="116" ht="15.75" customHeight="1">
      <c r="A116" s="4" t="s">
        <v>528</v>
      </c>
      <c r="B116" s="6"/>
      <c r="C116" s="4" t="s">
        <v>529</v>
      </c>
      <c r="D116" s="4" t="s">
        <v>22</v>
      </c>
      <c r="E116" s="4" t="s">
        <v>530</v>
      </c>
      <c r="F116" s="4"/>
      <c r="G116" s="4" t="s">
        <v>531</v>
      </c>
      <c r="H116" s="4" t="s">
        <v>532</v>
      </c>
    </row>
    <row r="117" ht="15.75" customHeight="1">
      <c r="A117" s="4" t="s">
        <v>533</v>
      </c>
      <c r="B117" s="6"/>
      <c r="C117" s="4" t="s">
        <v>534</v>
      </c>
      <c r="D117" s="4" t="s">
        <v>28</v>
      </c>
      <c r="E117" s="4" t="s">
        <v>535</v>
      </c>
      <c r="F117" s="4"/>
      <c r="G117" s="4" t="s">
        <v>536</v>
      </c>
      <c r="H117" s="4" t="s">
        <v>532</v>
      </c>
    </row>
    <row r="118" ht="15.75" customHeight="1">
      <c r="A118" s="4" t="s">
        <v>537</v>
      </c>
      <c r="B118" s="6"/>
      <c r="C118" s="4" t="s">
        <v>538</v>
      </c>
      <c r="D118" s="4" t="s">
        <v>22</v>
      </c>
      <c r="E118" s="4" t="s">
        <v>539</v>
      </c>
      <c r="F118" s="4"/>
      <c r="G118" s="4" t="s">
        <v>540</v>
      </c>
      <c r="H118" s="4" t="s">
        <v>527</v>
      </c>
    </row>
    <row r="119" ht="15.75" customHeight="1">
      <c r="A119" s="4" t="s">
        <v>541</v>
      </c>
      <c r="B119" s="6"/>
      <c r="C119" s="4" t="s">
        <v>542</v>
      </c>
      <c r="D119" s="4" t="s">
        <v>28</v>
      </c>
      <c r="E119" s="4" t="s">
        <v>543</v>
      </c>
      <c r="F119" s="4"/>
      <c r="G119" s="4" t="s">
        <v>544</v>
      </c>
      <c r="H119" s="4" t="s">
        <v>522</v>
      </c>
    </row>
    <row r="120" ht="15.75" customHeight="1">
      <c r="A120" s="4" t="s">
        <v>545</v>
      </c>
      <c r="B120" s="6"/>
      <c r="C120" s="4" t="s">
        <v>546</v>
      </c>
      <c r="D120" s="4" t="s">
        <v>22</v>
      </c>
      <c r="E120" s="4" t="s">
        <v>547</v>
      </c>
      <c r="F120" s="4"/>
      <c r="G120" s="4" t="s">
        <v>548</v>
      </c>
      <c r="H120" s="4" t="s">
        <v>522</v>
      </c>
    </row>
    <row r="121" ht="15.75" customHeight="1">
      <c r="A121" s="4" t="s">
        <v>549</v>
      </c>
      <c r="B121" s="6"/>
      <c r="C121" s="4" t="s">
        <v>550</v>
      </c>
      <c r="D121" s="4" t="s">
        <v>28</v>
      </c>
      <c r="E121" s="4" t="s">
        <v>551</v>
      </c>
      <c r="F121" s="4"/>
      <c r="G121" s="4" t="s">
        <v>552</v>
      </c>
      <c r="H121" s="4" t="s">
        <v>527</v>
      </c>
    </row>
    <row r="122" ht="15.75" customHeight="1">
      <c r="A122" s="4" t="s">
        <v>553</v>
      </c>
      <c r="B122" s="6"/>
      <c r="C122" s="4" t="s">
        <v>554</v>
      </c>
      <c r="D122" s="4" t="s">
        <v>22</v>
      </c>
      <c r="E122" s="4" t="s">
        <v>555</v>
      </c>
      <c r="F122" s="4"/>
      <c r="G122" s="4" t="s">
        <v>556</v>
      </c>
      <c r="H122" s="4" t="s">
        <v>527</v>
      </c>
    </row>
    <row r="123" ht="15.75" customHeight="1">
      <c r="A123" s="4" t="s">
        <v>557</v>
      </c>
      <c r="B123" s="7"/>
      <c r="C123" s="4" t="s">
        <v>558</v>
      </c>
      <c r="D123" s="4" t="s">
        <v>28</v>
      </c>
      <c r="E123" s="4" t="s">
        <v>559</v>
      </c>
      <c r="F123" s="4"/>
      <c r="G123" s="4" t="s">
        <v>560</v>
      </c>
      <c r="H123" s="4" t="s">
        <v>527</v>
      </c>
    </row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B18:B29"/>
    <mergeCell ref="B30:B37"/>
    <mergeCell ref="B38:B47"/>
    <mergeCell ref="B48:B57"/>
    <mergeCell ref="B74:B83"/>
    <mergeCell ref="B84:B93"/>
    <mergeCell ref="B94:B103"/>
    <mergeCell ref="B104:B113"/>
    <mergeCell ref="B114:B123"/>
    <mergeCell ref="B2:B7"/>
    <mergeCell ref="B8:B17"/>
    <mergeCell ref="B58:B73"/>
  </mergeCells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2024-09-02T21:48:13Z</dcterms:created>
</cp:coreProperties>
</file>