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iyewang/Documents/Tools/SCSimulation-master/us_lm/"/>
    </mc:Choice>
  </mc:AlternateContent>
  <xr:revisionPtr revIDLastSave="0" documentId="13_ncr:1_{05173E6E-92AE-8343-B565-8420754D11A5}" xr6:coauthVersionLast="47" xr6:coauthVersionMax="47" xr10:uidLastSave="{00000000-0000-0000-0000-000000000000}"/>
  <bookViews>
    <workbookView xWindow="0" yWindow="500" windowWidth="18560" windowHeight="15800" xr2:uid="{32365C53-E796-1D41-ACF1-78D04DECEA13}"/>
  </bookViews>
  <sheets>
    <sheet name="Rate Dictionary" sheetId="2" r:id="rId1"/>
    <sheet name="Seasons Table" sheetId="3" r:id="rId2"/>
  </sheets>
  <definedNames>
    <definedName name="_xlnm._FilterDatabase" localSheetId="0" hidden="1">'Rate Dictionary'!$A$1:$X$414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40" i="2" l="1"/>
  <c r="L439" i="2"/>
  <c r="L438" i="2"/>
  <c r="L437" i="2"/>
  <c r="L436" i="2"/>
  <c r="L435" i="2"/>
  <c r="O436" i="2"/>
  <c r="O437" i="2"/>
  <c r="O438" i="2"/>
  <c r="O439" i="2"/>
  <c r="O440" i="2"/>
  <c r="O435" i="2"/>
  <c r="L413" i="2"/>
  <c r="L414" i="2"/>
  <c r="L412" i="2"/>
  <c r="L409" i="2"/>
  <c r="L411" i="2"/>
  <c r="L410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L390" i="2"/>
  <c r="L389" i="2"/>
  <c r="L388" i="2"/>
  <c r="L387" i="2"/>
  <c r="L386" i="2"/>
  <c r="L384" i="2"/>
  <c r="L383" i="2"/>
  <c r="L382" i="2"/>
  <c r="L381" i="2"/>
  <c r="L380" i="2"/>
  <c r="L378" i="2"/>
  <c r="L377" i="2"/>
  <c r="L376" i="2"/>
  <c r="L375" i="2"/>
  <c r="L374" i="2"/>
  <c r="L385" i="2"/>
  <c r="L379" i="2"/>
  <c r="L373" i="2"/>
  <c r="T350" i="2" l="1"/>
  <c r="T345" i="2"/>
  <c r="S337" i="2" l="1"/>
  <c r="S338" i="2"/>
  <c r="V336" i="2"/>
  <c r="S336" i="2"/>
  <c r="U338" i="2"/>
  <c r="T338" i="2"/>
  <c r="T337" i="2"/>
  <c r="V335" i="2"/>
  <c r="U335" i="2"/>
  <c r="T334" i="2"/>
  <c r="T335" i="2"/>
  <c r="T318" i="2"/>
  <c r="V334" i="2"/>
  <c r="O154" i="2"/>
  <c r="O323" i="2"/>
  <c r="T317" i="2"/>
  <c r="O301" i="2"/>
  <c r="O329" i="2"/>
  <c r="O327" i="2"/>
  <c r="O325" i="2"/>
  <c r="O330" i="2"/>
  <c r="O328" i="2"/>
  <c r="O326" i="2"/>
  <c r="O324" i="2"/>
  <c r="U321" i="2"/>
  <c r="U320" i="2"/>
  <c r="V321" i="2"/>
  <c r="V320" i="2"/>
  <c r="T320" i="2"/>
  <c r="T321" i="2"/>
  <c r="V322" i="2"/>
  <c r="O322" i="2" s="1"/>
  <c r="V319" i="2"/>
  <c r="O319" i="2" s="1"/>
  <c r="V318" i="2"/>
  <c r="U318" i="2"/>
  <c r="V317" i="2"/>
  <c r="U317" i="2"/>
  <c r="L312" i="2"/>
  <c r="O336" i="2" l="1"/>
  <c r="O335" i="2"/>
  <c r="O317" i="2"/>
  <c r="O334" i="2"/>
  <c r="V338" i="2"/>
  <c r="O338" i="2" s="1"/>
  <c r="V337" i="2"/>
  <c r="O337" i="2" s="1"/>
  <c r="O321" i="2"/>
  <c r="O320" i="2"/>
  <c r="O318" i="2"/>
  <c r="O308" i="2"/>
  <c r="O309" i="2" s="1"/>
  <c r="O306" i="2"/>
  <c r="O307" i="2" s="1"/>
  <c r="O304" i="2"/>
  <c r="O305" i="2" s="1"/>
  <c r="O302" i="2"/>
  <c r="L290" i="2" l="1"/>
  <c r="L289" i="2"/>
  <c r="O282" i="2" l="1"/>
  <c r="O286" i="2"/>
  <c r="O285" i="2"/>
  <c r="O284" i="2"/>
  <c r="O283" i="2"/>
  <c r="O281" i="2" l="1"/>
  <c r="O280" i="2"/>
  <c r="O279" i="2"/>
  <c r="O278" i="2"/>
  <c r="O274" i="2" l="1"/>
  <c r="O273" i="2"/>
  <c r="O275" i="2"/>
  <c r="O276" i="2"/>
  <c r="O277" i="2"/>
  <c r="L272" i="2" l="1"/>
  <c r="L271" i="2"/>
  <c r="L270" i="2"/>
  <c r="L269" i="2"/>
  <c r="L268" i="2"/>
  <c r="L267" i="2"/>
  <c r="L266" i="2"/>
  <c r="L265" i="2"/>
  <c r="L264" i="2"/>
  <c r="L263" i="2"/>
  <c r="L261" i="2"/>
  <c r="L259" i="2"/>
  <c r="L256" i="2"/>
  <c r="L254" i="2"/>
  <c r="L262" i="2"/>
  <c r="L260" i="2"/>
  <c r="L258" i="2"/>
  <c r="L257" i="2"/>
  <c r="L255" i="2"/>
  <c r="L253" i="2"/>
  <c r="O226" i="2" l="1"/>
  <c r="O227" i="2"/>
  <c r="O228" i="2"/>
  <c r="O229" i="2"/>
  <c r="O230" i="2"/>
  <c r="O231" i="2"/>
  <c r="O225" i="2"/>
  <c r="O219" i="2"/>
  <c r="O220" i="2"/>
  <c r="O221" i="2"/>
  <c r="O222" i="2"/>
  <c r="O223" i="2"/>
  <c r="O224" i="2"/>
  <c r="O218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13" i="2"/>
  <c r="O212" i="2"/>
  <c r="O214" i="2"/>
  <c r="O215" i="2"/>
  <c r="O216" i="2"/>
  <c r="O217" i="2"/>
  <c r="O211" i="2"/>
  <c r="O210" i="2"/>
  <c r="O209" i="2"/>
  <c r="O89" i="2" l="1"/>
  <c r="O90" i="2"/>
  <c r="O91" i="2"/>
  <c r="O92" i="2"/>
  <c r="O93" i="2"/>
  <c r="O94" i="2"/>
  <c r="O95" i="2"/>
  <c r="O88" i="2"/>
  <c r="O81" i="2" l="1"/>
  <c r="O82" i="2"/>
  <c r="O83" i="2"/>
  <c r="O84" i="2"/>
  <c r="O85" i="2"/>
  <c r="O86" i="2"/>
  <c r="O87" i="2"/>
  <c r="O80" i="2"/>
  <c r="O73" i="2"/>
  <c r="O74" i="2"/>
  <c r="O75" i="2"/>
  <c r="O76" i="2"/>
  <c r="O77" i="2"/>
  <c r="O78" i="2"/>
  <c r="O79" i="2"/>
  <c r="O72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56" i="2"/>
  <c r="L107" i="2" l="1"/>
  <c r="L106" i="2"/>
  <c r="M107" i="2"/>
  <c r="M106" i="2"/>
  <c r="O39" i="2" l="1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38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T179" i="2" l="1"/>
  <c r="V179" i="2"/>
  <c r="V178" i="2"/>
  <c r="V154" i="2"/>
  <c r="L169" i="2"/>
  <c r="V180" i="2"/>
  <c r="V183" i="2" l="1"/>
  <c r="V182" i="2"/>
  <c r="V184" i="2"/>
  <c r="V181" i="2"/>
  <c r="V157" i="2"/>
  <c r="V156" i="2"/>
  <c r="V155" i="2"/>
  <c r="U183" i="2"/>
  <c r="U180" i="2"/>
  <c r="T183" i="2"/>
  <c r="T182" i="2"/>
  <c r="T180" i="2"/>
  <c r="L168" i="2"/>
  <c r="L167" i="2"/>
  <c r="L166" i="2"/>
  <c r="M166" i="2"/>
  <c r="L165" i="2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O159" i="2"/>
  <c r="O160" i="2"/>
  <c r="O161" i="2"/>
  <c r="O162" i="2"/>
  <c r="O163" i="2"/>
  <c r="O164" i="2"/>
  <c r="O158" i="2"/>
  <c r="O155" i="2"/>
  <c r="O156" i="2"/>
  <c r="O157" i="2"/>
  <c r="L157" i="2"/>
  <c r="L156" i="2"/>
  <c r="L155" i="2"/>
  <c r="L154" i="2"/>
  <c r="O153" i="2"/>
  <c r="O152" i="2"/>
  <c r="O151" i="2"/>
  <c r="O150" i="2"/>
  <c r="O149" i="2"/>
  <c r="O148" i="2"/>
  <c r="O147" i="2"/>
  <c r="A274" i="2" l="1"/>
  <c r="A275" i="2" s="1"/>
  <c r="A276" i="2" s="1"/>
  <c r="A277" i="2" s="1"/>
  <c r="A278" i="2" s="1"/>
  <c r="A279" i="2" s="1"/>
  <c r="A280" i="2" s="1"/>
  <c r="A281" i="2" l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28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tc={ED514808-B389-E64F-88CE-8D949B631E85}</author>
    <author>Microsoft Office User</author>
    <author>tc={B5B4653A-36A0-E947-8617-218EA6D8B6B5}</author>
    <author>tc={C70120D0-6311-D843-87CA-A199466C15D3}</author>
    <author>tc={73BAE7F8-9D09-D643-BED3-B1034EB661CA}</author>
    <author>tc={2663BF51-4D63-E440-B567-CA93B3D77B1E}</author>
    <author>tc={FE5ED7ED-599E-BA4A-AB7C-2DB98EC0D4B0}</author>
    <author>tc={60E8A3D0-8F02-504A-98DA-7E652FE747E7}</author>
    <author>tc={07DD5220-0E6D-4B46-B0F9-13CE372929FB}</author>
    <author>tc={23ABAF90-D0BC-0743-9316-105025FB8EB3}</author>
    <author>tc={38F6088A-E92F-8A41-89E7-C19D3672233D}</author>
    <author>tc={65960C66-6302-3B4F-8F51-49884798F85E}</author>
    <author>tc={8A893200-3A11-6848-8AF6-A4EADAFADD25}</author>
    <author>tc={03A1D3B2-86D9-8245-88D7-0EAF8918EA46}</author>
    <author>tc={F4C989DA-8AF0-6349-B67E-9D2ABBF6ACC1}</author>
    <author>tc={A701D390-5FC5-484B-ADE5-BC74FFAF42B8}</author>
    <author>tc={0432E0AB-AE69-2B41-A161-15990F89527F}</author>
    <author>tc={FE5C5F18-F322-3B4B-9596-2AC7826B7CD4}</author>
  </authors>
  <commentList>
    <comment ref="N1" authorId="0" shapeId="0" xr:uid="{ED514808-B389-E64F-88CE-8D949B631E8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Also called / Facilities Related (if applicable) </t>
      </text>
    </comment>
    <comment ref="E65" authorId="1" shapeId="0" xr:uid="{AEB0F068-FFD5-F949-A36E-8BDF3E08DED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Needs to be updated</t>
        </r>
      </text>
    </comment>
    <comment ref="M83" authorId="2" shapeId="0" xr:uid="{B5B4653A-36A0-E947-8617-218EA6D8B6B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are 0, but i have not yet accounted for max demand aka facilities realated</t>
      </text>
    </comment>
    <comment ref="M91" authorId="3" shapeId="0" xr:uid="{C70120D0-6311-D843-87CA-A199466C15D3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are 0, but i have not yet accounted for max demand aka facilities realated</t>
      </text>
    </comment>
    <comment ref="M170" authorId="4" shapeId="0" xr:uid="{73BAE7F8-9D09-D643-BED3-B1034EB661CA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this is peak demand charge + distribution demand charge</t>
      </text>
    </comment>
    <comment ref="M173" authorId="5" shapeId="0" xr:uid="{2663BF51-4D63-E440-B567-CA93B3D77B1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this is peak demand charge + distribution demand charge</t>
      </text>
    </comment>
    <comment ref="M174" authorId="6" shapeId="0" xr:uid="{FE5ED7ED-599E-BA4A-AB7C-2DB98EC0D4B0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this is peak demand charge + distribution demand charge</t>
      </text>
    </comment>
    <comment ref="O201" authorId="7" shapeId="0" xr:uid="{60E8A3D0-8F02-504A-98DA-7E652FE747E7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customer charge as making assumption they are paying that anyways</t>
      </text>
    </comment>
    <comment ref="M281" authorId="8" shapeId="0" xr:uid="{07DD5220-0E6D-4B46-B0F9-13CE372929F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are 0, but i have not yet accounted for max demand aka facilities realated</t>
      </text>
    </comment>
    <comment ref="M286" authorId="9" shapeId="0" xr:uid="{23ABAF90-D0BC-0743-9316-105025FB8EB3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are 0, but i have not yet accounted for max demand aka facilities realated</t>
      </text>
    </comment>
    <comment ref="O301" authorId="10" shapeId="0" xr:uid="{38F6088A-E92F-8A41-89E7-C19D3672233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Accounts for the difference of the lower rate of the first 2,500 kW </t>
      </text>
    </comment>
    <comment ref="O302" authorId="11" shapeId="0" xr:uid="{65960C66-6302-3B4F-8F51-49884798F85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Accounts for the difference of the lower rate of the first 2,500 kW </t>
      </text>
    </comment>
    <comment ref="O304" authorId="12" shapeId="0" xr:uid="{8A893200-3A11-6848-8AF6-A4EADAFADD2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Accounts for the difference of the lower rate of the first 2,500 kW </t>
      </text>
    </comment>
    <comment ref="O305" authorId="13" shapeId="0" xr:uid="{03A1D3B2-86D9-8245-88D7-0EAF8918EA4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Accounts for the difference of the lower rate of the first 2,500 kW </t>
      </text>
    </comment>
    <comment ref="O306" authorId="14" shapeId="0" xr:uid="{F4C989DA-8AF0-6349-B67E-9D2ABBF6ACC1}">
      <text>
        <t>[Threaded comment]
Your version of Excel allows you to read this threaded comment; however, any edits to it will get removed if the file is opened in a newer version of Excel. Learn more: https://go.microsoft.com/fwlink/?linkid=870924
Comment:
    Accounts for demand charge only after first 20kW</t>
      </text>
    </comment>
    <comment ref="O307" authorId="15" shapeId="0" xr:uid="{A701D390-5FC5-484B-ADE5-BC74FFAF42B8}">
      <text>
        <t>[Threaded comment]
Your version of Excel allows you to read this threaded comment; however, any edits to it will get removed if the file is opened in a newer version of Excel. Learn more: https://go.microsoft.com/fwlink/?linkid=870924
Comment:
    Accounts for demand charge only after first 20kW</t>
      </text>
    </comment>
    <comment ref="O308" authorId="16" shapeId="0" xr:uid="{0432E0AB-AE69-2B41-A161-15990F89527F}">
      <text>
        <t>[Threaded comment]
Your version of Excel allows you to read this threaded comment; however, any edits to it will get removed if the file is opened in a newer version of Excel. Learn more: https://go.microsoft.com/fwlink/?linkid=870924
Comment:
    Accounts for demand charge only after first 20kW</t>
      </text>
    </comment>
    <comment ref="O309" authorId="17" shapeId="0" xr:uid="{FE5C5F18-F322-3B4B-9596-2AC7826B7CD4}">
      <text>
        <t>[Threaded comment]
Your version of Excel allows you to read this threaded comment; however, any edits to it will get removed if the file is opened in a newer version of Excel. Learn more: https://go.microsoft.com/fwlink/?linkid=870924
Comment:
    Accounts for demand charge only after first 20kW</t>
      </text>
    </comment>
  </commentList>
</comments>
</file>

<file path=xl/sharedStrings.xml><?xml version="1.0" encoding="utf-8"?>
<sst xmlns="http://schemas.openxmlformats.org/spreadsheetml/2006/main" count="2275" uniqueCount="198">
  <si>
    <t>Index</t>
  </si>
  <si>
    <t>Utility</t>
  </si>
  <si>
    <t>Tariff Name</t>
  </si>
  <si>
    <t>TOU Name</t>
  </si>
  <si>
    <t>SCE</t>
  </si>
  <si>
    <t>TOU-EV-9 (&lt; 2 kV)</t>
  </si>
  <si>
    <t>1,2,3,4,5</t>
  </si>
  <si>
    <t>6,7</t>
  </si>
  <si>
    <t>TOU-EV-9 (2 - 50 kV)</t>
  </si>
  <si>
    <t>PG&amp;E</t>
  </si>
  <si>
    <t>A-10 (Secondary)</t>
  </si>
  <si>
    <t>1,2,3,4,5,6,7</t>
  </si>
  <si>
    <t>TOU-EV-9 (&gt; 50 kV)</t>
  </si>
  <si>
    <t>Energy Charges
($/kWh)</t>
  </si>
  <si>
    <t>Demand Charges
($/kW)</t>
  </si>
  <si>
    <t>Customer Charges
($ / Month - per meter)</t>
  </si>
  <si>
    <t>Applicable Days
(1-7)</t>
  </si>
  <si>
    <t>Power Factor Adjustment
($/kVar)</t>
  </si>
  <si>
    <t>Voltage Discount
($/kWh)</t>
  </si>
  <si>
    <t>A-10 (Primary)</t>
  </si>
  <si>
    <t>Summer</t>
  </si>
  <si>
    <t>A-10 (Secondary Non-TOU)</t>
  </si>
  <si>
    <t>Winter</t>
  </si>
  <si>
    <t>A-10 (Primary Non-TOU)</t>
  </si>
  <si>
    <t>BramptonHydro</t>
  </si>
  <si>
    <t>Business TOU (&lt;50 kW)</t>
  </si>
  <si>
    <t>XCEL - Minnesota</t>
  </si>
  <si>
    <t>Energy Credit
($/kWh)</t>
  </si>
  <si>
    <t>Electric Vehicle Fleet Pilot (Secondary)</t>
  </si>
  <si>
    <t>Electric Vehicle Fleet Pilot (Primary)</t>
  </si>
  <si>
    <t>Austin Energy</t>
  </si>
  <si>
    <t>-</t>
  </si>
  <si>
    <t>General Service - Inside City Limits (Secondary 10 kW - 299 kW)</t>
  </si>
  <si>
    <t>General Service - Outside City Limits (Secondary &lt;10 kW)</t>
  </si>
  <si>
    <t>General Service - Inside City Limits (Secondary &lt;10 kW)</t>
  </si>
  <si>
    <t>General Service - Outside City Limits (Secondary 10 kW - 299 kW)</t>
  </si>
  <si>
    <t>General Service - Outside City Limits (Secondary ≥200 kW)</t>
  </si>
  <si>
    <t>General Service - Inside City Limits (Secondary ≥200 kW)</t>
  </si>
  <si>
    <t>General Service - Inside City Limits (Primary &lt;10 kW)</t>
  </si>
  <si>
    <t>General Service - Outside City Limits (Primary &lt;10 kW)</t>
  </si>
  <si>
    <t>General Service - Inside City Limits (Primary 10 kW - 299 kW)</t>
  </si>
  <si>
    <t>General Service - Outside City Limits (Primary 10 kW - 299 kW)</t>
  </si>
  <si>
    <t>General Service - Inside City Limits (Primary ≥200 kW)</t>
  </si>
  <si>
    <t>General Service - Outside City Limits (Primary ≥200 kW)</t>
  </si>
  <si>
    <t>Summer Start</t>
  </si>
  <si>
    <t>June</t>
  </si>
  <si>
    <t>October</t>
  </si>
  <si>
    <t>May</t>
  </si>
  <si>
    <t>Brampton Hydro</t>
  </si>
  <si>
    <t>November</t>
  </si>
  <si>
    <t>Xcel - Minnesota</t>
  </si>
  <si>
    <t>Winter Start</t>
  </si>
  <si>
    <t>ConEdison</t>
  </si>
  <si>
    <t>Rate I - General - Small</t>
  </si>
  <si>
    <t>Rate II - General - Small - Time-of-Day</t>
  </si>
  <si>
    <t>Rate II - Multiple Dwellings - Redistribution - Time-of-Day</t>
  </si>
  <si>
    <t>Rate I - General - Large (Low Tension)</t>
  </si>
  <si>
    <t>Rate I - General - Large (High Tension)</t>
  </si>
  <si>
    <t>Rate II - General - Large - Time-of-Day</t>
  </si>
  <si>
    <t>National Grid</t>
  </si>
  <si>
    <t>G-1 Fixed (&lt; 200 kW or 10,000 kWh)</t>
  </si>
  <si>
    <t>G-2 Fixed (&lt; 200 kW and &gt; 10,000 kWh)</t>
  </si>
  <si>
    <t>G-3 Fixed (&gt; 200 kW)</t>
  </si>
  <si>
    <t>Small General Service - TOU - Daily Peak Pricing</t>
  </si>
  <si>
    <t>Duke Energy Carolinas</t>
  </si>
  <si>
    <t>Large General Service (126 - 400 kWh per kW billing demand ; 6,000≤ kWh)</t>
  </si>
  <si>
    <t>Large General Service (126 - 400kWh per kW billing demand ; 6,001 - 140,000 kWh)</t>
  </si>
  <si>
    <t>Large General Service (125≤ kWh per kW billing demand ; 3,000≤ kWh)</t>
  </si>
  <si>
    <t>Large General Service (125≤ kWh per kW billing demand ; 3,001 - 90,000 kWh)</t>
  </si>
  <si>
    <t>Large General Service (125≤ kWh per kW billing demand ; &gt;90,000 kWh)</t>
  </si>
  <si>
    <t>Large General Service (126 - 400 kWh per kW billing demand ; ≥140,000 kWh)</t>
  </si>
  <si>
    <t>Large General Service (&gt; 400 kWh per kW billing demand)</t>
  </si>
  <si>
    <t>TOU Start - local time
(incl)</t>
  </si>
  <si>
    <t>TOU End - local time
(excl)</t>
  </si>
  <si>
    <t>Effective Date Start</t>
  </si>
  <si>
    <t>Effective Date End</t>
  </si>
  <si>
    <t>Notes</t>
  </si>
  <si>
    <r>
      <rPr>
        <b/>
        <sz val="12"/>
        <color theme="1"/>
        <rFont val="Calibri"/>
        <family val="2"/>
        <scheme val="minor"/>
      </rPr>
      <t>Electric Vehicle Fleet Pilot (Secondary)</t>
    </r>
    <r>
      <rPr>
        <sz val="12"/>
        <color theme="1"/>
        <rFont val="Calibri"/>
        <family val="2"/>
        <scheme val="minor"/>
      </rPr>
      <t xml:space="preserve">
* Off-peak demand is based on excess of on-peak demand
* Energy credit is based on kWh in excess of 400hrs times on-peak demand, not to exceed 50% total kWh</t>
    </r>
  </si>
  <si>
    <t>Energy Charges ($.kWh) are based on Pricing Day Type
Low : 0.07287
High: 0.145
Critical: 0.4
For simulation purposes, Critical has been used</t>
  </si>
  <si>
    <t>Energy Charges are based on Delivery + SEMA Supply
Demand Chargers are based on Delivery only</t>
  </si>
  <si>
    <t>Demand Charge is at a different rate for the first 5 kW, handled in 'First 5 kW' column and Removed Charges</t>
  </si>
  <si>
    <t>Energy charge has tranches for 3-6k, etc. handled in 'First X or Y kWh' columns and Removed Charges
Demand charge is after first 30kW, handled in removed charges</t>
  </si>
  <si>
    <t>Season</t>
  </si>
  <si>
    <t>On-Peak</t>
  </si>
  <si>
    <t>Mid-Peak</t>
  </si>
  <si>
    <t>Off-Peak</t>
  </si>
  <si>
    <t>Super-Off-Peak</t>
  </si>
  <si>
    <t>Peak</t>
  </si>
  <si>
    <t>Part-Peak</t>
  </si>
  <si>
    <t>TOU-EV-8 (2 - 50 kV)</t>
  </si>
  <si>
    <t>TOU-EV-8 (50 - 220 kV)</t>
  </si>
  <si>
    <t>TOU-EV-8 (&gt; 220 kV)</t>
  </si>
  <si>
    <t>TOU-EV-7 (2 - 50 kV)</t>
  </si>
  <si>
    <t>TOU-EV-7 (50 - 220 kV)</t>
  </si>
  <si>
    <t>TOU-EV-7 (&gt; 220 kV)</t>
  </si>
  <si>
    <t>Customer charge is per day, assumed 30 day month</t>
  </si>
  <si>
    <t>First 5 kW
($)</t>
  </si>
  <si>
    <t>First 3,000 OR 6,000 kWh ($)</t>
  </si>
  <si>
    <t>Next 87,000 OR 134,000 kWh ($)</t>
  </si>
  <si>
    <t>Removed Charges ($)</t>
  </si>
  <si>
    <t>Rate kW Minimum Restriction</t>
  </si>
  <si>
    <t>Energy and demand charges determined by removing generation charges from PG&amp;E rate and adding in CleanPowerSF Generation charges ; for energy the Power Charge Indifference Adjustment (PCIA) is also added in with assumed 2017 vintage year</t>
  </si>
  <si>
    <t>Energy charges determined by removing generation charges from PG&amp;E rate and adding in CleanPowerSF Generation charges ;the Power Charge Indifference Adjustment (PCIA) is also added in with assumed 2017 vintage year</t>
  </si>
  <si>
    <t>A-1 (Secondary)</t>
  </si>
  <si>
    <t>E-19 (Secondary)</t>
  </si>
  <si>
    <t>E-20 (Secondary)</t>
  </si>
  <si>
    <t>Max Demand
($/kW)</t>
  </si>
  <si>
    <t>PG&amp;E-NoDemand</t>
  </si>
  <si>
    <t>PSEG-LI</t>
  </si>
  <si>
    <t>Intermediate</t>
  </si>
  <si>
    <t>1,2,3,4,5,6</t>
  </si>
  <si>
    <t>Includes ratchet ; 85% of maximum demand during a summer month from proceeding 11 months</t>
  </si>
  <si>
    <t>Includes ratchet ; 70% of maximum demand during a summer month from proceeding 11 months</t>
  </si>
  <si>
    <t>Includes a minimum demand charge to be charged if it is greater than the actual billed demands for the year</t>
  </si>
  <si>
    <t>7,</t>
  </si>
  <si>
    <t>PG&amp;E - CPSF</t>
  </si>
  <si>
    <t>APU</t>
  </si>
  <si>
    <t>D-EV-2 (Option A)</t>
  </si>
  <si>
    <t>D-EV-2 (Option B)</t>
  </si>
  <si>
    <t>TEMP-NONTOU</t>
  </si>
  <si>
    <t>LADWP</t>
  </si>
  <si>
    <t>A-2B (4.8kV)</t>
  </si>
  <si>
    <t>EV discount = -0.02500 $/kWh ; EVs must be on separate meter to qualify</t>
  </si>
  <si>
    <t>A-2B (4.8kV) (EV Discount)</t>
  </si>
  <si>
    <t>A-10 (Secondary) - TEMP</t>
  </si>
  <si>
    <t>E-19 Option R (Secondary)</t>
  </si>
  <si>
    <t>E-19 Option R (Secondary) -TEMP</t>
  </si>
  <si>
    <t>General Service</t>
  </si>
  <si>
    <t>Based on any energy above 400 hours * max demand</t>
  </si>
  <si>
    <t>General Service with Fuel Rider</t>
  </si>
  <si>
    <t>BEV-1</t>
  </si>
  <si>
    <t>Super Off-Peak</t>
  </si>
  <si>
    <t>Overage fee ($/kW)</t>
  </si>
  <si>
    <t>Based on subscription blocks of 10kW size</t>
  </si>
  <si>
    <t>BEV-2-S Secondary</t>
  </si>
  <si>
    <t>Based on subscription blocks of 50kW size</t>
  </si>
  <si>
    <t>BEV-2-P Primary</t>
  </si>
  <si>
    <t>City of Colton</t>
  </si>
  <si>
    <t>GS1 &lt;2,500 kWh (Commerical General Service Demand &lt;20kW - Single Phase)</t>
  </si>
  <si>
    <t>GS1 2,501-10,000kWh (Commerical General Service Demand &lt;20kW - Single Phase)</t>
  </si>
  <si>
    <t>GS1 &gt;10,000kWh (Commerical General Service Demand &lt;20kW - Single Phase)</t>
  </si>
  <si>
    <t>GS3 &lt;2,500 kWh (Commerical General Service Demand &lt;20kW - Three Phase)</t>
  </si>
  <si>
    <t>GS3 2,501-10,000kWh (Commerical General Service Demand &lt;20kW - Three Phase)</t>
  </si>
  <si>
    <t>GS3 &gt;10,000kWh (Commerical General Service Demand &lt;20kW - Three Phase)</t>
  </si>
  <si>
    <t>Energy charges are tiered - this has been accounted for in the customer charge</t>
  </si>
  <si>
    <t>DS1 &lt;7,500kWh (Commercial Demand Service Demand &gt;20kW - Single Phase)</t>
  </si>
  <si>
    <t>Energy charges are tiered &amp; Demand Charges are only after the first 20kW - this has been accounted for in the customer charge</t>
  </si>
  <si>
    <t>DS1 &gt;7,500kWh (Commercial Demand Service Demand &gt;20kW - Single Phase)</t>
  </si>
  <si>
    <t>DS3 &lt;7,500kWh (Commercial Demand Service Demand &gt;20kW - Three Phase)</t>
  </si>
  <si>
    <t>DS3 &gt;7,500kWh (Commercial Demand Service Demand &gt;20kW - Three Phase)</t>
  </si>
  <si>
    <t>General Service (Non-Demand)</t>
  </si>
  <si>
    <t>General Service Metered Demand</t>
  </si>
  <si>
    <t>Below 15,000 kWh monthly for 3 consecutive months; below 10,000kWh for 12 consecutive months</t>
  </si>
  <si>
    <t>Above 15,000 kWh monthly for 3 consecutive months; Above 10,000kWh for 12 consecutive months</t>
  </si>
  <si>
    <t>See notes</t>
  </si>
  <si>
    <t>LMUD</t>
  </si>
  <si>
    <t>Puget Sound Energy</t>
  </si>
  <si>
    <t>Large Demand General Service (&gt;350kW)</t>
  </si>
  <si>
    <t>TEMP_Brookville</t>
  </si>
  <si>
    <t>TEMP-BROOKVILLE_FlatRate</t>
  </si>
  <si>
    <t>TEMP-BROOKVILLE_TOURate</t>
  </si>
  <si>
    <t>Energy charge has tranches for 3-6k, etc. handled in 'First X or Y kWh' columns and Removed Charges
Demand charge is after first 30kW, handled in removed charges - for simulation purposes this is calculated in customer charge</t>
  </si>
  <si>
    <t>Small General Service (125≤ kWh per kW billing demand ; &gt;9,000 kWh)</t>
  </si>
  <si>
    <t>Small General Service (126 - 400 kWh per kW billing demand ; &gt;9,000 kWh)</t>
  </si>
  <si>
    <t>Large General Service (125≤ kWh per kW billing demand ; &gt;9,000 kWh)</t>
  </si>
  <si>
    <t>Large General Service (126 - 400 kWh per kW billing demand ; &gt;9,000 kWh)</t>
  </si>
  <si>
    <t>Small General Service (&gt; 400 kWh per kW billing demand)</t>
  </si>
  <si>
    <t>A-6 TOU</t>
  </si>
  <si>
    <t xml:space="preserve">A-6 TOU </t>
  </si>
  <si>
    <t>A-2B (4.8kV) - TEMP FLAT</t>
  </si>
  <si>
    <t>The Cleveland Electric Illuminating Company</t>
  </si>
  <si>
    <t>General Service - Secondary  (Rate "GS", GS Demand&lt;5kW; &lt;2,000 kWh)</t>
  </si>
  <si>
    <t>General Service - Secondary  (Rate "GS", GS Demand&gt;5kW; &lt;2,000 kWh)</t>
  </si>
  <si>
    <t>General Service - Secondary  (Rate "GS", GS Demand&lt;5kW; 2,000 kWh&lt; energy &lt;15,000 kWh)</t>
  </si>
  <si>
    <t>General Service - Secondary  (Rate "GS", GS Demand&lt;5kW; &gt;15,000 kWh)</t>
  </si>
  <si>
    <t>General Service - Secondary  (Rate "GS", GS Demand&gt;5kW; 2,000 kWh&lt; energy &lt;15,000 kWh)</t>
  </si>
  <si>
    <t>General Service - Secondary  (Rate "GS", GS Demand&gt;5kW; &gt;15,000 kWh)</t>
  </si>
  <si>
    <t>Energy charge has tranches for 2-15k, etc. handled in 'First X or Y kWh' columns and Removed Charges
Demand charge is after first 5kW, handled in removed charges - for simulation purposes this is calculated in customer charge</t>
  </si>
  <si>
    <t>XCEL - Colorado</t>
  </si>
  <si>
    <t>Secondary Voltage Time-of-use-Electric Vehicle Service</t>
  </si>
  <si>
    <t>Black Hills Energy</t>
  </si>
  <si>
    <t>Large General Service - Secondary Electric</t>
  </si>
  <si>
    <t>Large General Service - Secondary - Time of use - Electric</t>
  </si>
  <si>
    <t>Large Power Service - Secondary Electric</t>
  </si>
  <si>
    <t>Large Power Service - Secondary - Time of use - Electric</t>
  </si>
  <si>
    <t>This rate contains Option D and Option E, currently the rates are idenetical. On March 1 2024 Option D will include phase-in of demand charges.
Customer charge is per day, assumed 30 day month</t>
  </si>
  <si>
    <t>SCE + Clean Power Alliance</t>
  </si>
  <si>
    <t>SDG&amp;E</t>
  </si>
  <si>
    <t>EV-HP</t>
  </si>
  <si>
    <t xml:space="preserve">Winter </t>
  </si>
  <si>
    <t>March,April</t>
  </si>
  <si>
    <t>Octorber</t>
  </si>
  <si>
    <t>Ameren</t>
  </si>
  <si>
    <t xml:space="preserve">Peak </t>
  </si>
  <si>
    <t>September</t>
  </si>
  <si>
    <t>Large General Service Rate (Energy&gt;350 kWh)</t>
  </si>
  <si>
    <t>NG+Direct Energy</t>
  </si>
  <si>
    <t>SC3 T&amp;D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</si>
</sst>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20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20" fontId="0" fillId="0" borderId="0" xfId="0" applyNumberFormat="1" applyFont="1"/>
    <xf numFmtId="16" fontId="0" fillId="0" borderId="0" xfId="0" applyNumberFormat="1" applyFont="1"/>
    <xf numFmtId="0" fontId="0" fillId="0" borderId="0" xfId="0" applyFill="1"/>
    <xf numFmtId="0" fontId="0" fillId="0" borderId="0" xfId="0" applyFont="1" applyFill="1"/>
    <xf numFmtId="0" fontId="0" fillId="0" borderId="0" xfId="0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3" fillId="0" borderId="0" xfId="0" applyFont="1" applyFill="1" applyAlignment="1">
      <alignment wrapText="1"/>
    </xf>
    <xf numFmtId="0" fontId="3" fillId="0" borderId="0" xfId="0" applyFont="1" applyFill="1"/>
    <xf numFmtId="0" fontId="0" fillId="0" borderId="0" xfId="0" applyFont="1" applyBorder="1"/>
    <xf numFmtId="0" fontId="0" fillId="0" borderId="0" xfId="0" applyBorder="1"/>
    <xf numFmtId="0" fontId="0" fillId="0" borderId="0" xfId="0" applyFill="1" applyBorder="1"/>
    <xf numFmtId="43" fontId="0" fillId="0" borderId="0" xfId="0" applyNumberFormat="1" applyBorder="1"/>
    <xf numFmtId="0" fontId="0" fillId="0" borderId="0" xfId="0" applyFont="1" applyFill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NumberFormat="1" applyFont="1"/>
    <xf numFmtId="0" fontId="0" fillId="0" borderId="0" xfId="0" applyAlignment="1">
      <alignment wrapText="1"/>
    </xf>
    <xf numFmtId="0" fontId="0" fillId="2" borderId="0" xfId="0" applyFill="1"/>
    <xf numFmtId="14" fontId="0" fillId="0" borderId="0" xfId="0" applyNumberFormat="1"/>
    <xf numFmtId="0" fontId="0" fillId="0" borderId="0" xfId="0" applyAlignment="1">
      <alignment vertical="center"/>
    </xf>
    <xf numFmtId="0" fontId="3" fillId="0" borderId="0" xfId="0" applyFont="1"/>
    <xf numFmtId="43" fontId="0" fillId="0" borderId="0" xfId="0" applyNumberFormat="1" applyFont="1" applyFill="1"/>
    <xf numFmtId="0" fontId="0" fillId="0" borderId="0" xfId="0" applyAlignment="1"/>
    <xf numFmtId="0" fontId="0" fillId="0" borderId="0" xfId="0" applyFill="1" applyAlignment="1">
      <alignment vertical="center" wrapText="1"/>
    </xf>
    <xf numFmtId="43" fontId="0" fillId="0" borderId="0" xfId="0" applyNumberFormat="1"/>
    <xf numFmtId="4" fontId="0" fillId="0" borderId="0" xfId="0" applyNumberFormat="1" applyFont="1"/>
    <xf numFmtId="0" fontId="7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 vertical="center"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rah Woogen" id="{C8488F98-478A-4F46-91F0-9027CD17A3E2}" userId="S::sarah.woogen@mobilityhouse.com::eb2cf5cc-6bd2-4532-b7a2-8f70e556b0f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" dT="2020-02-14T01:59:23.30" personId="{C8488F98-478A-4F46-91F0-9027CD17A3E2}" id="{ED514808-B389-E64F-88CE-8D949B631E85}">
    <text xml:space="preserve">Also called / Facilities Related (if applicable) </text>
  </threadedComment>
  <threadedComment ref="M83" dT="2020-02-14T01:41:33.17" personId="{C8488F98-478A-4F46-91F0-9027CD17A3E2}" id="{B5B4653A-36A0-E947-8617-218EA6D8B6B5}">
    <text>These are 0, but i have not yet accounted for max demand aka facilities realated</text>
  </threadedComment>
  <threadedComment ref="M91" dT="2020-02-14T01:41:33.17" personId="{C8488F98-478A-4F46-91F0-9027CD17A3E2}" id="{C70120D0-6311-D843-87CA-A199466C15D3}">
    <text>These are 0, but i have not yet accounted for max demand aka facilities realated</text>
  </threadedComment>
  <threadedComment ref="M170" dT="2019-12-18T22:47:23.20" personId="{C8488F98-478A-4F46-91F0-9027CD17A3E2}" id="{73BAE7F8-9D09-D643-BED3-B1034EB661CA}">
    <text>Assumed this is peak demand charge + distribution demand charge</text>
  </threadedComment>
  <threadedComment ref="M173" dT="2019-12-18T22:47:23.20" personId="{C8488F98-478A-4F46-91F0-9027CD17A3E2}" id="{2663BF51-4D63-E440-B567-CA93B3D77B1E}">
    <text>Assumed this is peak demand charge + distribution demand charge</text>
  </threadedComment>
  <threadedComment ref="M174" dT="2019-12-18T22:47:23.20" personId="{C8488F98-478A-4F46-91F0-9027CD17A3E2}" id="{FE5ED7ED-599E-BA4A-AB7C-2DB98EC0D4B0}">
    <text>Assumed this is peak demand charge + distribution demand charge</text>
  </threadedComment>
  <threadedComment ref="O201" dT="2020-02-19T18:44:46.35" personId="{C8488F98-478A-4F46-91F0-9027CD17A3E2}" id="{60E8A3D0-8F02-504A-98DA-7E652FE747E7}">
    <text>Removed customer charge as making assumption they are paying that anyways</text>
  </threadedComment>
  <threadedComment ref="M281" dT="2020-02-14T01:41:33.17" personId="{C8488F98-478A-4F46-91F0-9027CD17A3E2}" id="{07DD5220-0E6D-4B46-B0F9-13CE372929FB}">
    <text>These are 0, but i have not yet accounted for max demand aka facilities realated</text>
  </threadedComment>
  <threadedComment ref="M286" dT="2020-02-14T01:41:33.17" personId="{C8488F98-478A-4F46-91F0-9027CD17A3E2}" id="{23ABAF90-D0BC-0743-9316-105025FB8EB3}">
    <text>These are 0, but i have not yet accounted for max demand aka facilities realated</text>
  </threadedComment>
  <threadedComment ref="O301" dT="2020-07-08T18:48:30.60" personId="{C8488F98-478A-4F46-91F0-9027CD17A3E2}" id="{38F6088A-E92F-8A41-89E7-C19D3672233D}">
    <text xml:space="preserve">Accounts for the difference of the lower rate of the first 2,500 kW </text>
  </threadedComment>
  <threadedComment ref="O302" dT="2020-07-08T18:48:30.60" personId="{C8488F98-478A-4F46-91F0-9027CD17A3E2}" id="{65960C66-6302-3B4F-8F51-49884798F85E}">
    <text xml:space="preserve">Accounts for the difference of the lower rate of the first 2,500 kW </text>
  </threadedComment>
  <threadedComment ref="O304" dT="2020-07-08T18:48:30.60" personId="{C8488F98-478A-4F46-91F0-9027CD17A3E2}" id="{8A893200-3A11-6848-8AF6-A4EADAFADD25}">
    <text xml:space="preserve">Accounts for the difference of the lower rate of the first 2,500 kW </text>
  </threadedComment>
  <threadedComment ref="O305" dT="2020-07-08T18:48:30.60" personId="{C8488F98-478A-4F46-91F0-9027CD17A3E2}" id="{03A1D3B2-86D9-8245-88D7-0EAF8918EA46}">
    <text xml:space="preserve">Accounts for the difference of the lower rate of the first 2,500 kW </text>
  </threadedComment>
  <threadedComment ref="O306" dT="2020-07-08T18:58:09.82" personId="{C8488F98-478A-4F46-91F0-9027CD17A3E2}" id="{F4C989DA-8AF0-6349-B67E-9D2ABBF6ACC1}">
    <text>Accounts for demand charge only after first 20kW</text>
  </threadedComment>
  <threadedComment ref="O307" dT="2020-07-08T18:58:09.82" personId="{C8488F98-478A-4F46-91F0-9027CD17A3E2}" id="{A701D390-5FC5-484B-ADE5-BC74FFAF42B8}">
    <text>Accounts for demand charge only after first 20kW</text>
  </threadedComment>
  <threadedComment ref="O308" dT="2020-07-08T18:58:09.82" personId="{C8488F98-478A-4F46-91F0-9027CD17A3E2}" id="{0432E0AB-AE69-2B41-A161-15990F89527F}">
    <text>Accounts for demand charge only after first 20kW</text>
  </threadedComment>
  <threadedComment ref="O309" dT="2020-07-08T18:58:09.82" personId="{C8488F98-478A-4F46-91F0-9027CD17A3E2}" id="{FE5C5F18-F322-3B4B-9596-2AC7826B7CD4}">
    <text>Accounts for demand charge only after first 20kW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97545-9F32-7D4D-BAA7-5D561C3FD985}">
  <sheetPr codeName="Sheet6">
    <tabColor theme="9" tint="0.59999389629810485"/>
  </sheetPr>
  <dimension ref="A1:X441"/>
  <sheetViews>
    <sheetView tabSelected="1" topLeftCell="C1" zoomScaleNormal="150" workbookViewId="0">
      <pane ySplit="1" topLeftCell="A427" activePane="bottomLeft" state="frozen"/>
      <selection pane="bottomLeft" activeCell="E447" sqref="E447"/>
    </sheetView>
  </sheetViews>
  <sheetFormatPr baseColWidth="10" defaultRowHeight="16" x14ac:dyDescent="0.2"/>
  <cols>
    <col min="2" max="2" width="19.33203125" bestFit="1" customWidth="1"/>
    <col min="3" max="3" width="18.83203125" bestFit="1" customWidth="1"/>
    <col min="4" max="4" width="30.83203125" customWidth="1"/>
    <col min="5" max="5" width="71.33203125" bestFit="1" customWidth="1"/>
    <col min="6" max="6" width="17.83203125" customWidth="1"/>
    <col min="7" max="7" width="25.6640625" customWidth="1"/>
    <col min="8" max="8" width="20" customWidth="1"/>
    <col min="9" max="9" width="17.5" customWidth="1"/>
    <col min="10" max="10" width="14" bestFit="1" customWidth="1"/>
    <col min="11" max="11" width="11.33203125" customWidth="1"/>
    <col min="12" max="12" width="13.6640625" bestFit="1" customWidth="1"/>
    <col min="13" max="13" width="15" bestFit="1" customWidth="1"/>
    <col min="14" max="14" width="14.5" bestFit="1" customWidth="1"/>
    <col min="15" max="15" width="20.6640625" style="2" bestFit="1" customWidth="1"/>
    <col min="16" max="16" width="22.33203125" bestFit="1" customWidth="1"/>
    <col min="17" max="17" width="17.1640625" customWidth="1"/>
    <col min="18" max="19" width="13.5" customWidth="1"/>
    <col min="20" max="20" width="16.5" customWidth="1"/>
    <col min="21" max="21" width="16.6640625" customWidth="1"/>
    <col min="22" max="23" width="15.1640625" customWidth="1"/>
    <col min="24" max="24" width="77.5" customWidth="1"/>
  </cols>
  <sheetData>
    <row r="1" spans="1:24" ht="51" x14ac:dyDescent="0.2">
      <c r="A1" t="s">
        <v>0</v>
      </c>
      <c r="B1" s="16" t="s">
        <v>74</v>
      </c>
      <c r="C1" s="16" t="s">
        <v>75</v>
      </c>
      <c r="D1" t="s">
        <v>1</v>
      </c>
      <c r="E1" t="s">
        <v>2</v>
      </c>
      <c r="F1" s="25" t="s">
        <v>100</v>
      </c>
      <c r="G1" t="s">
        <v>82</v>
      </c>
      <c r="H1" s="3" t="s">
        <v>3</v>
      </c>
      <c r="I1" s="15" t="s">
        <v>16</v>
      </c>
      <c r="J1" s="4" t="s">
        <v>72</v>
      </c>
      <c r="K1" s="4" t="s">
        <v>73</v>
      </c>
      <c r="L1" s="4" t="s">
        <v>13</v>
      </c>
      <c r="M1" s="4" t="s">
        <v>14</v>
      </c>
      <c r="N1" s="4" t="s">
        <v>106</v>
      </c>
      <c r="O1" s="21" t="s">
        <v>15</v>
      </c>
      <c r="P1" s="22" t="s">
        <v>17</v>
      </c>
      <c r="Q1" s="22" t="s">
        <v>18</v>
      </c>
      <c r="R1" s="22" t="s">
        <v>27</v>
      </c>
      <c r="S1" s="22" t="s">
        <v>96</v>
      </c>
      <c r="T1" s="22" t="s">
        <v>97</v>
      </c>
      <c r="U1" s="22" t="s">
        <v>98</v>
      </c>
      <c r="V1" s="22" t="s">
        <v>99</v>
      </c>
      <c r="W1" s="22" t="s">
        <v>132</v>
      </c>
      <c r="X1" s="22" t="s">
        <v>76</v>
      </c>
    </row>
    <row r="2" spans="1:24" x14ac:dyDescent="0.2">
      <c r="A2">
        <v>1</v>
      </c>
      <c r="B2" s="13">
        <v>43647</v>
      </c>
      <c r="C2" s="13">
        <v>44435</v>
      </c>
      <c r="D2" s="28" t="s">
        <v>4</v>
      </c>
      <c r="E2" s="7" t="s">
        <v>5</v>
      </c>
      <c r="F2" s="7">
        <v>500</v>
      </c>
      <c r="G2" s="7" t="s">
        <v>20</v>
      </c>
      <c r="H2" s="8" t="s">
        <v>83</v>
      </c>
      <c r="I2" s="6" t="s">
        <v>6</v>
      </c>
      <c r="J2" s="5">
        <v>0.66666666666666663</v>
      </c>
      <c r="K2" s="5">
        <v>0.875</v>
      </c>
      <c r="L2" s="3">
        <v>0.42886000000000002</v>
      </c>
      <c r="M2" s="3">
        <v>0</v>
      </c>
      <c r="N2" s="3"/>
      <c r="O2" s="3">
        <v>399.55</v>
      </c>
      <c r="P2" s="17">
        <v>0.6</v>
      </c>
      <c r="Q2" s="17"/>
      <c r="R2" s="18"/>
      <c r="S2" s="18"/>
      <c r="T2" s="18"/>
      <c r="U2" s="18"/>
      <c r="V2" s="18"/>
      <c r="W2" s="18"/>
    </row>
    <row r="3" spans="1:24" x14ac:dyDescent="0.2">
      <c r="A3">
        <f>A2+1</f>
        <v>2</v>
      </c>
      <c r="B3" s="13">
        <v>43647</v>
      </c>
      <c r="C3" s="13">
        <v>44435</v>
      </c>
      <c r="D3" s="28" t="s">
        <v>4</v>
      </c>
      <c r="E3" s="7" t="s">
        <v>5</v>
      </c>
      <c r="F3" s="7">
        <v>500</v>
      </c>
      <c r="G3" s="7" t="s">
        <v>20</v>
      </c>
      <c r="H3" s="8" t="s">
        <v>84</v>
      </c>
      <c r="I3" s="3" t="s">
        <v>7</v>
      </c>
      <c r="J3" s="5">
        <v>0.66666666666666663</v>
      </c>
      <c r="K3" s="5">
        <v>0.875</v>
      </c>
      <c r="L3" s="3">
        <v>0.21159000000000003</v>
      </c>
      <c r="M3" s="3">
        <v>0</v>
      </c>
      <c r="N3" s="3"/>
      <c r="O3" s="3">
        <v>399.55</v>
      </c>
      <c r="P3" s="17">
        <v>0.6</v>
      </c>
      <c r="Q3" s="17"/>
      <c r="R3" s="18"/>
      <c r="S3" s="18"/>
      <c r="T3" s="18"/>
      <c r="U3" s="18"/>
      <c r="V3" s="18"/>
      <c r="W3" s="18"/>
    </row>
    <row r="4" spans="1:24" x14ac:dyDescent="0.2">
      <c r="A4">
        <f t="shared" ref="A4:A67" si="0">A3+1</f>
        <v>3</v>
      </c>
      <c r="B4" s="13">
        <v>43647</v>
      </c>
      <c r="C4" s="13">
        <v>44435</v>
      </c>
      <c r="D4" s="28" t="s">
        <v>4</v>
      </c>
      <c r="E4" s="7" t="s">
        <v>5</v>
      </c>
      <c r="F4" s="7">
        <v>500</v>
      </c>
      <c r="G4" s="7" t="s">
        <v>20</v>
      </c>
      <c r="H4" s="8" t="s">
        <v>85</v>
      </c>
      <c r="I4" s="3" t="s">
        <v>11</v>
      </c>
      <c r="J4" s="5">
        <v>0.875</v>
      </c>
      <c r="K4" s="5">
        <v>0.66666666666666663</v>
      </c>
      <c r="L4" s="3">
        <v>0.10517</v>
      </c>
      <c r="M4" s="3">
        <v>0</v>
      </c>
      <c r="N4" s="3"/>
      <c r="O4" s="3">
        <v>399.55</v>
      </c>
      <c r="P4" s="17">
        <v>0.6</v>
      </c>
      <c r="Q4" s="17"/>
      <c r="R4" s="18"/>
      <c r="S4" s="18"/>
      <c r="T4" s="18"/>
      <c r="U4" s="18"/>
      <c r="V4" s="18"/>
      <c r="W4" s="18"/>
    </row>
    <row r="5" spans="1:24" x14ac:dyDescent="0.2">
      <c r="A5">
        <f t="shared" si="0"/>
        <v>4</v>
      </c>
      <c r="B5" s="13">
        <v>43647</v>
      </c>
      <c r="C5" s="13">
        <v>44435</v>
      </c>
      <c r="D5" s="28" t="s">
        <v>4</v>
      </c>
      <c r="E5" s="7" t="s">
        <v>5</v>
      </c>
      <c r="F5" s="7">
        <v>500</v>
      </c>
      <c r="G5" s="7" t="s">
        <v>22</v>
      </c>
      <c r="H5" s="8" t="s">
        <v>84</v>
      </c>
      <c r="I5" s="3" t="s">
        <v>11</v>
      </c>
      <c r="J5" s="5">
        <v>0.66666666666666663</v>
      </c>
      <c r="K5" s="5">
        <v>0.875</v>
      </c>
      <c r="L5" s="3">
        <v>0.24673000000000003</v>
      </c>
      <c r="M5" s="3">
        <v>0</v>
      </c>
      <c r="N5" s="3"/>
      <c r="O5" s="3">
        <v>399.55</v>
      </c>
      <c r="P5" s="17">
        <v>0.6</v>
      </c>
      <c r="Q5" s="17"/>
      <c r="R5" s="18"/>
      <c r="S5" s="18"/>
      <c r="T5" s="18"/>
      <c r="U5" s="18"/>
      <c r="V5" s="18"/>
      <c r="W5" s="18"/>
    </row>
    <row r="6" spans="1:24" x14ac:dyDescent="0.2">
      <c r="A6">
        <f t="shared" si="0"/>
        <v>5</v>
      </c>
      <c r="B6" s="13">
        <v>43647</v>
      </c>
      <c r="C6" s="13">
        <v>44435</v>
      </c>
      <c r="D6" s="28" t="s">
        <v>4</v>
      </c>
      <c r="E6" s="7" t="s">
        <v>5</v>
      </c>
      <c r="F6" s="7">
        <v>500</v>
      </c>
      <c r="G6" s="7" t="s">
        <v>22</v>
      </c>
      <c r="H6" s="8" t="s">
        <v>85</v>
      </c>
      <c r="I6" s="3" t="s">
        <v>11</v>
      </c>
      <c r="J6" s="5">
        <v>0.875</v>
      </c>
      <c r="K6" s="5">
        <v>0.33333333333333331</v>
      </c>
      <c r="L6" s="3">
        <v>0.11090000000000001</v>
      </c>
      <c r="M6" s="3">
        <v>0</v>
      </c>
      <c r="N6" s="3"/>
      <c r="O6" s="3">
        <v>399.55</v>
      </c>
      <c r="P6" s="17">
        <v>0.6</v>
      </c>
      <c r="Q6" s="17"/>
      <c r="R6" s="18"/>
      <c r="S6" s="18"/>
      <c r="T6" s="18"/>
      <c r="U6" s="18"/>
      <c r="V6" s="18"/>
      <c r="W6" s="18"/>
    </row>
    <row r="7" spans="1:24" x14ac:dyDescent="0.2">
      <c r="A7">
        <f t="shared" si="0"/>
        <v>6</v>
      </c>
      <c r="B7" s="13">
        <v>43647</v>
      </c>
      <c r="C7" s="13">
        <v>44435</v>
      </c>
      <c r="D7" s="28" t="s">
        <v>4</v>
      </c>
      <c r="E7" s="7" t="s">
        <v>5</v>
      </c>
      <c r="F7" s="7">
        <v>500</v>
      </c>
      <c r="G7" s="7" t="s">
        <v>22</v>
      </c>
      <c r="H7" s="8" t="s">
        <v>86</v>
      </c>
      <c r="I7" s="3" t="s">
        <v>11</v>
      </c>
      <c r="J7" s="5">
        <v>0.33333333333333331</v>
      </c>
      <c r="K7" s="5">
        <v>0.66666666666666663</v>
      </c>
      <c r="L7" s="3">
        <v>6.8529999999999994E-2</v>
      </c>
      <c r="M7" s="3">
        <v>0</v>
      </c>
      <c r="N7" s="3"/>
      <c r="O7" s="3">
        <v>399.55</v>
      </c>
      <c r="P7" s="17">
        <v>0.6</v>
      </c>
      <c r="Q7" s="17"/>
      <c r="R7" s="18"/>
      <c r="S7" s="18"/>
      <c r="T7" s="18"/>
      <c r="U7" s="18"/>
      <c r="V7" s="18"/>
      <c r="W7" s="18"/>
    </row>
    <row r="8" spans="1:24" x14ac:dyDescent="0.2">
      <c r="A8">
        <f t="shared" si="0"/>
        <v>7</v>
      </c>
      <c r="B8" s="13">
        <v>43647</v>
      </c>
      <c r="C8" s="13">
        <v>44435</v>
      </c>
      <c r="D8" s="28" t="s">
        <v>4</v>
      </c>
      <c r="E8" s="7" t="s">
        <v>8</v>
      </c>
      <c r="F8" s="7">
        <v>500</v>
      </c>
      <c r="G8" s="7" t="s">
        <v>20</v>
      </c>
      <c r="H8" s="8" t="s">
        <v>83</v>
      </c>
      <c r="I8" s="6" t="s">
        <v>6</v>
      </c>
      <c r="J8" s="5">
        <v>0.66666666666666663</v>
      </c>
      <c r="K8" s="5">
        <v>0.875</v>
      </c>
      <c r="L8" s="24">
        <v>0.39695000000000003</v>
      </c>
      <c r="M8" s="3">
        <v>0</v>
      </c>
      <c r="N8" s="3"/>
      <c r="O8" s="3">
        <v>213.18</v>
      </c>
      <c r="P8" s="17">
        <v>0.6</v>
      </c>
      <c r="Q8" s="17"/>
      <c r="R8" s="18"/>
      <c r="S8" s="18"/>
      <c r="T8" s="18"/>
      <c r="U8" s="18"/>
      <c r="V8" s="18"/>
      <c r="W8" s="18"/>
    </row>
    <row r="9" spans="1:24" x14ac:dyDescent="0.2">
      <c r="A9">
        <f t="shared" si="0"/>
        <v>8</v>
      </c>
      <c r="B9" s="13">
        <v>43647</v>
      </c>
      <c r="C9" s="13">
        <v>44435</v>
      </c>
      <c r="D9" s="28" t="s">
        <v>4</v>
      </c>
      <c r="E9" s="7" t="s">
        <v>8</v>
      </c>
      <c r="F9" s="7">
        <v>500</v>
      </c>
      <c r="G9" s="7" t="s">
        <v>20</v>
      </c>
      <c r="H9" s="8" t="s">
        <v>84</v>
      </c>
      <c r="I9" s="3" t="s">
        <v>7</v>
      </c>
      <c r="J9" s="5">
        <v>0.66666666666666663</v>
      </c>
      <c r="K9" s="5">
        <v>0.875</v>
      </c>
      <c r="L9" s="24">
        <v>0.19245000000000001</v>
      </c>
      <c r="M9" s="3">
        <v>0</v>
      </c>
      <c r="N9" s="3"/>
      <c r="O9" s="3">
        <v>213.18</v>
      </c>
      <c r="P9" s="17">
        <v>0.6</v>
      </c>
      <c r="Q9" s="17"/>
      <c r="R9" s="18"/>
      <c r="S9" s="18"/>
      <c r="T9" s="18"/>
      <c r="U9" s="18"/>
      <c r="V9" s="18"/>
      <c r="W9" s="18"/>
    </row>
    <row r="10" spans="1:24" x14ac:dyDescent="0.2">
      <c r="A10">
        <f t="shared" si="0"/>
        <v>9</v>
      </c>
      <c r="B10" s="13">
        <v>43647</v>
      </c>
      <c r="C10" s="13">
        <v>44435</v>
      </c>
      <c r="D10" s="28" t="s">
        <v>4</v>
      </c>
      <c r="E10" s="7" t="s">
        <v>8</v>
      </c>
      <c r="F10" s="7">
        <v>500</v>
      </c>
      <c r="G10" s="7" t="s">
        <v>20</v>
      </c>
      <c r="H10" s="8" t="s">
        <v>85</v>
      </c>
      <c r="I10" s="3" t="s">
        <v>11</v>
      </c>
      <c r="J10" s="5">
        <v>0.875</v>
      </c>
      <c r="K10" s="5">
        <v>0.66666666666666663</v>
      </c>
      <c r="L10" s="24">
        <v>9.5670000000000005E-2</v>
      </c>
      <c r="M10" s="3">
        <v>0</v>
      </c>
      <c r="N10" s="3"/>
      <c r="O10" s="3">
        <v>213.18</v>
      </c>
      <c r="P10" s="17">
        <v>0.6</v>
      </c>
      <c r="Q10" s="17"/>
      <c r="R10" s="18"/>
      <c r="S10" s="18"/>
      <c r="T10" s="18"/>
      <c r="U10" s="18"/>
      <c r="V10" s="18"/>
      <c r="W10" s="18"/>
    </row>
    <row r="11" spans="1:24" x14ac:dyDescent="0.2">
      <c r="A11">
        <f t="shared" si="0"/>
        <v>10</v>
      </c>
      <c r="B11" s="13">
        <v>43647</v>
      </c>
      <c r="C11" s="13">
        <v>44435</v>
      </c>
      <c r="D11" s="28" t="s">
        <v>4</v>
      </c>
      <c r="E11" s="7" t="s">
        <v>8</v>
      </c>
      <c r="F11" s="7">
        <v>500</v>
      </c>
      <c r="G11" s="7" t="s">
        <v>22</v>
      </c>
      <c r="H11" s="8" t="s">
        <v>84</v>
      </c>
      <c r="I11" s="3" t="s">
        <v>11</v>
      </c>
      <c r="J11" s="5">
        <v>0.66666666666666663</v>
      </c>
      <c r="K11" s="5">
        <v>0.875</v>
      </c>
      <c r="L11" s="3">
        <v>0.22669000000000003</v>
      </c>
      <c r="M11" s="3">
        <v>0</v>
      </c>
      <c r="N11" s="3"/>
      <c r="O11" s="3">
        <v>213.18</v>
      </c>
      <c r="P11" s="17">
        <v>0.6</v>
      </c>
      <c r="Q11" s="17"/>
      <c r="R11" s="18"/>
      <c r="S11" s="18"/>
      <c r="T11" s="18"/>
      <c r="U11" s="18"/>
      <c r="V11" s="18"/>
      <c r="W11" s="18"/>
    </row>
    <row r="12" spans="1:24" x14ac:dyDescent="0.2">
      <c r="A12">
        <f t="shared" si="0"/>
        <v>11</v>
      </c>
      <c r="B12" s="13">
        <v>43647</v>
      </c>
      <c r="C12" s="13">
        <v>44435</v>
      </c>
      <c r="D12" s="28" t="s">
        <v>4</v>
      </c>
      <c r="E12" s="7" t="s">
        <v>8</v>
      </c>
      <c r="F12" s="7">
        <v>500</v>
      </c>
      <c r="G12" s="7" t="s">
        <v>22</v>
      </c>
      <c r="H12" s="8" t="s">
        <v>85</v>
      </c>
      <c r="I12" s="3" t="s">
        <v>11</v>
      </c>
      <c r="J12" s="5">
        <v>0.875</v>
      </c>
      <c r="K12" s="5">
        <v>0.33333333333333331</v>
      </c>
      <c r="L12" s="3">
        <v>0.1013</v>
      </c>
      <c r="M12" s="3">
        <v>0</v>
      </c>
      <c r="N12" s="3"/>
      <c r="O12" s="3">
        <v>213.18</v>
      </c>
      <c r="P12" s="17">
        <v>0.6</v>
      </c>
      <c r="Q12" s="17"/>
      <c r="R12" s="18"/>
      <c r="S12" s="18"/>
      <c r="T12" s="18"/>
      <c r="U12" s="18"/>
      <c r="V12" s="18"/>
      <c r="W12" s="18"/>
    </row>
    <row r="13" spans="1:24" x14ac:dyDescent="0.2">
      <c r="A13">
        <f t="shared" si="0"/>
        <v>12</v>
      </c>
      <c r="B13" s="13">
        <v>43647</v>
      </c>
      <c r="C13" s="13">
        <v>44435</v>
      </c>
      <c r="D13" s="28" t="s">
        <v>4</v>
      </c>
      <c r="E13" s="7" t="s">
        <v>8</v>
      </c>
      <c r="F13" s="7">
        <v>500</v>
      </c>
      <c r="G13" s="7" t="s">
        <v>22</v>
      </c>
      <c r="H13" s="8" t="s">
        <v>86</v>
      </c>
      <c r="I13" s="3" t="s">
        <v>11</v>
      </c>
      <c r="J13" s="5">
        <v>0.33333333333333331</v>
      </c>
      <c r="K13" s="5">
        <v>0.66666666666666663</v>
      </c>
      <c r="L13" s="3">
        <v>6.4270000000000008E-2</v>
      </c>
      <c r="M13" s="3">
        <v>0</v>
      </c>
      <c r="N13" s="3"/>
      <c r="O13" s="3">
        <v>213.18</v>
      </c>
      <c r="P13" s="17">
        <v>0.6</v>
      </c>
      <c r="Q13" s="17"/>
      <c r="R13" s="18"/>
      <c r="S13" s="18"/>
      <c r="T13" s="18"/>
      <c r="U13" s="18"/>
      <c r="V13" s="18"/>
      <c r="W13" s="18"/>
    </row>
    <row r="14" spans="1:24" x14ac:dyDescent="0.2">
      <c r="A14">
        <f t="shared" si="0"/>
        <v>13</v>
      </c>
      <c r="B14" s="13">
        <v>43647</v>
      </c>
      <c r="C14" s="13">
        <v>44435</v>
      </c>
      <c r="D14" s="28" t="s">
        <v>4</v>
      </c>
      <c r="E14" s="7" t="s">
        <v>12</v>
      </c>
      <c r="F14" s="7">
        <v>500</v>
      </c>
      <c r="G14" s="7" t="s">
        <v>20</v>
      </c>
      <c r="H14" s="8" t="s">
        <v>83</v>
      </c>
      <c r="I14" s="6" t="s">
        <v>6</v>
      </c>
      <c r="J14" s="5">
        <v>0.66666666666666663</v>
      </c>
      <c r="K14" s="5">
        <v>0.875</v>
      </c>
      <c r="L14" s="3">
        <v>0.29605999999999999</v>
      </c>
      <c r="M14" s="3">
        <v>0</v>
      </c>
      <c r="N14" s="3"/>
      <c r="O14" s="3">
        <v>1473.87</v>
      </c>
      <c r="P14" s="17">
        <v>0.54</v>
      </c>
      <c r="Q14" s="17">
        <v>-6.4399999999999995E-3</v>
      </c>
      <c r="R14" s="18"/>
      <c r="S14" s="18"/>
      <c r="T14" s="18"/>
      <c r="U14" s="18"/>
      <c r="V14" s="18"/>
      <c r="W14" s="18"/>
    </row>
    <row r="15" spans="1:24" x14ac:dyDescent="0.2">
      <c r="A15">
        <f t="shared" si="0"/>
        <v>14</v>
      </c>
      <c r="B15" s="13">
        <v>43647</v>
      </c>
      <c r="C15" s="13">
        <v>44435</v>
      </c>
      <c r="D15" s="28" t="s">
        <v>4</v>
      </c>
      <c r="E15" s="7" t="s">
        <v>12</v>
      </c>
      <c r="F15" s="7">
        <v>500</v>
      </c>
      <c r="G15" s="7" t="s">
        <v>20</v>
      </c>
      <c r="H15" s="8" t="s">
        <v>84</v>
      </c>
      <c r="I15" s="3" t="s">
        <v>7</v>
      </c>
      <c r="J15" s="5">
        <v>0.66666666666666663</v>
      </c>
      <c r="K15" s="5">
        <v>0.875</v>
      </c>
      <c r="L15" s="3">
        <v>0.11316</v>
      </c>
      <c r="M15" s="3">
        <v>0</v>
      </c>
      <c r="N15" s="3"/>
      <c r="O15" s="3">
        <v>1473.87</v>
      </c>
      <c r="P15" s="17">
        <v>0.54</v>
      </c>
      <c r="Q15" s="17">
        <v>-6.4399999999999995E-3</v>
      </c>
      <c r="R15" s="18"/>
      <c r="S15" s="18"/>
      <c r="T15" s="18"/>
      <c r="U15" s="18"/>
      <c r="V15" s="18"/>
      <c r="W15" s="18"/>
    </row>
    <row r="16" spans="1:24" x14ac:dyDescent="0.2">
      <c r="A16">
        <f t="shared" si="0"/>
        <v>15</v>
      </c>
      <c r="B16" s="13">
        <v>43647</v>
      </c>
      <c r="C16" s="13">
        <v>44435</v>
      </c>
      <c r="D16" s="28" t="s">
        <v>4</v>
      </c>
      <c r="E16" s="7" t="s">
        <v>12</v>
      </c>
      <c r="F16" s="7">
        <v>500</v>
      </c>
      <c r="G16" s="7" t="s">
        <v>20</v>
      </c>
      <c r="H16" s="8" t="s">
        <v>85</v>
      </c>
      <c r="I16" s="3" t="s">
        <v>11</v>
      </c>
      <c r="J16" s="5">
        <v>0.875</v>
      </c>
      <c r="K16" s="5">
        <v>0.66666666666666663</v>
      </c>
      <c r="L16" s="3">
        <v>7.7229999999999993E-2</v>
      </c>
      <c r="M16" s="3">
        <v>0</v>
      </c>
      <c r="N16" s="3"/>
      <c r="O16" s="3">
        <v>1473.87</v>
      </c>
      <c r="P16" s="17">
        <v>0.54</v>
      </c>
      <c r="Q16" s="17">
        <v>-6.4399999999999995E-3</v>
      </c>
      <c r="R16" s="18"/>
      <c r="S16" s="18"/>
      <c r="T16" s="18"/>
      <c r="U16" s="18"/>
      <c r="V16" s="18"/>
      <c r="W16" s="18"/>
    </row>
    <row r="17" spans="1:23" x14ac:dyDescent="0.2">
      <c r="A17">
        <f t="shared" si="0"/>
        <v>16</v>
      </c>
      <c r="B17" s="13">
        <v>43647</v>
      </c>
      <c r="C17" s="13">
        <v>44435</v>
      </c>
      <c r="D17" s="28" t="s">
        <v>4</v>
      </c>
      <c r="E17" s="7" t="s">
        <v>12</v>
      </c>
      <c r="F17" s="7">
        <v>500</v>
      </c>
      <c r="G17" s="7" t="s">
        <v>22</v>
      </c>
      <c r="H17" s="8" t="s">
        <v>84</v>
      </c>
      <c r="I17" s="3" t="s">
        <v>11</v>
      </c>
      <c r="J17" s="5">
        <v>0.66666666666666663</v>
      </c>
      <c r="K17" s="5">
        <v>0.875</v>
      </c>
      <c r="L17" s="3">
        <v>0.14860000000000001</v>
      </c>
      <c r="M17" s="3">
        <v>0</v>
      </c>
      <c r="N17" s="3"/>
      <c r="O17" s="3">
        <v>1473.87</v>
      </c>
      <c r="P17" s="17">
        <v>0.54</v>
      </c>
      <c r="Q17" s="17">
        <v>-6.4399999999999995E-3</v>
      </c>
      <c r="R17" s="18"/>
      <c r="S17" s="18"/>
      <c r="T17" s="18"/>
      <c r="U17" s="18"/>
      <c r="V17" s="18"/>
      <c r="W17" s="18"/>
    </row>
    <row r="18" spans="1:23" x14ac:dyDescent="0.2">
      <c r="A18">
        <f t="shared" si="0"/>
        <v>17</v>
      </c>
      <c r="B18" s="13">
        <v>43647</v>
      </c>
      <c r="C18" s="13">
        <v>44435</v>
      </c>
      <c r="D18" s="28" t="s">
        <v>4</v>
      </c>
      <c r="E18" s="7" t="s">
        <v>12</v>
      </c>
      <c r="F18" s="7">
        <v>500</v>
      </c>
      <c r="G18" s="7" t="s">
        <v>22</v>
      </c>
      <c r="H18" s="8" t="s">
        <v>85</v>
      </c>
      <c r="I18" s="3" t="s">
        <v>11</v>
      </c>
      <c r="J18" s="5">
        <v>0.875</v>
      </c>
      <c r="K18" s="5">
        <v>0.33333333333333331</v>
      </c>
      <c r="L18" s="3">
        <v>8.0960000000000004E-2</v>
      </c>
      <c r="M18" s="3">
        <v>0</v>
      </c>
      <c r="N18" s="3"/>
      <c r="O18" s="3">
        <v>1473.87</v>
      </c>
      <c r="P18" s="17">
        <v>0.54</v>
      </c>
      <c r="Q18" s="17">
        <v>-6.4399999999999995E-3</v>
      </c>
      <c r="R18" s="18"/>
      <c r="S18" s="18"/>
      <c r="T18" s="18"/>
      <c r="U18" s="18"/>
      <c r="V18" s="18"/>
      <c r="W18" s="18"/>
    </row>
    <row r="19" spans="1:23" x14ac:dyDescent="0.2">
      <c r="A19">
        <f t="shared" si="0"/>
        <v>18</v>
      </c>
      <c r="B19" s="13">
        <v>43647</v>
      </c>
      <c r="C19" s="13">
        <v>44435</v>
      </c>
      <c r="D19" s="28" t="s">
        <v>4</v>
      </c>
      <c r="E19" s="7" t="s">
        <v>12</v>
      </c>
      <c r="F19" s="7">
        <v>500</v>
      </c>
      <c r="G19" s="7" t="s">
        <v>22</v>
      </c>
      <c r="H19" s="8" t="s">
        <v>86</v>
      </c>
      <c r="I19" s="3" t="s">
        <v>11</v>
      </c>
      <c r="J19" s="5">
        <v>0.33333333333333331</v>
      </c>
      <c r="K19" s="5">
        <v>0.66666666666666663</v>
      </c>
      <c r="L19" s="3">
        <v>5.5529999999999996E-2</v>
      </c>
      <c r="M19" s="3">
        <v>0</v>
      </c>
      <c r="N19" s="3"/>
      <c r="O19" s="3">
        <v>1473.87</v>
      </c>
      <c r="P19" s="17">
        <v>0.54</v>
      </c>
      <c r="Q19" s="17">
        <v>-6.4399999999999995E-3</v>
      </c>
      <c r="R19" s="18"/>
      <c r="S19" s="18"/>
      <c r="T19" s="18"/>
      <c r="U19" s="18"/>
      <c r="V19" s="18"/>
      <c r="W19" s="18"/>
    </row>
    <row r="20" spans="1:23" x14ac:dyDescent="0.2">
      <c r="A20">
        <f t="shared" si="0"/>
        <v>19</v>
      </c>
      <c r="B20" s="13">
        <v>43647</v>
      </c>
      <c r="C20" s="13">
        <v>44435</v>
      </c>
      <c r="D20" s="28" t="s">
        <v>4</v>
      </c>
      <c r="E20" s="7" t="s">
        <v>89</v>
      </c>
      <c r="F20" s="7">
        <v>20</v>
      </c>
      <c r="G20" s="7" t="s">
        <v>20</v>
      </c>
      <c r="H20" s="8" t="s">
        <v>83</v>
      </c>
      <c r="I20" s="6" t="s">
        <v>6</v>
      </c>
      <c r="J20" s="5">
        <v>0.66666666666666663</v>
      </c>
      <c r="K20" s="5">
        <v>0.875</v>
      </c>
      <c r="L20" s="3">
        <f>0.15878+0.32127-0.00007</f>
        <v>0.47997999999999996</v>
      </c>
      <c r="M20" s="3">
        <v>0</v>
      </c>
      <c r="N20" s="3"/>
      <c r="O20" s="3">
        <v>108.72</v>
      </c>
      <c r="P20" s="17">
        <v>0.6</v>
      </c>
      <c r="Q20" s="23">
        <v>-5.9000000000000003E-4</v>
      </c>
      <c r="R20" s="23">
        <v>-2.8400000000000001E-3</v>
      </c>
      <c r="S20" s="18"/>
      <c r="T20" s="18"/>
      <c r="U20" s="18"/>
      <c r="V20" s="18"/>
      <c r="W20" s="18"/>
    </row>
    <row r="21" spans="1:23" x14ac:dyDescent="0.2">
      <c r="A21">
        <f t="shared" si="0"/>
        <v>20</v>
      </c>
      <c r="B21" s="13">
        <v>43647</v>
      </c>
      <c r="C21" s="13">
        <v>44435</v>
      </c>
      <c r="D21" s="28" t="s">
        <v>4</v>
      </c>
      <c r="E21" s="7" t="s">
        <v>89</v>
      </c>
      <c r="F21" s="7">
        <v>20</v>
      </c>
      <c r="G21" s="7" t="s">
        <v>20</v>
      </c>
      <c r="H21" s="8" t="s">
        <v>84</v>
      </c>
      <c r="I21" s="3" t="s">
        <v>7</v>
      </c>
      <c r="J21" s="5">
        <v>0.66666666666666663</v>
      </c>
      <c r="K21" s="5">
        <v>0.875</v>
      </c>
      <c r="L21" s="3">
        <f>0.15878+0.08476-0.00007</f>
        <v>0.24347000000000002</v>
      </c>
      <c r="M21" s="3">
        <v>0</v>
      </c>
      <c r="N21" s="3"/>
      <c r="O21" s="3">
        <v>108.72</v>
      </c>
      <c r="P21" s="17">
        <v>0.6</v>
      </c>
      <c r="Q21" s="23">
        <v>-5.9000000000000003E-4</v>
      </c>
      <c r="R21" s="23">
        <v>-2.8400000000000001E-3</v>
      </c>
      <c r="S21" s="18"/>
      <c r="T21" s="18"/>
      <c r="U21" s="18"/>
      <c r="V21" s="18"/>
      <c r="W21" s="18"/>
    </row>
    <row r="22" spans="1:23" x14ac:dyDescent="0.2">
      <c r="A22">
        <f t="shared" si="0"/>
        <v>21</v>
      </c>
      <c r="B22" s="13">
        <v>43647</v>
      </c>
      <c r="C22" s="13">
        <v>44435</v>
      </c>
      <c r="D22" s="28" t="s">
        <v>4</v>
      </c>
      <c r="E22" s="7" t="s">
        <v>89</v>
      </c>
      <c r="F22" s="7">
        <v>20</v>
      </c>
      <c r="G22" s="7" t="s">
        <v>20</v>
      </c>
      <c r="H22" s="8" t="s">
        <v>85</v>
      </c>
      <c r="I22" s="3" t="s">
        <v>11</v>
      </c>
      <c r="J22" s="5">
        <v>0.875</v>
      </c>
      <c r="K22" s="5">
        <v>0.66666666666666663</v>
      </c>
      <c r="L22" s="3">
        <f>0.05531+0.06752-0.00007</f>
        <v>0.12275999999999999</v>
      </c>
      <c r="M22" s="3">
        <v>0</v>
      </c>
      <c r="N22" s="3"/>
      <c r="O22" s="3">
        <v>108.72</v>
      </c>
      <c r="P22" s="17">
        <v>0.6</v>
      </c>
      <c r="Q22" s="23">
        <v>-5.9000000000000003E-4</v>
      </c>
      <c r="R22" s="23">
        <v>-2.8400000000000001E-3</v>
      </c>
      <c r="S22" s="18"/>
      <c r="T22" s="18"/>
      <c r="U22" s="18"/>
      <c r="V22" s="18"/>
      <c r="W22" s="18"/>
    </row>
    <row r="23" spans="1:23" x14ac:dyDescent="0.2">
      <c r="A23">
        <f t="shared" si="0"/>
        <v>22</v>
      </c>
      <c r="B23" s="13">
        <v>43647</v>
      </c>
      <c r="C23" s="13">
        <v>44435</v>
      </c>
      <c r="D23" s="28" t="s">
        <v>4</v>
      </c>
      <c r="E23" s="7" t="s">
        <v>89</v>
      </c>
      <c r="F23" s="7">
        <v>20</v>
      </c>
      <c r="G23" s="7" t="s">
        <v>22</v>
      </c>
      <c r="H23" s="8" t="s">
        <v>84</v>
      </c>
      <c r="I23" s="3" t="s">
        <v>11</v>
      </c>
      <c r="J23" s="5">
        <v>0.66666666666666663</v>
      </c>
      <c r="K23" s="5">
        <v>0.875</v>
      </c>
      <c r="L23" s="3">
        <f>0.15878+0.12542-0.00007</f>
        <v>0.28412999999999999</v>
      </c>
      <c r="M23" s="3">
        <v>0</v>
      </c>
      <c r="N23" s="3"/>
      <c r="O23" s="3">
        <v>108.72</v>
      </c>
      <c r="P23" s="17">
        <v>0.6</v>
      </c>
      <c r="Q23" s="23">
        <v>-5.9000000000000003E-4</v>
      </c>
      <c r="R23" s="23">
        <v>-2.8400000000000001E-3</v>
      </c>
      <c r="S23" s="18"/>
      <c r="T23" s="18"/>
      <c r="U23" s="18"/>
      <c r="V23" s="18"/>
      <c r="W23" s="18"/>
    </row>
    <row r="24" spans="1:23" x14ac:dyDescent="0.2">
      <c r="A24">
        <f t="shared" si="0"/>
        <v>23</v>
      </c>
      <c r="B24" s="13">
        <v>43647</v>
      </c>
      <c r="C24" s="13">
        <v>44435</v>
      </c>
      <c r="D24" s="28" t="s">
        <v>4</v>
      </c>
      <c r="E24" s="7" t="s">
        <v>89</v>
      </c>
      <c r="F24" s="7">
        <v>20</v>
      </c>
      <c r="G24" s="7" t="s">
        <v>22</v>
      </c>
      <c r="H24" s="8" t="s">
        <v>85</v>
      </c>
      <c r="I24" s="3" t="s">
        <v>11</v>
      </c>
      <c r="J24" s="5">
        <v>0.875</v>
      </c>
      <c r="K24" s="5">
        <v>0.33333333333333331</v>
      </c>
      <c r="L24" s="3">
        <f>0.05531+0.07725-0.00007</f>
        <v>0.13249000000000002</v>
      </c>
      <c r="M24" s="3">
        <v>0</v>
      </c>
      <c r="N24" s="3"/>
      <c r="O24" s="3">
        <v>108.72</v>
      </c>
      <c r="P24" s="17">
        <v>0.6</v>
      </c>
      <c r="Q24" s="23">
        <v>-5.9000000000000003E-4</v>
      </c>
      <c r="R24" s="23">
        <v>-2.8400000000000001E-3</v>
      </c>
      <c r="S24" s="18"/>
      <c r="T24" s="18"/>
      <c r="U24" s="18"/>
      <c r="V24" s="18"/>
      <c r="W24" s="18"/>
    </row>
    <row r="25" spans="1:23" x14ac:dyDescent="0.2">
      <c r="A25">
        <f t="shared" si="0"/>
        <v>24</v>
      </c>
      <c r="B25" s="13">
        <v>43647</v>
      </c>
      <c r="C25" s="13">
        <v>44435</v>
      </c>
      <c r="D25" s="28" t="s">
        <v>4</v>
      </c>
      <c r="E25" s="7" t="s">
        <v>89</v>
      </c>
      <c r="F25" s="7">
        <v>20</v>
      </c>
      <c r="G25" s="7" t="s">
        <v>22</v>
      </c>
      <c r="H25" s="8" t="s">
        <v>86</v>
      </c>
      <c r="I25" s="3" t="s">
        <v>11</v>
      </c>
      <c r="J25" s="5">
        <v>0.33333333333333331</v>
      </c>
      <c r="K25" s="5">
        <v>0.66666666666666663</v>
      </c>
      <c r="L25" s="3">
        <f>0.03737+0.0901-0.00007</f>
        <v>0.12740000000000001</v>
      </c>
      <c r="M25" s="3">
        <v>0</v>
      </c>
      <c r="N25" s="3"/>
      <c r="O25" s="3">
        <v>108.72</v>
      </c>
      <c r="P25" s="17">
        <v>0.6</v>
      </c>
      <c r="Q25" s="23">
        <v>-5.9000000000000003E-4</v>
      </c>
      <c r="R25" s="23">
        <v>-2.8400000000000001E-3</v>
      </c>
      <c r="S25" s="18"/>
      <c r="T25" s="18"/>
      <c r="U25" s="18"/>
      <c r="V25" s="18"/>
      <c r="W25" s="18"/>
    </row>
    <row r="26" spans="1:23" x14ac:dyDescent="0.2">
      <c r="A26">
        <f t="shared" si="0"/>
        <v>25</v>
      </c>
      <c r="B26" s="13">
        <v>43647</v>
      </c>
      <c r="C26" s="13">
        <v>44435</v>
      </c>
      <c r="D26" s="28" t="s">
        <v>4</v>
      </c>
      <c r="E26" s="7" t="s">
        <v>90</v>
      </c>
      <c r="F26" s="7">
        <v>20</v>
      </c>
      <c r="G26" s="7" t="s">
        <v>20</v>
      </c>
      <c r="H26" s="8" t="s">
        <v>83</v>
      </c>
      <c r="I26" s="6" t="s">
        <v>6</v>
      </c>
      <c r="J26" s="5">
        <v>0.66666666666666663</v>
      </c>
      <c r="K26" s="5">
        <v>0.875</v>
      </c>
      <c r="L26" s="3">
        <f>0.15878+0.32127-0.00007</f>
        <v>0.47997999999999996</v>
      </c>
      <c r="M26" s="3">
        <v>0</v>
      </c>
      <c r="N26" s="3"/>
      <c r="O26" s="3">
        <v>108.72</v>
      </c>
      <c r="P26" s="17">
        <v>0.54</v>
      </c>
      <c r="Q26" s="23">
        <v>-2.1100000000000001E-2</v>
      </c>
      <c r="R26" s="23">
        <v>-2.8400000000000001E-3</v>
      </c>
      <c r="S26" s="18"/>
      <c r="T26" s="18"/>
      <c r="U26" s="18"/>
      <c r="V26" s="18"/>
      <c r="W26" s="18"/>
    </row>
    <row r="27" spans="1:23" x14ac:dyDescent="0.2">
      <c r="A27">
        <f t="shared" si="0"/>
        <v>26</v>
      </c>
      <c r="B27" s="13">
        <v>43647</v>
      </c>
      <c r="C27" s="13">
        <v>44435</v>
      </c>
      <c r="D27" s="28" t="s">
        <v>4</v>
      </c>
      <c r="E27" s="7" t="s">
        <v>90</v>
      </c>
      <c r="F27" s="7">
        <v>20</v>
      </c>
      <c r="G27" s="7" t="s">
        <v>20</v>
      </c>
      <c r="H27" s="8" t="s">
        <v>84</v>
      </c>
      <c r="I27" s="3" t="s">
        <v>7</v>
      </c>
      <c r="J27" s="5">
        <v>0.66666666666666663</v>
      </c>
      <c r="K27" s="5">
        <v>0.875</v>
      </c>
      <c r="L27" s="3">
        <f>0.15878+0.08476-0.00007</f>
        <v>0.24347000000000002</v>
      </c>
      <c r="M27" s="3">
        <v>0</v>
      </c>
      <c r="N27" s="3"/>
      <c r="O27" s="3">
        <v>108.72</v>
      </c>
      <c r="P27" s="17">
        <v>0.54</v>
      </c>
      <c r="Q27" s="23">
        <v>-2.1100000000000001E-2</v>
      </c>
      <c r="R27" s="23">
        <v>-2.8400000000000001E-3</v>
      </c>
      <c r="S27" s="18"/>
      <c r="T27" s="18"/>
      <c r="U27" s="18"/>
      <c r="V27" s="18"/>
      <c r="W27" s="18"/>
    </row>
    <row r="28" spans="1:23" x14ac:dyDescent="0.2">
      <c r="A28">
        <f t="shared" si="0"/>
        <v>27</v>
      </c>
      <c r="B28" s="13">
        <v>43647</v>
      </c>
      <c r="C28" s="13">
        <v>44435</v>
      </c>
      <c r="D28" s="28" t="s">
        <v>4</v>
      </c>
      <c r="E28" s="7" t="s">
        <v>90</v>
      </c>
      <c r="F28" s="7">
        <v>20</v>
      </c>
      <c r="G28" s="7" t="s">
        <v>20</v>
      </c>
      <c r="H28" s="8" t="s">
        <v>85</v>
      </c>
      <c r="I28" s="3" t="s">
        <v>11</v>
      </c>
      <c r="J28" s="5">
        <v>0.875</v>
      </c>
      <c r="K28" s="5">
        <v>0.66666666666666663</v>
      </c>
      <c r="L28" s="3">
        <f>0.05531+0.06752-0.00007</f>
        <v>0.12275999999999999</v>
      </c>
      <c r="M28" s="3">
        <v>0</v>
      </c>
      <c r="N28" s="3"/>
      <c r="O28" s="3">
        <v>108.72</v>
      </c>
      <c r="P28" s="17">
        <v>0.54</v>
      </c>
      <c r="Q28" s="23">
        <v>-2.1100000000000001E-2</v>
      </c>
      <c r="R28" s="23">
        <v>-2.8400000000000001E-3</v>
      </c>
      <c r="S28" s="18"/>
      <c r="T28" s="18"/>
      <c r="U28" s="18"/>
      <c r="V28" s="18"/>
      <c r="W28" s="18"/>
    </row>
    <row r="29" spans="1:23" x14ac:dyDescent="0.2">
      <c r="A29">
        <f t="shared" si="0"/>
        <v>28</v>
      </c>
      <c r="B29" s="13">
        <v>43647</v>
      </c>
      <c r="C29" s="13">
        <v>44435</v>
      </c>
      <c r="D29" s="28" t="s">
        <v>4</v>
      </c>
      <c r="E29" s="7" t="s">
        <v>90</v>
      </c>
      <c r="F29" s="7">
        <v>20</v>
      </c>
      <c r="G29" s="7" t="s">
        <v>22</v>
      </c>
      <c r="H29" s="8" t="s">
        <v>84</v>
      </c>
      <c r="I29" s="3" t="s">
        <v>11</v>
      </c>
      <c r="J29" s="5">
        <v>0.66666666666666663</v>
      </c>
      <c r="K29" s="5">
        <v>0.875</v>
      </c>
      <c r="L29" s="3">
        <f>0.15878+0.12542-0.00007</f>
        <v>0.28412999999999999</v>
      </c>
      <c r="M29" s="3">
        <v>0</v>
      </c>
      <c r="N29" s="3"/>
      <c r="O29" s="3">
        <v>108.72</v>
      </c>
      <c r="P29" s="17">
        <v>0.54</v>
      </c>
      <c r="Q29" s="23">
        <v>-2.1100000000000001E-2</v>
      </c>
      <c r="R29" s="23">
        <v>-2.8400000000000001E-3</v>
      </c>
      <c r="S29" s="18"/>
      <c r="T29" s="18"/>
      <c r="U29" s="18"/>
      <c r="V29" s="18"/>
      <c r="W29" s="18"/>
    </row>
    <row r="30" spans="1:23" x14ac:dyDescent="0.2">
      <c r="A30">
        <f t="shared" si="0"/>
        <v>29</v>
      </c>
      <c r="B30" s="13">
        <v>43647</v>
      </c>
      <c r="C30" s="13">
        <v>44435</v>
      </c>
      <c r="D30" s="28" t="s">
        <v>4</v>
      </c>
      <c r="E30" s="7" t="s">
        <v>90</v>
      </c>
      <c r="F30" s="7">
        <v>20</v>
      </c>
      <c r="G30" s="7" t="s">
        <v>22</v>
      </c>
      <c r="H30" s="8" t="s">
        <v>85</v>
      </c>
      <c r="I30" s="3" t="s">
        <v>11</v>
      </c>
      <c r="J30" s="5">
        <v>0.875</v>
      </c>
      <c r="K30" s="5">
        <v>0.33333333333333331</v>
      </c>
      <c r="L30" s="3">
        <f>0.05531+0.07725-0.00007</f>
        <v>0.13249000000000002</v>
      </c>
      <c r="M30" s="3">
        <v>0</v>
      </c>
      <c r="N30" s="3"/>
      <c r="O30" s="3">
        <v>108.72</v>
      </c>
      <c r="P30" s="17">
        <v>0.54</v>
      </c>
      <c r="Q30" s="23">
        <v>-2.1100000000000001E-2</v>
      </c>
      <c r="R30" s="23">
        <v>-2.8400000000000001E-3</v>
      </c>
      <c r="S30" s="18"/>
      <c r="T30" s="18"/>
      <c r="U30" s="18"/>
      <c r="V30" s="18"/>
      <c r="W30" s="18"/>
    </row>
    <row r="31" spans="1:23" x14ac:dyDescent="0.2">
      <c r="A31">
        <f t="shared" si="0"/>
        <v>30</v>
      </c>
      <c r="B31" s="13">
        <v>43647</v>
      </c>
      <c r="C31" s="13">
        <v>44435</v>
      </c>
      <c r="D31" s="28" t="s">
        <v>4</v>
      </c>
      <c r="E31" s="7" t="s">
        <v>90</v>
      </c>
      <c r="F31" s="7">
        <v>20</v>
      </c>
      <c r="G31" s="7" t="s">
        <v>22</v>
      </c>
      <c r="H31" s="8" t="s">
        <v>86</v>
      </c>
      <c r="I31" s="3" t="s">
        <v>11</v>
      </c>
      <c r="J31" s="5">
        <v>0.33333333333333331</v>
      </c>
      <c r="K31" s="5">
        <v>0.66666666666666663</v>
      </c>
      <c r="L31" s="3">
        <f>0.03737+0.0901-0.00007</f>
        <v>0.12740000000000001</v>
      </c>
      <c r="M31" s="3">
        <v>0</v>
      </c>
      <c r="N31" s="3"/>
      <c r="O31" s="3">
        <v>108.72</v>
      </c>
      <c r="P31" s="17">
        <v>0.54</v>
      </c>
      <c r="Q31" s="23">
        <v>-2.1100000000000001E-2</v>
      </c>
      <c r="R31" s="23">
        <v>-2.8400000000000001E-3</v>
      </c>
      <c r="S31" s="18"/>
      <c r="T31" s="18"/>
      <c r="U31" s="18"/>
      <c r="V31" s="18"/>
      <c r="W31" s="18"/>
    </row>
    <row r="32" spans="1:23" x14ac:dyDescent="0.2">
      <c r="A32">
        <f t="shared" si="0"/>
        <v>31</v>
      </c>
      <c r="B32" s="13">
        <v>43647</v>
      </c>
      <c r="C32" s="13">
        <v>44435</v>
      </c>
      <c r="D32" s="28" t="s">
        <v>4</v>
      </c>
      <c r="E32" s="7" t="s">
        <v>91</v>
      </c>
      <c r="F32" s="7">
        <v>20</v>
      </c>
      <c r="G32" s="7" t="s">
        <v>20</v>
      </c>
      <c r="H32" s="8" t="s">
        <v>83</v>
      </c>
      <c r="I32" s="6" t="s">
        <v>6</v>
      </c>
      <c r="J32" s="5">
        <v>0.66666666666666663</v>
      </c>
      <c r="K32" s="5">
        <v>0.875</v>
      </c>
      <c r="L32" s="3">
        <f>0.15878+0.32127-0.00007</f>
        <v>0.47997999999999996</v>
      </c>
      <c r="M32" s="3">
        <v>0</v>
      </c>
      <c r="N32" s="3">
        <v>0</v>
      </c>
      <c r="O32" s="3">
        <v>108.72</v>
      </c>
      <c r="P32" s="17">
        <v>0.54</v>
      </c>
      <c r="Q32" s="17">
        <v>-4.2119999999999998E-2</v>
      </c>
      <c r="R32" s="23">
        <v>-2.8400000000000001E-3</v>
      </c>
      <c r="S32" s="18"/>
      <c r="T32" s="18"/>
      <c r="U32" s="18"/>
      <c r="V32" s="18"/>
      <c r="W32" s="18"/>
    </row>
    <row r="33" spans="1:24" x14ac:dyDescent="0.2">
      <c r="A33">
        <f t="shared" si="0"/>
        <v>32</v>
      </c>
      <c r="B33" s="13">
        <v>43647</v>
      </c>
      <c r="C33" s="13">
        <v>44435</v>
      </c>
      <c r="D33" s="28" t="s">
        <v>4</v>
      </c>
      <c r="E33" s="7" t="s">
        <v>91</v>
      </c>
      <c r="F33" s="7">
        <v>20</v>
      </c>
      <c r="G33" s="7" t="s">
        <v>20</v>
      </c>
      <c r="H33" s="8" t="s">
        <v>84</v>
      </c>
      <c r="I33" s="3" t="s">
        <v>7</v>
      </c>
      <c r="J33" s="5">
        <v>0.66666666666666663</v>
      </c>
      <c r="K33" s="5">
        <v>0.875</v>
      </c>
      <c r="L33" s="3">
        <f>0.15878+0.08476-0.00007</f>
        <v>0.24347000000000002</v>
      </c>
      <c r="M33" s="3">
        <v>0</v>
      </c>
      <c r="N33" s="3"/>
      <c r="O33" s="3">
        <v>108.72</v>
      </c>
      <c r="P33" s="17">
        <v>0.54</v>
      </c>
      <c r="Q33" s="17">
        <v>-4.2119999999999998E-2</v>
      </c>
      <c r="R33" s="23">
        <v>-2.8400000000000001E-3</v>
      </c>
      <c r="S33" s="18"/>
      <c r="T33" s="18"/>
      <c r="U33" s="18"/>
      <c r="V33" s="18"/>
      <c r="W33" s="18"/>
    </row>
    <row r="34" spans="1:24" x14ac:dyDescent="0.2">
      <c r="A34">
        <f t="shared" si="0"/>
        <v>33</v>
      </c>
      <c r="B34" s="13">
        <v>43647</v>
      </c>
      <c r="C34" s="13">
        <v>44435</v>
      </c>
      <c r="D34" s="28" t="s">
        <v>4</v>
      </c>
      <c r="E34" s="7" t="s">
        <v>91</v>
      </c>
      <c r="F34" s="7">
        <v>20</v>
      </c>
      <c r="G34" s="7" t="s">
        <v>20</v>
      </c>
      <c r="H34" s="8" t="s">
        <v>85</v>
      </c>
      <c r="I34" s="3" t="s">
        <v>11</v>
      </c>
      <c r="J34" s="5">
        <v>0.875</v>
      </c>
      <c r="K34" s="5">
        <v>0.66666666666666663</v>
      </c>
      <c r="L34" s="3">
        <f>0.05531+0.06752-0.00007</f>
        <v>0.12275999999999999</v>
      </c>
      <c r="M34" s="3">
        <v>0</v>
      </c>
      <c r="N34" s="3"/>
      <c r="O34" s="3">
        <v>108.72</v>
      </c>
      <c r="P34" s="17">
        <v>0.54</v>
      </c>
      <c r="Q34" s="17">
        <v>-4.2119999999999998E-2</v>
      </c>
      <c r="R34" s="23">
        <v>-2.8400000000000001E-3</v>
      </c>
      <c r="S34" s="18"/>
      <c r="T34" s="18"/>
      <c r="U34" s="18"/>
      <c r="V34" s="18"/>
      <c r="W34" s="18"/>
    </row>
    <row r="35" spans="1:24" x14ac:dyDescent="0.2">
      <c r="A35">
        <f t="shared" si="0"/>
        <v>34</v>
      </c>
      <c r="B35" s="13">
        <v>43647</v>
      </c>
      <c r="C35" s="13">
        <v>44435</v>
      </c>
      <c r="D35" s="28" t="s">
        <v>4</v>
      </c>
      <c r="E35" s="7" t="s">
        <v>91</v>
      </c>
      <c r="F35" s="7">
        <v>20</v>
      </c>
      <c r="G35" s="7" t="s">
        <v>22</v>
      </c>
      <c r="H35" s="8" t="s">
        <v>84</v>
      </c>
      <c r="I35" s="3" t="s">
        <v>11</v>
      </c>
      <c r="J35" s="5">
        <v>0.66666666666666663</v>
      </c>
      <c r="K35" s="5">
        <v>0.875</v>
      </c>
      <c r="L35" s="3">
        <f>0.15878+0.12542-0.00007</f>
        <v>0.28412999999999999</v>
      </c>
      <c r="M35" s="3">
        <v>0</v>
      </c>
      <c r="N35" s="3"/>
      <c r="O35" s="3">
        <v>108.72</v>
      </c>
      <c r="P35" s="17">
        <v>0.54</v>
      </c>
      <c r="Q35" s="17">
        <v>-4.2119999999999998E-2</v>
      </c>
      <c r="R35" s="23">
        <v>-2.8400000000000001E-3</v>
      </c>
      <c r="S35" s="18"/>
      <c r="T35" s="18"/>
      <c r="U35" s="18"/>
      <c r="V35" s="18"/>
      <c r="W35" s="18"/>
    </row>
    <row r="36" spans="1:24" x14ac:dyDescent="0.2">
      <c r="A36">
        <f t="shared" si="0"/>
        <v>35</v>
      </c>
      <c r="B36" s="13">
        <v>43647</v>
      </c>
      <c r="C36" s="13">
        <v>44435</v>
      </c>
      <c r="D36" s="28" t="s">
        <v>4</v>
      </c>
      <c r="E36" s="7" t="s">
        <v>91</v>
      </c>
      <c r="F36" s="7">
        <v>20</v>
      </c>
      <c r="G36" s="7" t="s">
        <v>22</v>
      </c>
      <c r="H36" s="8" t="s">
        <v>85</v>
      </c>
      <c r="I36" s="3" t="s">
        <v>11</v>
      </c>
      <c r="J36" s="5">
        <v>0.875</v>
      </c>
      <c r="K36" s="5">
        <v>0.33333333333333331</v>
      </c>
      <c r="L36" s="3">
        <f>0.05531+0.07725-0.00007</f>
        <v>0.13249000000000002</v>
      </c>
      <c r="M36" s="3">
        <v>0</v>
      </c>
      <c r="N36" s="3"/>
      <c r="O36" s="3">
        <v>108.72</v>
      </c>
      <c r="P36" s="17">
        <v>0.54</v>
      </c>
      <c r="Q36" s="17">
        <v>-4.2119999999999998E-2</v>
      </c>
      <c r="R36" s="23">
        <v>-2.8400000000000001E-3</v>
      </c>
      <c r="S36" s="18"/>
      <c r="T36" s="18"/>
      <c r="U36" s="18"/>
      <c r="V36" s="18"/>
      <c r="W36" s="18"/>
    </row>
    <row r="37" spans="1:24" x14ac:dyDescent="0.2">
      <c r="A37">
        <f t="shared" si="0"/>
        <v>36</v>
      </c>
      <c r="B37" s="13">
        <v>43647</v>
      </c>
      <c r="C37" s="13">
        <v>44435</v>
      </c>
      <c r="D37" s="28" t="s">
        <v>4</v>
      </c>
      <c r="E37" s="7" t="s">
        <v>91</v>
      </c>
      <c r="F37" s="7">
        <v>20</v>
      </c>
      <c r="G37" s="7" t="s">
        <v>22</v>
      </c>
      <c r="H37" s="8" t="s">
        <v>86</v>
      </c>
      <c r="I37" s="3" t="s">
        <v>11</v>
      </c>
      <c r="J37" s="5">
        <v>0.33333333333333331</v>
      </c>
      <c r="K37" s="5">
        <v>0.66666666666666663</v>
      </c>
      <c r="L37" s="3">
        <f>0.03737+0.0901-0.00007</f>
        <v>0.12740000000000001</v>
      </c>
      <c r="M37" s="3">
        <v>0</v>
      </c>
      <c r="N37" s="3"/>
      <c r="O37" s="3">
        <v>108.72</v>
      </c>
      <c r="P37" s="17">
        <v>0.54</v>
      </c>
      <c r="Q37" s="17">
        <v>-4.2119999999999998E-2</v>
      </c>
      <c r="R37" s="23">
        <v>-2.8400000000000001E-3</v>
      </c>
      <c r="S37" s="18"/>
      <c r="T37" s="18"/>
      <c r="U37" s="18"/>
      <c r="V37" s="18"/>
      <c r="W37" s="18"/>
    </row>
    <row r="38" spans="1:24" x14ac:dyDescent="0.2">
      <c r="A38">
        <f t="shared" si="0"/>
        <v>37</v>
      </c>
      <c r="B38" s="13">
        <v>43647</v>
      </c>
      <c r="C38" s="13">
        <v>44435</v>
      </c>
      <c r="D38" s="28" t="s">
        <v>4</v>
      </c>
      <c r="E38" s="7" t="s">
        <v>92</v>
      </c>
      <c r="F38" s="7">
        <v>0</v>
      </c>
      <c r="G38" s="7" t="s">
        <v>20</v>
      </c>
      <c r="H38" s="8" t="s">
        <v>83</v>
      </c>
      <c r="I38" s="6" t="s">
        <v>6</v>
      </c>
      <c r="J38" s="5">
        <v>0.66666666666666663</v>
      </c>
      <c r="K38" s="5">
        <v>0.875</v>
      </c>
      <c r="L38" s="3">
        <f>0.15966+0.23752-0.00007</f>
        <v>0.39710999999999996</v>
      </c>
      <c r="M38" s="3">
        <v>0</v>
      </c>
      <c r="N38" s="3"/>
      <c r="O38" s="3">
        <f>0.321*30</f>
        <v>9.6300000000000008</v>
      </c>
      <c r="P38" s="17"/>
      <c r="Q38" s="23">
        <v>-5.6999999999999998E-4</v>
      </c>
      <c r="R38" s="23">
        <v>-3.0599999999999998E-3</v>
      </c>
      <c r="S38" s="18"/>
      <c r="T38" s="18"/>
      <c r="U38" s="18"/>
      <c r="V38" s="18"/>
      <c r="W38" s="18"/>
      <c r="X38" s="37" t="s">
        <v>95</v>
      </c>
    </row>
    <row r="39" spans="1:24" x14ac:dyDescent="0.2">
      <c r="A39">
        <f t="shared" si="0"/>
        <v>38</v>
      </c>
      <c r="B39" s="13">
        <v>43647</v>
      </c>
      <c r="C39" s="13">
        <v>44435</v>
      </c>
      <c r="D39" s="28" t="s">
        <v>4</v>
      </c>
      <c r="E39" s="7" t="s">
        <v>92</v>
      </c>
      <c r="F39" s="7">
        <v>0</v>
      </c>
      <c r="G39" s="7" t="s">
        <v>20</v>
      </c>
      <c r="H39" s="8" t="s">
        <v>84</v>
      </c>
      <c r="I39" s="3" t="s">
        <v>7</v>
      </c>
      <c r="J39" s="5">
        <v>0.66666666666666663</v>
      </c>
      <c r="K39" s="5">
        <v>0.875</v>
      </c>
      <c r="L39" s="3">
        <f>0.15966+0.12648-0.00007</f>
        <v>0.28606999999999999</v>
      </c>
      <c r="M39" s="3">
        <v>0</v>
      </c>
      <c r="N39" s="3"/>
      <c r="O39" s="3">
        <f t="shared" ref="O39:O55" si="1">0.321*30</f>
        <v>9.6300000000000008</v>
      </c>
      <c r="P39" s="17"/>
      <c r="Q39" s="23">
        <v>-5.6999999999999998E-4</v>
      </c>
      <c r="R39" s="23">
        <v>-3.0599999999999998E-3</v>
      </c>
      <c r="S39" s="18"/>
      <c r="T39" s="18"/>
      <c r="U39" s="18"/>
      <c r="V39" s="18"/>
      <c r="W39" s="18"/>
      <c r="X39" s="37"/>
    </row>
    <row r="40" spans="1:24" x14ac:dyDescent="0.2">
      <c r="A40">
        <f t="shared" si="0"/>
        <v>39</v>
      </c>
      <c r="B40" s="13">
        <v>43647</v>
      </c>
      <c r="C40" s="13">
        <v>44435</v>
      </c>
      <c r="D40" s="28" t="s">
        <v>4</v>
      </c>
      <c r="E40" s="7" t="s">
        <v>92</v>
      </c>
      <c r="F40" s="7">
        <v>0</v>
      </c>
      <c r="G40" s="7" t="s">
        <v>20</v>
      </c>
      <c r="H40" s="8" t="s">
        <v>85</v>
      </c>
      <c r="I40" s="3" t="s">
        <v>11</v>
      </c>
      <c r="J40" s="5">
        <v>0.875</v>
      </c>
      <c r="K40" s="5">
        <v>0.66666666666666663</v>
      </c>
      <c r="L40" s="3">
        <f>0.0562+0.08944-0.00007</f>
        <v>0.14557</v>
      </c>
      <c r="M40" s="3">
        <v>0</v>
      </c>
      <c r="N40" s="3"/>
      <c r="O40" s="3">
        <f t="shared" si="1"/>
        <v>9.6300000000000008</v>
      </c>
      <c r="P40" s="17"/>
      <c r="Q40" s="23">
        <v>-5.6999999999999998E-4</v>
      </c>
      <c r="R40" s="23">
        <v>-3.0599999999999998E-3</v>
      </c>
      <c r="S40" s="18"/>
      <c r="T40" s="18"/>
      <c r="U40" s="18"/>
      <c r="V40" s="18"/>
      <c r="W40" s="18"/>
      <c r="X40" s="37"/>
    </row>
    <row r="41" spans="1:24" x14ac:dyDescent="0.2">
      <c r="A41">
        <f t="shared" si="0"/>
        <v>40</v>
      </c>
      <c r="B41" s="13">
        <v>43647</v>
      </c>
      <c r="C41" s="13">
        <v>44435</v>
      </c>
      <c r="D41" s="28" t="s">
        <v>4</v>
      </c>
      <c r="E41" s="7" t="s">
        <v>92</v>
      </c>
      <c r="F41" s="7">
        <v>0</v>
      </c>
      <c r="G41" s="7" t="s">
        <v>22</v>
      </c>
      <c r="H41" s="8" t="s">
        <v>84</v>
      </c>
      <c r="I41" s="3" t="s">
        <v>11</v>
      </c>
      <c r="J41" s="5">
        <v>0.66666666666666663</v>
      </c>
      <c r="K41" s="5">
        <v>0.875</v>
      </c>
      <c r="L41" s="3">
        <f>0.15878+0.14632-0.00007</f>
        <v>0.30503000000000002</v>
      </c>
      <c r="M41" s="3">
        <v>0</v>
      </c>
      <c r="N41" s="3"/>
      <c r="O41" s="3">
        <f t="shared" si="1"/>
        <v>9.6300000000000008</v>
      </c>
      <c r="P41" s="17"/>
      <c r="Q41" s="23">
        <v>-5.6999999999999998E-4</v>
      </c>
      <c r="R41" s="23">
        <v>-3.0599999999999998E-3</v>
      </c>
      <c r="S41" s="18"/>
      <c r="T41" s="18"/>
      <c r="U41" s="18"/>
      <c r="V41" s="18"/>
      <c r="W41" s="18"/>
      <c r="X41" s="37"/>
    </row>
    <row r="42" spans="1:24" x14ac:dyDescent="0.2">
      <c r="A42">
        <f t="shared" si="0"/>
        <v>41</v>
      </c>
      <c r="B42" s="13">
        <v>43647</v>
      </c>
      <c r="C42" s="13">
        <v>44435</v>
      </c>
      <c r="D42" s="28" t="s">
        <v>4</v>
      </c>
      <c r="E42" s="7" t="s">
        <v>92</v>
      </c>
      <c r="F42" s="7">
        <v>0</v>
      </c>
      <c r="G42" s="7" t="s">
        <v>22</v>
      </c>
      <c r="H42" s="8" t="s">
        <v>85</v>
      </c>
      <c r="I42" s="3" t="s">
        <v>11</v>
      </c>
      <c r="J42" s="5">
        <v>0.875</v>
      </c>
      <c r="K42" s="5">
        <v>0.33333333333333331</v>
      </c>
      <c r="L42" s="3">
        <f>0.0562+0.08147-0.00007</f>
        <v>0.13760000000000003</v>
      </c>
      <c r="M42" s="3">
        <v>0</v>
      </c>
      <c r="N42" s="3"/>
      <c r="O42" s="3">
        <f t="shared" si="1"/>
        <v>9.6300000000000008</v>
      </c>
      <c r="P42" s="17"/>
      <c r="Q42" s="23">
        <v>-5.6999999999999998E-4</v>
      </c>
      <c r="R42" s="23">
        <v>-3.0599999999999998E-3</v>
      </c>
      <c r="S42" s="18"/>
      <c r="T42" s="18"/>
      <c r="U42" s="18"/>
      <c r="V42" s="18"/>
      <c r="W42" s="18"/>
      <c r="X42" s="37"/>
    </row>
    <row r="43" spans="1:24" x14ac:dyDescent="0.2">
      <c r="A43">
        <f t="shared" si="0"/>
        <v>42</v>
      </c>
      <c r="B43" s="13">
        <v>43647</v>
      </c>
      <c r="C43" s="13">
        <v>44435</v>
      </c>
      <c r="D43" s="28" t="s">
        <v>4</v>
      </c>
      <c r="E43" s="7" t="s">
        <v>92</v>
      </c>
      <c r="F43" s="7">
        <v>0</v>
      </c>
      <c r="G43" s="7" t="s">
        <v>22</v>
      </c>
      <c r="H43" s="8" t="s">
        <v>86</v>
      </c>
      <c r="I43" s="3" t="s">
        <v>11</v>
      </c>
      <c r="J43" s="5">
        <v>0.33333333333333331</v>
      </c>
      <c r="K43" s="5">
        <v>0.66666666666666663</v>
      </c>
      <c r="L43" s="3">
        <f>0.03913+0.04515-0.00007</f>
        <v>8.4209999999999993E-2</v>
      </c>
      <c r="M43" s="3">
        <v>0</v>
      </c>
      <c r="N43" s="3"/>
      <c r="O43" s="3">
        <f t="shared" si="1"/>
        <v>9.6300000000000008</v>
      </c>
      <c r="P43" s="17"/>
      <c r="Q43" s="23">
        <v>-5.6999999999999998E-4</v>
      </c>
      <c r="R43" s="23">
        <v>-3.0599999999999998E-3</v>
      </c>
      <c r="S43" s="18"/>
      <c r="T43" s="18"/>
      <c r="U43" s="18"/>
      <c r="V43" s="18"/>
      <c r="W43" s="18"/>
      <c r="X43" s="37"/>
    </row>
    <row r="44" spans="1:24" x14ac:dyDescent="0.2">
      <c r="A44">
        <f t="shared" si="0"/>
        <v>43</v>
      </c>
      <c r="B44" s="13">
        <v>43647</v>
      </c>
      <c r="C44" s="13">
        <v>44435</v>
      </c>
      <c r="D44" s="28" t="s">
        <v>4</v>
      </c>
      <c r="E44" s="7" t="s">
        <v>93</v>
      </c>
      <c r="F44" s="7">
        <v>0</v>
      </c>
      <c r="G44" s="7" t="s">
        <v>20</v>
      </c>
      <c r="H44" s="8" t="s">
        <v>83</v>
      </c>
      <c r="I44" s="6" t="s">
        <v>6</v>
      </c>
      <c r="J44" s="5">
        <v>0.66666666666666663</v>
      </c>
      <c r="K44" s="5">
        <v>0.875</v>
      </c>
      <c r="L44" s="3">
        <f>0.15966+0.23752-0.00007</f>
        <v>0.39710999999999996</v>
      </c>
      <c r="M44" s="3">
        <v>0</v>
      </c>
      <c r="N44" s="3"/>
      <c r="O44" s="3">
        <f t="shared" si="1"/>
        <v>9.6300000000000008</v>
      </c>
      <c r="P44" s="17"/>
      <c r="Q44" s="23">
        <v>-1.941E-2</v>
      </c>
      <c r="R44" s="23">
        <v>-3.0599999999999998E-3</v>
      </c>
      <c r="S44" s="18"/>
      <c r="T44" s="18"/>
      <c r="U44" s="18"/>
      <c r="V44" s="18"/>
      <c r="W44" s="18"/>
      <c r="X44" s="37"/>
    </row>
    <row r="45" spans="1:24" x14ac:dyDescent="0.2">
      <c r="A45">
        <f t="shared" si="0"/>
        <v>44</v>
      </c>
      <c r="B45" s="13">
        <v>43647</v>
      </c>
      <c r="C45" s="13">
        <v>44435</v>
      </c>
      <c r="D45" s="28" t="s">
        <v>4</v>
      </c>
      <c r="E45" s="7" t="s">
        <v>93</v>
      </c>
      <c r="F45" s="7">
        <v>0</v>
      </c>
      <c r="G45" s="7" t="s">
        <v>20</v>
      </c>
      <c r="H45" s="8" t="s">
        <v>84</v>
      </c>
      <c r="I45" s="3" t="s">
        <v>7</v>
      </c>
      <c r="J45" s="5">
        <v>0.66666666666666663</v>
      </c>
      <c r="K45" s="5">
        <v>0.875</v>
      </c>
      <c r="L45" s="3">
        <f>0.15966+0.12648-0.00007</f>
        <v>0.28606999999999999</v>
      </c>
      <c r="M45" s="3">
        <v>0</v>
      </c>
      <c r="N45" s="3"/>
      <c r="O45" s="3">
        <f t="shared" si="1"/>
        <v>9.6300000000000008</v>
      </c>
      <c r="P45" s="17"/>
      <c r="Q45" s="23">
        <v>-1.941E-2</v>
      </c>
      <c r="R45" s="23">
        <v>-3.0599999999999998E-3</v>
      </c>
      <c r="S45" s="18"/>
      <c r="T45" s="18"/>
      <c r="U45" s="18"/>
      <c r="V45" s="18"/>
      <c r="W45" s="18"/>
      <c r="X45" s="37"/>
    </row>
    <row r="46" spans="1:24" x14ac:dyDescent="0.2">
      <c r="A46">
        <f t="shared" si="0"/>
        <v>45</v>
      </c>
      <c r="B46" s="13">
        <v>43647</v>
      </c>
      <c r="C46" s="13">
        <v>44435</v>
      </c>
      <c r="D46" s="28" t="s">
        <v>4</v>
      </c>
      <c r="E46" s="7" t="s">
        <v>93</v>
      </c>
      <c r="F46" s="7">
        <v>0</v>
      </c>
      <c r="G46" s="7" t="s">
        <v>20</v>
      </c>
      <c r="H46" s="8" t="s">
        <v>85</v>
      </c>
      <c r="I46" s="3" t="s">
        <v>11</v>
      </c>
      <c r="J46" s="5">
        <v>0.875</v>
      </c>
      <c r="K46" s="5">
        <v>0.66666666666666663</v>
      </c>
      <c r="L46" s="3">
        <f>0.0562+0.08944-0.00007</f>
        <v>0.14557</v>
      </c>
      <c r="M46" s="3">
        <v>0</v>
      </c>
      <c r="N46" s="3"/>
      <c r="O46" s="3">
        <f t="shared" si="1"/>
        <v>9.6300000000000008</v>
      </c>
      <c r="P46" s="17"/>
      <c r="Q46" s="23">
        <v>-1.941E-2</v>
      </c>
      <c r="R46" s="23">
        <v>-3.0599999999999998E-3</v>
      </c>
      <c r="S46" s="18"/>
      <c r="T46" s="18"/>
      <c r="U46" s="18"/>
      <c r="V46" s="18"/>
      <c r="W46" s="18"/>
      <c r="X46" s="37"/>
    </row>
    <row r="47" spans="1:24" x14ac:dyDescent="0.2">
      <c r="A47">
        <f t="shared" si="0"/>
        <v>46</v>
      </c>
      <c r="B47" s="13">
        <v>43647</v>
      </c>
      <c r="C47" s="13">
        <v>44435</v>
      </c>
      <c r="D47" s="28" t="s">
        <v>4</v>
      </c>
      <c r="E47" s="7" t="s">
        <v>93</v>
      </c>
      <c r="F47" s="7">
        <v>0</v>
      </c>
      <c r="G47" s="7" t="s">
        <v>22</v>
      </c>
      <c r="H47" s="8" t="s">
        <v>84</v>
      </c>
      <c r="I47" s="3" t="s">
        <v>11</v>
      </c>
      <c r="J47" s="5">
        <v>0.66666666666666663</v>
      </c>
      <c r="K47" s="5">
        <v>0.875</v>
      </c>
      <c r="L47" s="3">
        <f>0.15878+0.14632-0.00007</f>
        <v>0.30503000000000002</v>
      </c>
      <c r="M47" s="3">
        <v>0</v>
      </c>
      <c r="N47" s="3"/>
      <c r="O47" s="3">
        <f t="shared" si="1"/>
        <v>9.6300000000000008</v>
      </c>
      <c r="P47" s="17"/>
      <c r="Q47" s="23">
        <v>-1.941E-2</v>
      </c>
      <c r="R47" s="23">
        <v>-3.0599999999999998E-3</v>
      </c>
      <c r="S47" s="18"/>
      <c r="T47" s="18"/>
      <c r="U47" s="18"/>
      <c r="V47" s="18"/>
      <c r="W47" s="18"/>
      <c r="X47" s="37"/>
    </row>
    <row r="48" spans="1:24" x14ac:dyDescent="0.2">
      <c r="A48">
        <f t="shared" si="0"/>
        <v>47</v>
      </c>
      <c r="B48" s="13">
        <v>43647</v>
      </c>
      <c r="C48" s="13">
        <v>44435</v>
      </c>
      <c r="D48" s="28" t="s">
        <v>4</v>
      </c>
      <c r="E48" s="7" t="s">
        <v>93</v>
      </c>
      <c r="F48" s="7">
        <v>0</v>
      </c>
      <c r="G48" s="7" t="s">
        <v>22</v>
      </c>
      <c r="H48" s="8" t="s">
        <v>85</v>
      </c>
      <c r="I48" s="3" t="s">
        <v>11</v>
      </c>
      <c r="J48" s="5">
        <v>0.875</v>
      </c>
      <c r="K48" s="5">
        <v>0.33333333333333331</v>
      </c>
      <c r="L48" s="3">
        <f>0.0562+0.08147-0.00007</f>
        <v>0.13760000000000003</v>
      </c>
      <c r="M48" s="3">
        <v>0</v>
      </c>
      <c r="N48" s="3"/>
      <c r="O48" s="3">
        <f t="shared" si="1"/>
        <v>9.6300000000000008</v>
      </c>
      <c r="P48" s="17"/>
      <c r="Q48" s="23">
        <v>-1.941E-2</v>
      </c>
      <c r="R48" s="23">
        <v>-3.0599999999999998E-3</v>
      </c>
      <c r="S48" s="18"/>
      <c r="T48" s="18"/>
      <c r="U48" s="18"/>
      <c r="V48" s="18"/>
      <c r="W48" s="18"/>
      <c r="X48" s="37"/>
    </row>
    <row r="49" spans="1:24" x14ac:dyDescent="0.2">
      <c r="A49">
        <f t="shared" si="0"/>
        <v>48</v>
      </c>
      <c r="B49" s="13">
        <v>43647</v>
      </c>
      <c r="C49" s="13">
        <v>44435</v>
      </c>
      <c r="D49" s="28" t="s">
        <v>4</v>
      </c>
      <c r="E49" s="7" t="s">
        <v>93</v>
      </c>
      <c r="F49" s="7">
        <v>0</v>
      </c>
      <c r="G49" s="7" t="s">
        <v>22</v>
      </c>
      <c r="H49" s="8" t="s">
        <v>86</v>
      </c>
      <c r="I49" s="3" t="s">
        <v>11</v>
      </c>
      <c r="J49" s="5">
        <v>0.33333333333333331</v>
      </c>
      <c r="K49" s="5">
        <v>0.66666666666666663</v>
      </c>
      <c r="L49" s="3">
        <f>0.03913+0.04515-0.00007</f>
        <v>8.4209999999999993E-2</v>
      </c>
      <c r="M49" s="3">
        <v>0</v>
      </c>
      <c r="N49" s="3"/>
      <c r="O49" s="3">
        <f t="shared" si="1"/>
        <v>9.6300000000000008</v>
      </c>
      <c r="P49" s="17"/>
      <c r="Q49" s="23">
        <v>-1.941E-2</v>
      </c>
      <c r="R49" s="23">
        <v>-3.0599999999999998E-3</v>
      </c>
      <c r="S49" s="18"/>
      <c r="T49" s="18"/>
      <c r="U49" s="18"/>
      <c r="V49" s="18"/>
      <c r="W49" s="18"/>
      <c r="X49" s="37"/>
    </row>
    <row r="50" spans="1:24" x14ac:dyDescent="0.2">
      <c r="A50">
        <f t="shared" si="0"/>
        <v>49</v>
      </c>
      <c r="B50" s="13">
        <v>43647</v>
      </c>
      <c r="C50" s="13">
        <v>44435</v>
      </c>
      <c r="D50" s="28" t="s">
        <v>4</v>
      </c>
      <c r="E50" s="7" t="s">
        <v>94</v>
      </c>
      <c r="F50" s="7">
        <v>0</v>
      </c>
      <c r="G50" s="7" t="s">
        <v>20</v>
      </c>
      <c r="H50" s="8" t="s">
        <v>83</v>
      </c>
      <c r="I50" s="6" t="s">
        <v>6</v>
      </c>
      <c r="J50" s="5">
        <v>0.66666666666666663</v>
      </c>
      <c r="K50" s="5">
        <v>0.875</v>
      </c>
      <c r="L50" s="3">
        <f>0.15966+0.23752-0.00007</f>
        <v>0.39710999999999996</v>
      </c>
      <c r="M50" s="3">
        <v>0</v>
      </c>
      <c r="N50" s="3"/>
      <c r="O50" s="3">
        <f t="shared" si="1"/>
        <v>9.6300000000000008</v>
      </c>
      <c r="P50" s="17"/>
      <c r="Q50" s="17">
        <v>-4.2119999999999998E-2</v>
      </c>
      <c r="R50" s="23">
        <v>-3.0599999999999998E-3</v>
      </c>
      <c r="S50" s="18"/>
      <c r="T50" s="18"/>
      <c r="U50" s="18"/>
      <c r="V50" s="18"/>
      <c r="W50" s="18"/>
      <c r="X50" s="37"/>
    </row>
    <row r="51" spans="1:24" x14ac:dyDescent="0.2">
      <c r="A51">
        <f t="shared" si="0"/>
        <v>50</v>
      </c>
      <c r="B51" s="13">
        <v>43647</v>
      </c>
      <c r="C51" s="13">
        <v>44435</v>
      </c>
      <c r="D51" s="28" t="s">
        <v>4</v>
      </c>
      <c r="E51" s="7" t="s">
        <v>94</v>
      </c>
      <c r="F51" s="7">
        <v>0</v>
      </c>
      <c r="G51" s="7" t="s">
        <v>20</v>
      </c>
      <c r="H51" s="8" t="s">
        <v>84</v>
      </c>
      <c r="I51" s="3" t="s">
        <v>7</v>
      </c>
      <c r="J51" s="5">
        <v>0.66666666666666663</v>
      </c>
      <c r="K51" s="5">
        <v>0.875</v>
      </c>
      <c r="L51" s="3">
        <f>0.15966+0.12648-0.00007</f>
        <v>0.28606999999999999</v>
      </c>
      <c r="M51" s="3">
        <v>0</v>
      </c>
      <c r="N51" s="3"/>
      <c r="O51" s="3">
        <f t="shared" si="1"/>
        <v>9.6300000000000008</v>
      </c>
      <c r="P51" s="17"/>
      <c r="Q51" s="17">
        <v>-4.2119999999999998E-2</v>
      </c>
      <c r="R51" s="23">
        <v>-3.0599999999999998E-3</v>
      </c>
      <c r="S51" s="18"/>
      <c r="T51" s="18"/>
      <c r="U51" s="18"/>
      <c r="V51" s="18"/>
      <c r="W51" s="18"/>
      <c r="X51" s="37"/>
    </row>
    <row r="52" spans="1:24" x14ac:dyDescent="0.2">
      <c r="A52">
        <f t="shared" si="0"/>
        <v>51</v>
      </c>
      <c r="B52" s="13">
        <v>43647</v>
      </c>
      <c r="C52" s="13">
        <v>44435</v>
      </c>
      <c r="D52" s="28" t="s">
        <v>4</v>
      </c>
      <c r="E52" s="7" t="s">
        <v>94</v>
      </c>
      <c r="F52" s="7">
        <v>0</v>
      </c>
      <c r="G52" s="7" t="s">
        <v>20</v>
      </c>
      <c r="H52" s="8" t="s">
        <v>85</v>
      </c>
      <c r="I52" s="3" t="s">
        <v>11</v>
      </c>
      <c r="J52" s="5">
        <v>0.875</v>
      </c>
      <c r="K52" s="5">
        <v>0.66666666666666663</v>
      </c>
      <c r="L52" s="3">
        <f>0.0562+0.08944-0.00007</f>
        <v>0.14557</v>
      </c>
      <c r="M52" s="3">
        <v>0</v>
      </c>
      <c r="N52" s="3"/>
      <c r="O52" s="3">
        <f t="shared" si="1"/>
        <v>9.6300000000000008</v>
      </c>
      <c r="P52" s="17"/>
      <c r="Q52" s="17">
        <v>-4.2119999999999998E-2</v>
      </c>
      <c r="R52" s="23">
        <v>-3.0599999999999998E-3</v>
      </c>
      <c r="S52" s="18"/>
      <c r="T52" s="18"/>
      <c r="U52" s="18"/>
      <c r="V52" s="18"/>
      <c r="W52" s="18"/>
      <c r="X52" s="37"/>
    </row>
    <row r="53" spans="1:24" x14ac:dyDescent="0.2">
      <c r="A53">
        <f t="shared" si="0"/>
        <v>52</v>
      </c>
      <c r="B53" s="13">
        <v>43647</v>
      </c>
      <c r="C53" s="13">
        <v>44435</v>
      </c>
      <c r="D53" s="28" t="s">
        <v>4</v>
      </c>
      <c r="E53" s="7" t="s">
        <v>94</v>
      </c>
      <c r="F53" s="7">
        <v>0</v>
      </c>
      <c r="G53" s="7" t="s">
        <v>22</v>
      </c>
      <c r="H53" s="8" t="s">
        <v>84</v>
      </c>
      <c r="I53" s="3" t="s">
        <v>11</v>
      </c>
      <c r="J53" s="5">
        <v>0.66666666666666663</v>
      </c>
      <c r="K53" s="5">
        <v>0.875</v>
      </c>
      <c r="L53" s="3">
        <f>0.15878+0.14632-0.00007</f>
        <v>0.30503000000000002</v>
      </c>
      <c r="M53" s="3">
        <v>0</v>
      </c>
      <c r="N53" s="3"/>
      <c r="O53" s="3">
        <f t="shared" si="1"/>
        <v>9.6300000000000008</v>
      </c>
      <c r="P53" s="17"/>
      <c r="Q53" s="17">
        <v>-4.2119999999999998E-2</v>
      </c>
      <c r="R53" s="23">
        <v>-3.0599999999999998E-3</v>
      </c>
      <c r="S53" s="18"/>
      <c r="T53" s="18"/>
      <c r="U53" s="18"/>
      <c r="V53" s="18"/>
      <c r="W53" s="18"/>
      <c r="X53" s="37"/>
    </row>
    <row r="54" spans="1:24" x14ac:dyDescent="0.2">
      <c r="A54">
        <f t="shared" si="0"/>
        <v>53</v>
      </c>
      <c r="B54" s="13">
        <v>43647</v>
      </c>
      <c r="C54" s="13">
        <v>44435</v>
      </c>
      <c r="D54" s="28" t="s">
        <v>4</v>
      </c>
      <c r="E54" s="7" t="s">
        <v>94</v>
      </c>
      <c r="F54" s="7">
        <v>0</v>
      </c>
      <c r="G54" s="7" t="s">
        <v>22</v>
      </c>
      <c r="H54" s="8" t="s">
        <v>85</v>
      </c>
      <c r="I54" s="3" t="s">
        <v>11</v>
      </c>
      <c r="J54" s="5">
        <v>0.875</v>
      </c>
      <c r="K54" s="5">
        <v>0.33333333333333331</v>
      </c>
      <c r="L54" s="3">
        <f>0.0562+0.08147-0.00007</f>
        <v>0.13760000000000003</v>
      </c>
      <c r="M54" s="3">
        <v>0</v>
      </c>
      <c r="N54" s="3"/>
      <c r="O54" s="3">
        <f t="shared" si="1"/>
        <v>9.6300000000000008</v>
      </c>
      <c r="P54" s="17"/>
      <c r="Q54" s="17">
        <v>-4.2119999999999998E-2</v>
      </c>
      <c r="R54" s="23">
        <v>-3.0599999999999998E-3</v>
      </c>
      <c r="S54" s="18"/>
      <c r="T54" s="18"/>
      <c r="U54" s="18"/>
      <c r="V54" s="18"/>
      <c r="W54" s="18"/>
      <c r="X54" s="37"/>
    </row>
    <row r="55" spans="1:24" x14ac:dyDescent="0.2">
      <c r="A55">
        <f t="shared" si="0"/>
        <v>54</v>
      </c>
      <c r="B55" s="13">
        <v>43647</v>
      </c>
      <c r="C55" s="13">
        <v>44435</v>
      </c>
      <c r="D55" s="28" t="s">
        <v>4</v>
      </c>
      <c r="E55" s="7" t="s">
        <v>94</v>
      </c>
      <c r="F55" s="7">
        <v>0</v>
      </c>
      <c r="G55" s="7" t="s">
        <v>22</v>
      </c>
      <c r="H55" s="8" t="s">
        <v>86</v>
      </c>
      <c r="I55" s="3" t="s">
        <v>11</v>
      </c>
      <c r="J55" s="5">
        <v>0.33333333333333331</v>
      </c>
      <c r="K55" s="5">
        <v>0.66666666666666663</v>
      </c>
      <c r="L55" s="3">
        <f>0.03913+0.04515-0.00007</f>
        <v>8.4209999999999993E-2</v>
      </c>
      <c r="M55" s="3">
        <v>0</v>
      </c>
      <c r="N55" s="3"/>
      <c r="O55" s="3">
        <f t="shared" si="1"/>
        <v>9.6300000000000008</v>
      </c>
      <c r="P55" s="17"/>
      <c r="Q55" s="17">
        <v>-4.2119999999999998E-2</v>
      </c>
      <c r="R55" s="23">
        <v>-3.0599999999999998E-3</v>
      </c>
      <c r="S55" s="18"/>
      <c r="T55" s="18"/>
      <c r="U55" s="18"/>
      <c r="V55" s="18"/>
      <c r="W55" s="18"/>
      <c r="X55" s="37"/>
    </row>
    <row r="56" spans="1:24" x14ac:dyDescent="0.2">
      <c r="A56">
        <f t="shared" si="0"/>
        <v>55</v>
      </c>
      <c r="B56" s="13">
        <v>43739</v>
      </c>
      <c r="C56" s="7"/>
      <c r="D56" s="28" t="s">
        <v>9</v>
      </c>
      <c r="E56" s="7" t="s">
        <v>10</v>
      </c>
      <c r="F56" s="7">
        <v>75</v>
      </c>
      <c r="G56" s="7" t="s">
        <v>20</v>
      </c>
      <c r="H56" s="8" t="s">
        <v>87</v>
      </c>
      <c r="I56" s="3" t="s">
        <v>6</v>
      </c>
      <c r="J56" s="1">
        <v>0.5</v>
      </c>
      <c r="K56" s="1">
        <v>0.75</v>
      </c>
      <c r="L56">
        <v>0.23427000000000001</v>
      </c>
      <c r="M56">
        <v>20.46</v>
      </c>
      <c r="O56" s="3">
        <f>4.59959*30</f>
        <v>137.98769999999999</v>
      </c>
      <c r="P56" s="18"/>
      <c r="Q56" s="18"/>
      <c r="R56" s="18"/>
      <c r="S56" s="18"/>
      <c r="T56" s="18"/>
      <c r="U56" s="18"/>
      <c r="V56" s="18"/>
      <c r="W56" s="18"/>
    </row>
    <row r="57" spans="1:24" x14ac:dyDescent="0.2">
      <c r="A57">
        <f t="shared" si="0"/>
        <v>56</v>
      </c>
      <c r="B57" s="13">
        <v>43739</v>
      </c>
      <c r="C57" s="7"/>
      <c r="D57" s="28" t="s">
        <v>9</v>
      </c>
      <c r="E57" s="7" t="s">
        <v>10</v>
      </c>
      <c r="F57" s="7">
        <v>75</v>
      </c>
      <c r="G57" s="7" t="s">
        <v>20</v>
      </c>
      <c r="H57" s="8" t="s">
        <v>88</v>
      </c>
      <c r="I57" s="3" t="s">
        <v>6</v>
      </c>
      <c r="J57" s="1">
        <v>0.35416666666666669</v>
      </c>
      <c r="K57" s="1">
        <v>0.5</v>
      </c>
      <c r="L57">
        <v>0.17913999999999999</v>
      </c>
      <c r="M57">
        <v>20.46</v>
      </c>
      <c r="O57" s="3">
        <f t="shared" ref="O57:O71" si="2">4.59959*30</f>
        <v>137.98769999999999</v>
      </c>
      <c r="P57" s="18"/>
      <c r="Q57" s="18"/>
      <c r="R57" s="18"/>
      <c r="S57" s="18"/>
      <c r="T57" s="18"/>
      <c r="U57" s="18"/>
      <c r="V57" s="18"/>
      <c r="W57" s="18"/>
    </row>
    <row r="58" spans="1:24" x14ac:dyDescent="0.2">
      <c r="A58">
        <f t="shared" si="0"/>
        <v>57</v>
      </c>
      <c r="B58" s="13">
        <v>43739</v>
      </c>
      <c r="C58" s="7"/>
      <c r="D58" s="28" t="s">
        <v>9</v>
      </c>
      <c r="E58" s="7" t="s">
        <v>10</v>
      </c>
      <c r="F58" s="7">
        <v>75</v>
      </c>
      <c r="G58" s="7" t="s">
        <v>20</v>
      </c>
      <c r="H58" s="8" t="s">
        <v>88</v>
      </c>
      <c r="I58" s="3" t="s">
        <v>6</v>
      </c>
      <c r="J58" s="1">
        <v>0.75</v>
      </c>
      <c r="K58" s="1">
        <v>0.89583333333333337</v>
      </c>
      <c r="L58">
        <v>0.17913999999999999</v>
      </c>
      <c r="M58">
        <v>20.46</v>
      </c>
      <c r="O58" s="3">
        <f t="shared" si="2"/>
        <v>137.98769999999999</v>
      </c>
      <c r="P58" s="18"/>
      <c r="Q58" s="18"/>
      <c r="R58" s="18"/>
      <c r="S58" s="18"/>
      <c r="T58" s="18"/>
      <c r="U58" s="18"/>
      <c r="V58" s="18"/>
      <c r="W58" s="18"/>
    </row>
    <row r="59" spans="1:24" x14ac:dyDescent="0.2">
      <c r="A59">
        <f t="shared" si="0"/>
        <v>58</v>
      </c>
      <c r="B59" s="13">
        <v>43739</v>
      </c>
      <c r="C59" s="7"/>
      <c r="D59" s="28" t="s">
        <v>9</v>
      </c>
      <c r="E59" s="7" t="s">
        <v>10</v>
      </c>
      <c r="F59" s="7">
        <v>75</v>
      </c>
      <c r="G59" s="7" t="s">
        <v>20</v>
      </c>
      <c r="H59" s="8" t="s">
        <v>85</v>
      </c>
      <c r="I59" s="3" t="s">
        <v>6</v>
      </c>
      <c r="J59" s="1">
        <v>0.89583333333333337</v>
      </c>
      <c r="K59" s="1">
        <v>0.35416666666666669</v>
      </c>
      <c r="L59">
        <v>0.15107000000000001</v>
      </c>
      <c r="M59">
        <v>20.46</v>
      </c>
      <c r="O59" s="3">
        <f t="shared" si="2"/>
        <v>137.98769999999999</v>
      </c>
      <c r="P59" s="18"/>
      <c r="Q59" s="18"/>
      <c r="R59" s="18"/>
      <c r="S59" s="18"/>
      <c r="T59" s="18"/>
      <c r="U59" s="18"/>
      <c r="V59" s="18"/>
      <c r="W59" s="18"/>
    </row>
    <row r="60" spans="1:24" x14ac:dyDescent="0.2">
      <c r="A60">
        <f t="shared" si="0"/>
        <v>59</v>
      </c>
      <c r="B60" s="13">
        <v>43739</v>
      </c>
      <c r="C60" s="7"/>
      <c r="D60" s="28" t="s">
        <v>9</v>
      </c>
      <c r="E60" s="7" t="s">
        <v>10</v>
      </c>
      <c r="F60" s="7">
        <v>75</v>
      </c>
      <c r="G60" s="7" t="s">
        <v>20</v>
      </c>
      <c r="H60" s="8" t="s">
        <v>85</v>
      </c>
      <c r="I60" s="3" t="s">
        <v>7</v>
      </c>
      <c r="J60" s="1">
        <v>0</v>
      </c>
      <c r="K60" s="1">
        <v>0</v>
      </c>
      <c r="L60">
        <v>0.15107000000000001</v>
      </c>
      <c r="M60">
        <v>20.46</v>
      </c>
      <c r="O60" s="3">
        <f t="shared" si="2"/>
        <v>137.98769999999999</v>
      </c>
      <c r="P60" s="18"/>
      <c r="Q60" s="18"/>
      <c r="R60" s="18"/>
      <c r="S60" s="18"/>
      <c r="T60" s="18"/>
      <c r="U60" s="18"/>
      <c r="V60" s="18"/>
      <c r="W60" s="18"/>
    </row>
    <row r="61" spans="1:24" x14ac:dyDescent="0.2">
      <c r="A61">
        <f t="shared" si="0"/>
        <v>60</v>
      </c>
      <c r="B61" s="13">
        <v>43739</v>
      </c>
      <c r="C61" s="7"/>
      <c r="D61" s="28" t="s">
        <v>9</v>
      </c>
      <c r="E61" s="7" t="s">
        <v>10</v>
      </c>
      <c r="F61" s="7">
        <v>75</v>
      </c>
      <c r="G61" s="7" t="s">
        <v>22</v>
      </c>
      <c r="H61" s="8" t="s">
        <v>88</v>
      </c>
      <c r="I61" s="3" t="s">
        <v>6</v>
      </c>
      <c r="J61" s="1">
        <v>0.35416666666666669</v>
      </c>
      <c r="K61" s="1">
        <v>0.89583333333333337</v>
      </c>
      <c r="L61">
        <v>0.14974000000000001</v>
      </c>
      <c r="M61">
        <v>11.94</v>
      </c>
      <c r="O61" s="3">
        <f t="shared" si="2"/>
        <v>137.98769999999999</v>
      </c>
      <c r="P61" s="18"/>
      <c r="Q61" s="18"/>
      <c r="R61" s="18"/>
      <c r="S61" s="18"/>
      <c r="T61" s="18"/>
      <c r="U61" s="18"/>
      <c r="V61" s="18"/>
      <c r="W61" s="18"/>
    </row>
    <row r="62" spans="1:24" x14ac:dyDescent="0.2">
      <c r="A62">
        <f t="shared" si="0"/>
        <v>61</v>
      </c>
      <c r="B62" s="13">
        <v>43739</v>
      </c>
      <c r="C62" s="7"/>
      <c r="D62" s="28" t="s">
        <v>9</v>
      </c>
      <c r="E62" s="7" t="s">
        <v>10</v>
      </c>
      <c r="F62" s="7">
        <v>75</v>
      </c>
      <c r="G62" s="7" t="s">
        <v>22</v>
      </c>
      <c r="H62" s="8" t="s">
        <v>85</v>
      </c>
      <c r="I62" s="3" t="s">
        <v>6</v>
      </c>
      <c r="J62" s="1">
        <v>0.89583333333333337</v>
      </c>
      <c r="K62" s="1">
        <v>0.35416666666666669</v>
      </c>
      <c r="L62">
        <v>0.13267999999999999</v>
      </c>
      <c r="M62">
        <v>11.94</v>
      </c>
      <c r="O62" s="3">
        <f t="shared" si="2"/>
        <v>137.98769999999999</v>
      </c>
      <c r="P62" s="18"/>
      <c r="Q62" s="18"/>
      <c r="R62" s="18"/>
      <c r="S62" s="18"/>
      <c r="T62" s="18"/>
      <c r="U62" s="18"/>
      <c r="V62" s="18"/>
      <c r="W62" s="18"/>
    </row>
    <row r="63" spans="1:24" x14ac:dyDescent="0.2">
      <c r="A63">
        <f t="shared" si="0"/>
        <v>62</v>
      </c>
      <c r="B63" s="13">
        <v>43739</v>
      </c>
      <c r="C63" s="7"/>
      <c r="D63" s="28" t="s">
        <v>9</v>
      </c>
      <c r="E63" s="7" t="s">
        <v>10</v>
      </c>
      <c r="F63" s="7">
        <v>75</v>
      </c>
      <c r="G63" s="7" t="s">
        <v>22</v>
      </c>
      <c r="H63" s="8" t="s">
        <v>85</v>
      </c>
      <c r="I63" s="3" t="s">
        <v>7</v>
      </c>
      <c r="J63" s="1">
        <v>0</v>
      </c>
      <c r="K63" s="1">
        <v>0</v>
      </c>
      <c r="L63">
        <v>0.13267999999999999</v>
      </c>
      <c r="M63">
        <v>11.94</v>
      </c>
      <c r="O63" s="3">
        <f t="shared" si="2"/>
        <v>137.98769999999999</v>
      </c>
      <c r="P63" s="18"/>
      <c r="Q63" s="18"/>
      <c r="R63" s="18"/>
      <c r="S63" s="18"/>
      <c r="T63" s="18"/>
      <c r="U63" s="18"/>
      <c r="V63" s="18"/>
      <c r="W63" s="18"/>
    </row>
    <row r="64" spans="1:24" x14ac:dyDescent="0.2">
      <c r="A64">
        <f t="shared" si="0"/>
        <v>63</v>
      </c>
      <c r="B64" s="13">
        <v>43831</v>
      </c>
      <c r="C64" s="7"/>
      <c r="D64" s="28" t="s">
        <v>9</v>
      </c>
      <c r="E64" s="26" t="s">
        <v>10</v>
      </c>
      <c r="F64" s="7">
        <v>75</v>
      </c>
      <c r="G64" s="7" t="s">
        <v>20</v>
      </c>
      <c r="H64" s="8" t="s">
        <v>87</v>
      </c>
      <c r="I64" s="3" t="s">
        <v>6</v>
      </c>
      <c r="J64" s="1">
        <v>0.5</v>
      </c>
      <c r="K64" s="1">
        <v>0.75</v>
      </c>
      <c r="L64">
        <v>0.23491000000000001</v>
      </c>
      <c r="M64">
        <v>21.63</v>
      </c>
      <c r="N64">
        <v>0</v>
      </c>
      <c r="O64" s="3">
        <f t="shared" si="2"/>
        <v>137.98769999999999</v>
      </c>
      <c r="P64" s="18"/>
      <c r="Q64" s="18"/>
      <c r="R64" s="18"/>
      <c r="S64" s="18"/>
      <c r="T64" s="18"/>
      <c r="U64" s="18"/>
      <c r="V64" s="18"/>
      <c r="W64" s="18"/>
    </row>
    <row r="65" spans="1:23" x14ac:dyDescent="0.2">
      <c r="A65">
        <f t="shared" si="0"/>
        <v>64</v>
      </c>
      <c r="B65" s="13">
        <v>43831</v>
      </c>
      <c r="C65" s="7"/>
      <c r="D65" s="28" t="s">
        <v>9</v>
      </c>
      <c r="E65" s="26" t="s">
        <v>10</v>
      </c>
      <c r="F65" s="7">
        <v>75</v>
      </c>
      <c r="G65" s="7" t="s">
        <v>20</v>
      </c>
      <c r="H65" s="8" t="s">
        <v>88</v>
      </c>
      <c r="I65" s="3" t="s">
        <v>6</v>
      </c>
      <c r="J65" s="1">
        <v>0.35416666666666669</v>
      </c>
      <c r="K65" s="1">
        <v>0.5</v>
      </c>
      <c r="L65">
        <v>0.17978</v>
      </c>
      <c r="M65">
        <v>21.63</v>
      </c>
      <c r="N65">
        <v>0</v>
      </c>
      <c r="O65" s="3">
        <f t="shared" si="2"/>
        <v>137.98769999999999</v>
      </c>
      <c r="P65" s="18"/>
      <c r="Q65" s="18"/>
      <c r="R65" s="18"/>
      <c r="S65" s="18"/>
      <c r="T65" s="18"/>
      <c r="U65" s="18"/>
      <c r="V65" s="18"/>
      <c r="W65" s="18"/>
    </row>
    <row r="66" spans="1:23" x14ac:dyDescent="0.2">
      <c r="A66">
        <f t="shared" si="0"/>
        <v>65</v>
      </c>
      <c r="B66" s="13">
        <v>43831</v>
      </c>
      <c r="C66" s="7"/>
      <c r="D66" s="28" t="s">
        <v>9</v>
      </c>
      <c r="E66" s="26" t="s">
        <v>10</v>
      </c>
      <c r="F66" s="7">
        <v>75</v>
      </c>
      <c r="G66" s="7" t="s">
        <v>20</v>
      </c>
      <c r="H66" s="8" t="s">
        <v>88</v>
      </c>
      <c r="I66" s="3" t="s">
        <v>6</v>
      </c>
      <c r="J66" s="1">
        <v>0.75</v>
      </c>
      <c r="K66" s="1">
        <v>0.89583333333333337</v>
      </c>
      <c r="L66">
        <v>0.17978</v>
      </c>
      <c r="M66">
        <v>21.63</v>
      </c>
      <c r="N66">
        <v>0</v>
      </c>
      <c r="O66" s="3">
        <f t="shared" si="2"/>
        <v>137.98769999999999</v>
      </c>
      <c r="P66" s="18"/>
      <c r="Q66" s="18"/>
      <c r="R66" s="18"/>
      <c r="S66" s="18"/>
      <c r="T66" s="18"/>
      <c r="U66" s="18"/>
      <c r="V66" s="18"/>
      <c r="W66" s="18"/>
    </row>
    <row r="67" spans="1:23" x14ac:dyDescent="0.2">
      <c r="A67">
        <f t="shared" si="0"/>
        <v>66</v>
      </c>
      <c r="B67" s="13">
        <v>43831</v>
      </c>
      <c r="C67" s="7"/>
      <c r="D67" s="28" t="s">
        <v>9</v>
      </c>
      <c r="E67" s="26" t="s">
        <v>10</v>
      </c>
      <c r="F67" s="7">
        <v>75</v>
      </c>
      <c r="G67" s="7" t="s">
        <v>20</v>
      </c>
      <c r="H67" s="8" t="s">
        <v>85</v>
      </c>
      <c r="I67" s="3" t="s">
        <v>6</v>
      </c>
      <c r="J67" s="1">
        <v>0.89583333333333337</v>
      </c>
      <c r="K67" s="1">
        <v>0.35416666666666669</v>
      </c>
      <c r="L67">
        <v>0.15171000000000001</v>
      </c>
      <c r="M67">
        <v>21.63</v>
      </c>
      <c r="N67">
        <v>0</v>
      </c>
      <c r="O67" s="3">
        <f t="shared" si="2"/>
        <v>137.98769999999999</v>
      </c>
      <c r="P67" s="18"/>
      <c r="Q67" s="18"/>
      <c r="R67" s="18"/>
      <c r="S67" s="18"/>
      <c r="T67" s="18"/>
      <c r="U67" s="18"/>
      <c r="V67" s="18"/>
      <c r="W67" s="18"/>
    </row>
    <row r="68" spans="1:23" x14ac:dyDescent="0.2">
      <c r="A68">
        <f t="shared" ref="A68:A131" si="3">A67+1</f>
        <v>67</v>
      </c>
      <c r="B68" s="13">
        <v>43831</v>
      </c>
      <c r="C68" s="7"/>
      <c r="D68" s="28" t="s">
        <v>9</v>
      </c>
      <c r="E68" s="7" t="s">
        <v>10</v>
      </c>
      <c r="F68" s="7">
        <v>75</v>
      </c>
      <c r="G68" s="7" t="s">
        <v>20</v>
      </c>
      <c r="H68" s="8" t="s">
        <v>85</v>
      </c>
      <c r="I68" s="3" t="s">
        <v>7</v>
      </c>
      <c r="J68" s="1">
        <v>0</v>
      </c>
      <c r="K68" s="1">
        <v>0</v>
      </c>
      <c r="L68">
        <v>0.15171000000000001</v>
      </c>
      <c r="M68">
        <v>21.63</v>
      </c>
      <c r="N68">
        <v>0</v>
      </c>
      <c r="O68" s="3">
        <f t="shared" si="2"/>
        <v>137.98769999999999</v>
      </c>
      <c r="P68" s="18"/>
      <c r="Q68" s="18"/>
      <c r="R68" s="18"/>
      <c r="S68" s="18"/>
      <c r="T68" s="18"/>
      <c r="U68" s="18"/>
      <c r="V68" s="18"/>
      <c r="W68" s="18"/>
    </row>
    <row r="69" spans="1:23" x14ac:dyDescent="0.2">
      <c r="A69">
        <f t="shared" si="3"/>
        <v>68</v>
      </c>
      <c r="B69" s="13">
        <v>43831</v>
      </c>
      <c r="C69" s="7"/>
      <c r="D69" s="28" t="s">
        <v>9</v>
      </c>
      <c r="E69" s="7" t="s">
        <v>10</v>
      </c>
      <c r="F69" s="7">
        <v>75</v>
      </c>
      <c r="G69" s="7" t="s">
        <v>22</v>
      </c>
      <c r="H69" s="8" t="s">
        <v>88</v>
      </c>
      <c r="I69" s="3" t="s">
        <v>6</v>
      </c>
      <c r="J69" s="1">
        <v>0.35416666666666669</v>
      </c>
      <c r="K69" s="1">
        <v>0.89583333333333337</v>
      </c>
      <c r="L69">
        <v>0.15039</v>
      </c>
      <c r="M69">
        <v>13.11</v>
      </c>
      <c r="N69">
        <v>0</v>
      </c>
      <c r="O69" s="3">
        <f t="shared" si="2"/>
        <v>137.98769999999999</v>
      </c>
      <c r="P69" s="18"/>
      <c r="Q69" s="18"/>
      <c r="R69" s="18"/>
      <c r="S69" s="18"/>
      <c r="T69" s="18"/>
      <c r="U69" s="18"/>
      <c r="V69" s="18"/>
      <c r="W69" s="18"/>
    </row>
    <row r="70" spans="1:23" x14ac:dyDescent="0.2">
      <c r="A70">
        <f t="shared" si="3"/>
        <v>69</v>
      </c>
      <c r="B70" s="13">
        <v>43831</v>
      </c>
      <c r="C70" s="7"/>
      <c r="D70" s="28" t="s">
        <v>9</v>
      </c>
      <c r="E70" s="7" t="s">
        <v>10</v>
      </c>
      <c r="F70" s="7">
        <v>75</v>
      </c>
      <c r="G70" s="7" t="s">
        <v>22</v>
      </c>
      <c r="H70" s="8" t="s">
        <v>85</v>
      </c>
      <c r="I70" s="3" t="s">
        <v>6</v>
      </c>
      <c r="J70" s="1">
        <v>0.89583333333333337</v>
      </c>
      <c r="K70" s="1">
        <v>0.35416666666666669</v>
      </c>
      <c r="L70">
        <v>0.13333</v>
      </c>
      <c r="M70">
        <v>13.11</v>
      </c>
      <c r="N70">
        <v>0</v>
      </c>
      <c r="O70" s="3">
        <f t="shared" si="2"/>
        <v>137.98769999999999</v>
      </c>
      <c r="P70" s="18"/>
      <c r="Q70" s="18"/>
      <c r="R70" s="18"/>
      <c r="S70" s="18"/>
      <c r="T70" s="18"/>
      <c r="U70" s="18"/>
      <c r="V70" s="18"/>
      <c r="W70" s="18"/>
    </row>
    <row r="71" spans="1:23" x14ac:dyDescent="0.2">
      <c r="A71">
        <f t="shared" si="3"/>
        <v>70</v>
      </c>
      <c r="B71" s="13">
        <v>43831</v>
      </c>
      <c r="C71" s="7"/>
      <c r="D71" s="28" t="s">
        <v>9</v>
      </c>
      <c r="E71" s="7" t="s">
        <v>10</v>
      </c>
      <c r="F71" s="7">
        <v>75</v>
      </c>
      <c r="G71" s="7" t="s">
        <v>22</v>
      </c>
      <c r="H71" s="8" t="s">
        <v>85</v>
      </c>
      <c r="I71" s="3" t="s">
        <v>7</v>
      </c>
      <c r="J71" s="1">
        <v>0</v>
      </c>
      <c r="K71" s="1">
        <v>0</v>
      </c>
      <c r="L71">
        <v>0.13333</v>
      </c>
      <c r="M71">
        <v>13.11</v>
      </c>
      <c r="N71">
        <v>0</v>
      </c>
      <c r="O71" s="3">
        <f t="shared" si="2"/>
        <v>137.98769999999999</v>
      </c>
      <c r="P71" s="18"/>
      <c r="Q71" s="18"/>
      <c r="R71" s="18"/>
      <c r="S71" s="18"/>
      <c r="T71" s="18"/>
      <c r="U71" s="18"/>
      <c r="V71" s="18"/>
      <c r="W71" s="18"/>
    </row>
    <row r="72" spans="1:23" x14ac:dyDescent="0.2">
      <c r="A72">
        <f t="shared" si="3"/>
        <v>71</v>
      </c>
      <c r="B72" s="13">
        <v>43831</v>
      </c>
      <c r="C72" s="7"/>
      <c r="D72" s="28" t="s">
        <v>9</v>
      </c>
      <c r="E72" s="7" t="s">
        <v>103</v>
      </c>
      <c r="F72" s="7">
        <v>0</v>
      </c>
      <c r="G72" s="7" t="s">
        <v>20</v>
      </c>
      <c r="H72" s="8" t="s">
        <v>87</v>
      </c>
      <c r="I72" s="3" t="s">
        <v>6</v>
      </c>
      <c r="J72" s="1">
        <v>0.5</v>
      </c>
      <c r="K72" s="1">
        <v>0.75</v>
      </c>
      <c r="L72">
        <v>0.28988000000000003</v>
      </c>
      <c r="M72">
        <v>0</v>
      </c>
      <c r="N72">
        <v>0</v>
      </c>
      <c r="O72" s="3">
        <f>0.32854*30</f>
        <v>9.8561999999999994</v>
      </c>
      <c r="P72" s="18"/>
      <c r="Q72" s="18"/>
      <c r="R72" s="18"/>
      <c r="S72" s="18"/>
      <c r="T72" s="18"/>
      <c r="U72" s="18"/>
      <c r="V72" s="18"/>
      <c r="W72" s="18"/>
    </row>
    <row r="73" spans="1:23" x14ac:dyDescent="0.2">
      <c r="A73">
        <f t="shared" si="3"/>
        <v>72</v>
      </c>
      <c r="B73" s="13">
        <v>43831</v>
      </c>
      <c r="C73" s="7"/>
      <c r="D73" s="28" t="s">
        <v>9</v>
      </c>
      <c r="E73" s="7" t="s">
        <v>103</v>
      </c>
      <c r="F73" s="7">
        <v>0</v>
      </c>
      <c r="G73" s="7" t="s">
        <v>20</v>
      </c>
      <c r="H73" s="8" t="s">
        <v>88</v>
      </c>
      <c r="I73" s="3" t="s">
        <v>6</v>
      </c>
      <c r="J73" s="1">
        <v>0.35416666666666669</v>
      </c>
      <c r="K73" s="1">
        <v>0.5</v>
      </c>
      <c r="L73">
        <v>0.26623000000000002</v>
      </c>
      <c r="M73">
        <v>0</v>
      </c>
      <c r="N73">
        <v>0</v>
      </c>
      <c r="O73" s="3">
        <f t="shared" ref="O73:O79" si="4">0.32854*30</f>
        <v>9.8561999999999994</v>
      </c>
      <c r="P73" s="18"/>
      <c r="Q73" s="18"/>
      <c r="R73" s="18"/>
      <c r="S73" s="18"/>
      <c r="T73" s="18"/>
      <c r="U73" s="18"/>
      <c r="V73" s="18"/>
      <c r="W73" s="18"/>
    </row>
    <row r="74" spans="1:23" x14ac:dyDescent="0.2">
      <c r="A74">
        <f t="shared" si="3"/>
        <v>73</v>
      </c>
      <c r="B74" s="13">
        <v>43831</v>
      </c>
      <c r="C74" s="7"/>
      <c r="D74" s="28" t="s">
        <v>9</v>
      </c>
      <c r="E74" s="7" t="s">
        <v>103</v>
      </c>
      <c r="F74" s="7">
        <v>0</v>
      </c>
      <c r="G74" s="7" t="s">
        <v>20</v>
      </c>
      <c r="H74" s="8" t="s">
        <v>88</v>
      </c>
      <c r="I74" s="3" t="s">
        <v>6</v>
      </c>
      <c r="J74" s="1">
        <v>0.75</v>
      </c>
      <c r="K74" s="1">
        <v>0.89583333333333337</v>
      </c>
      <c r="L74">
        <v>0.26623000000000002</v>
      </c>
      <c r="M74">
        <v>0</v>
      </c>
      <c r="N74">
        <v>0</v>
      </c>
      <c r="O74" s="3">
        <f t="shared" si="4"/>
        <v>9.8561999999999994</v>
      </c>
      <c r="P74" s="18"/>
      <c r="Q74" s="18"/>
      <c r="R74" s="18"/>
      <c r="S74" s="18"/>
      <c r="T74" s="18"/>
      <c r="U74" s="18"/>
      <c r="V74" s="18"/>
      <c r="W74" s="18"/>
    </row>
    <row r="75" spans="1:23" x14ac:dyDescent="0.2">
      <c r="A75">
        <f t="shared" si="3"/>
        <v>74</v>
      </c>
      <c r="B75" s="13">
        <v>43831</v>
      </c>
      <c r="C75" s="7"/>
      <c r="D75" s="28" t="s">
        <v>9</v>
      </c>
      <c r="E75" s="7" t="s">
        <v>103</v>
      </c>
      <c r="F75" s="7">
        <v>0</v>
      </c>
      <c r="G75" s="7" t="s">
        <v>20</v>
      </c>
      <c r="H75" s="8" t="s">
        <v>85</v>
      </c>
      <c r="I75" s="3" t="s">
        <v>6</v>
      </c>
      <c r="J75" s="1">
        <v>0.89583333333333337</v>
      </c>
      <c r="K75" s="1">
        <v>0.35416666666666669</v>
      </c>
      <c r="L75">
        <v>0.23887</v>
      </c>
      <c r="M75">
        <v>0</v>
      </c>
      <c r="N75">
        <v>0</v>
      </c>
      <c r="O75" s="3">
        <f t="shared" si="4"/>
        <v>9.8561999999999994</v>
      </c>
      <c r="P75" s="18"/>
      <c r="Q75" s="18"/>
      <c r="R75" s="18"/>
      <c r="S75" s="18"/>
      <c r="T75" s="18"/>
      <c r="U75" s="18"/>
      <c r="V75" s="18"/>
      <c r="W75" s="18"/>
    </row>
    <row r="76" spans="1:23" x14ac:dyDescent="0.2">
      <c r="A76">
        <f t="shared" si="3"/>
        <v>75</v>
      </c>
      <c r="B76" s="13">
        <v>43831</v>
      </c>
      <c r="C76" s="7"/>
      <c r="D76" s="28" t="s">
        <v>9</v>
      </c>
      <c r="E76" s="7" t="s">
        <v>103</v>
      </c>
      <c r="F76" s="7">
        <v>0</v>
      </c>
      <c r="G76" s="7" t="s">
        <v>20</v>
      </c>
      <c r="H76" s="8" t="s">
        <v>85</v>
      </c>
      <c r="I76" s="3" t="s">
        <v>7</v>
      </c>
      <c r="J76" s="1">
        <v>0</v>
      </c>
      <c r="K76" s="1">
        <v>0</v>
      </c>
      <c r="L76">
        <v>0.23887</v>
      </c>
      <c r="M76">
        <v>0</v>
      </c>
      <c r="N76">
        <v>0</v>
      </c>
      <c r="O76" s="3">
        <f t="shared" si="4"/>
        <v>9.8561999999999994</v>
      </c>
      <c r="P76" s="18"/>
      <c r="Q76" s="18"/>
      <c r="R76" s="18"/>
      <c r="S76" s="18"/>
      <c r="T76" s="18"/>
      <c r="U76" s="18"/>
      <c r="V76" s="18"/>
      <c r="W76" s="18"/>
    </row>
    <row r="77" spans="1:23" x14ac:dyDescent="0.2">
      <c r="A77">
        <f t="shared" si="3"/>
        <v>76</v>
      </c>
      <c r="B77" s="13">
        <v>43831</v>
      </c>
      <c r="C77" s="7"/>
      <c r="D77" s="28" t="s">
        <v>9</v>
      </c>
      <c r="E77" s="7" t="s">
        <v>103</v>
      </c>
      <c r="F77" s="7">
        <v>0</v>
      </c>
      <c r="G77" s="7" t="s">
        <v>22</v>
      </c>
      <c r="H77" s="8" t="s">
        <v>88</v>
      </c>
      <c r="I77" s="3" t="s">
        <v>6</v>
      </c>
      <c r="J77" s="1">
        <v>0.35416666666666669</v>
      </c>
      <c r="K77" s="1">
        <v>0.89583333333333337</v>
      </c>
      <c r="L77">
        <v>0.24562</v>
      </c>
      <c r="M77">
        <v>0</v>
      </c>
      <c r="N77">
        <v>0</v>
      </c>
      <c r="O77" s="3">
        <f t="shared" si="4"/>
        <v>9.8561999999999994</v>
      </c>
      <c r="P77" s="18"/>
      <c r="Q77" s="18"/>
      <c r="R77" s="18"/>
      <c r="S77" s="18"/>
      <c r="T77" s="18"/>
      <c r="U77" s="18"/>
      <c r="V77" s="18"/>
      <c r="W77" s="18"/>
    </row>
    <row r="78" spans="1:23" x14ac:dyDescent="0.2">
      <c r="A78">
        <f t="shared" si="3"/>
        <v>77</v>
      </c>
      <c r="B78" s="13">
        <v>43831</v>
      </c>
      <c r="C78" s="7"/>
      <c r="D78" s="28" t="s">
        <v>9</v>
      </c>
      <c r="E78" s="7" t="s">
        <v>103</v>
      </c>
      <c r="F78" s="7">
        <v>0</v>
      </c>
      <c r="G78" s="7" t="s">
        <v>22</v>
      </c>
      <c r="H78" s="8" t="s">
        <v>85</v>
      </c>
      <c r="I78" s="3" t="s">
        <v>6</v>
      </c>
      <c r="J78" s="1">
        <v>0.89583333333333337</v>
      </c>
      <c r="K78" s="1">
        <v>0.35416666666666669</v>
      </c>
      <c r="L78">
        <v>0.22470999999999999</v>
      </c>
      <c r="M78">
        <v>0</v>
      </c>
      <c r="N78">
        <v>0</v>
      </c>
      <c r="O78" s="3">
        <f t="shared" si="4"/>
        <v>9.8561999999999994</v>
      </c>
      <c r="P78" s="18"/>
      <c r="Q78" s="18"/>
      <c r="R78" s="18"/>
      <c r="S78" s="18"/>
      <c r="T78" s="18"/>
      <c r="U78" s="18"/>
      <c r="V78" s="18"/>
      <c r="W78" s="18"/>
    </row>
    <row r="79" spans="1:23" x14ac:dyDescent="0.2">
      <c r="A79">
        <f t="shared" si="3"/>
        <v>78</v>
      </c>
      <c r="B79" s="13">
        <v>43831</v>
      </c>
      <c r="C79" s="7"/>
      <c r="D79" s="28" t="s">
        <v>9</v>
      </c>
      <c r="E79" s="7" t="s">
        <v>103</v>
      </c>
      <c r="F79" s="7">
        <v>0</v>
      </c>
      <c r="G79" s="7" t="s">
        <v>22</v>
      </c>
      <c r="H79" s="8" t="s">
        <v>85</v>
      </c>
      <c r="I79" s="3" t="s">
        <v>7</v>
      </c>
      <c r="J79" s="1">
        <v>0</v>
      </c>
      <c r="K79" s="1">
        <v>0</v>
      </c>
      <c r="L79">
        <v>0.22470999999999999</v>
      </c>
      <c r="M79">
        <v>0</v>
      </c>
      <c r="N79">
        <v>0</v>
      </c>
      <c r="O79" s="3">
        <f t="shared" si="4"/>
        <v>9.8561999999999994</v>
      </c>
      <c r="P79" s="18"/>
      <c r="Q79" s="18"/>
      <c r="R79" s="18"/>
      <c r="S79" s="18"/>
      <c r="T79" s="18"/>
      <c r="U79" s="18"/>
      <c r="V79" s="18"/>
      <c r="W79" s="18"/>
    </row>
    <row r="80" spans="1:23" x14ac:dyDescent="0.2">
      <c r="A80">
        <f t="shared" si="3"/>
        <v>79</v>
      </c>
      <c r="B80" s="13">
        <v>43831</v>
      </c>
      <c r="C80" s="7"/>
      <c r="D80" s="28" t="s">
        <v>9</v>
      </c>
      <c r="E80" s="7" t="s">
        <v>104</v>
      </c>
      <c r="F80" s="7">
        <v>500</v>
      </c>
      <c r="G80" s="7" t="s">
        <v>20</v>
      </c>
      <c r="H80" s="8" t="s">
        <v>87</v>
      </c>
      <c r="I80" s="3" t="s">
        <v>6</v>
      </c>
      <c r="J80" s="1">
        <v>0.5</v>
      </c>
      <c r="K80" s="1">
        <v>0.75</v>
      </c>
      <c r="L80">
        <v>0.17088</v>
      </c>
      <c r="M80">
        <v>21.62</v>
      </c>
      <c r="N80">
        <v>20.55</v>
      </c>
      <c r="O80" s="3">
        <f>23.65503*30</f>
        <v>709.65089999999998</v>
      </c>
      <c r="P80" s="18"/>
      <c r="Q80" s="18"/>
      <c r="R80" s="18"/>
      <c r="S80" s="18"/>
      <c r="T80" s="18"/>
      <c r="U80" s="18"/>
      <c r="V80" s="18"/>
      <c r="W80" s="18"/>
    </row>
    <row r="81" spans="1:23" x14ac:dyDescent="0.2">
      <c r="A81">
        <f t="shared" si="3"/>
        <v>80</v>
      </c>
      <c r="B81" s="13">
        <v>43831</v>
      </c>
      <c r="C81" s="7"/>
      <c r="D81" s="28" t="s">
        <v>9</v>
      </c>
      <c r="E81" s="7" t="s">
        <v>104</v>
      </c>
      <c r="F81" s="7">
        <v>500</v>
      </c>
      <c r="G81" s="7" t="s">
        <v>20</v>
      </c>
      <c r="H81" s="8" t="s">
        <v>88</v>
      </c>
      <c r="I81" s="3" t="s">
        <v>6</v>
      </c>
      <c r="J81" s="1">
        <v>0.35416666666666669</v>
      </c>
      <c r="K81" s="1">
        <v>0.5</v>
      </c>
      <c r="L81">
        <v>0.12317</v>
      </c>
      <c r="M81">
        <v>5.99</v>
      </c>
      <c r="N81" s="7">
        <v>20.55</v>
      </c>
      <c r="O81" s="3">
        <f t="shared" ref="O81:O87" si="5">23.65503*30</f>
        <v>709.65089999999998</v>
      </c>
      <c r="P81" s="18"/>
      <c r="Q81" s="18"/>
      <c r="R81" s="18"/>
      <c r="S81" s="18"/>
      <c r="T81" s="18"/>
      <c r="U81" s="18"/>
      <c r="V81" s="18"/>
      <c r="W81" s="18"/>
    </row>
    <row r="82" spans="1:23" x14ac:dyDescent="0.2">
      <c r="A82">
        <f t="shared" si="3"/>
        <v>81</v>
      </c>
      <c r="B82" s="13">
        <v>43831</v>
      </c>
      <c r="C82" s="7"/>
      <c r="D82" s="28" t="s">
        <v>9</v>
      </c>
      <c r="E82" s="7" t="s">
        <v>104</v>
      </c>
      <c r="F82" s="7">
        <v>500</v>
      </c>
      <c r="G82" s="7" t="s">
        <v>20</v>
      </c>
      <c r="H82" s="8" t="s">
        <v>88</v>
      </c>
      <c r="I82" s="3" t="s">
        <v>6</v>
      </c>
      <c r="J82" s="1">
        <v>0.75</v>
      </c>
      <c r="K82" s="1">
        <v>0.89583333333333337</v>
      </c>
      <c r="L82">
        <v>0.12317</v>
      </c>
      <c r="M82">
        <v>5.99</v>
      </c>
      <c r="N82" s="7">
        <v>20.55</v>
      </c>
      <c r="O82" s="3">
        <f t="shared" si="5"/>
        <v>709.65089999999998</v>
      </c>
      <c r="P82" s="18"/>
      <c r="Q82" s="18"/>
      <c r="R82" s="18"/>
      <c r="S82" s="18"/>
      <c r="T82" s="18"/>
      <c r="U82" s="18"/>
      <c r="V82" s="18"/>
      <c r="W82" s="18"/>
    </row>
    <row r="83" spans="1:23" x14ac:dyDescent="0.2">
      <c r="A83">
        <f t="shared" si="3"/>
        <v>82</v>
      </c>
      <c r="B83" s="13">
        <v>43831</v>
      </c>
      <c r="C83" s="7"/>
      <c r="D83" s="28" t="s">
        <v>9</v>
      </c>
      <c r="E83" s="7" t="s">
        <v>104</v>
      </c>
      <c r="F83" s="7">
        <v>500</v>
      </c>
      <c r="G83" s="7" t="s">
        <v>20</v>
      </c>
      <c r="H83" s="8" t="s">
        <v>85</v>
      </c>
      <c r="I83" s="3" t="s">
        <v>6</v>
      </c>
      <c r="J83" s="1">
        <v>0.89583333333333337</v>
      </c>
      <c r="K83" s="1">
        <v>0.35416666666666669</v>
      </c>
      <c r="L83">
        <v>9.1579999999999995E-2</v>
      </c>
      <c r="M83" s="26">
        <v>0</v>
      </c>
      <c r="N83" s="7">
        <v>20.55</v>
      </c>
      <c r="O83" s="3">
        <f t="shared" si="5"/>
        <v>709.65089999999998</v>
      </c>
      <c r="P83" s="18"/>
      <c r="Q83" s="18"/>
      <c r="R83" s="18"/>
      <c r="S83" s="18"/>
      <c r="T83" s="18"/>
      <c r="U83" s="18"/>
      <c r="V83" s="18"/>
      <c r="W83" s="18"/>
    </row>
    <row r="84" spans="1:23" x14ac:dyDescent="0.2">
      <c r="A84">
        <f t="shared" si="3"/>
        <v>83</v>
      </c>
      <c r="B84" s="13">
        <v>43831</v>
      </c>
      <c r="C84" s="7"/>
      <c r="D84" s="28" t="s">
        <v>9</v>
      </c>
      <c r="E84" s="7" t="s">
        <v>104</v>
      </c>
      <c r="F84" s="7">
        <v>500</v>
      </c>
      <c r="G84" s="7" t="s">
        <v>20</v>
      </c>
      <c r="H84" s="8" t="s">
        <v>85</v>
      </c>
      <c r="I84" s="3" t="s">
        <v>7</v>
      </c>
      <c r="J84" s="1">
        <v>0</v>
      </c>
      <c r="K84" s="1">
        <v>0</v>
      </c>
      <c r="L84">
        <v>9.1579999999999995E-2</v>
      </c>
      <c r="M84" s="26">
        <v>0</v>
      </c>
      <c r="N84" s="7">
        <v>20.55</v>
      </c>
      <c r="O84" s="3">
        <f t="shared" si="5"/>
        <v>709.65089999999998</v>
      </c>
      <c r="P84" s="18"/>
      <c r="Q84" s="18"/>
      <c r="R84" s="18"/>
      <c r="S84" s="18"/>
      <c r="T84" s="18"/>
      <c r="U84" s="18"/>
      <c r="V84" s="18"/>
      <c r="W84" s="18"/>
    </row>
    <row r="85" spans="1:23" x14ac:dyDescent="0.2">
      <c r="A85">
        <f t="shared" si="3"/>
        <v>84</v>
      </c>
      <c r="B85" s="13">
        <v>43831</v>
      </c>
      <c r="C85" s="7"/>
      <c r="D85" s="28" t="s">
        <v>9</v>
      </c>
      <c r="E85" s="7" t="s">
        <v>104</v>
      </c>
      <c r="F85" s="7">
        <v>500</v>
      </c>
      <c r="G85" s="7" t="s">
        <v>22</v>
      </c>
      <c r="H85" s="8" t="s">
        <v>88</v>
      </c>
      <c r="I85" s="3" t="s">
        <v>6</v>
      </c>
      <c r="J85" s="1">
        <v>0.35416666666666669</v>
      </c>
      <c r="K85" s="1">
        <v>0.89583333333333337</v>
      </c>
      <c r="L85">
        <v>0.11663999999999999</v>
      </c>
      <c r="M85">
        <v>0.41</v>
      </c>
      <c r="N85" s="7">
        <v>20.55</v>
      </c>
      <c r="O85" s="3">
        <f t="shared" si="5"/>
        <v>709.65089999999998</v>
      </c>
      <c r="P85" s="18"/>
      <c r="Q85" s="18"/>
      <c r="R85" s="18"/>
      <c r="S85" s="18"/>
      <c r="T85" s="18"/>
      <c r="U85" s="18"/>
      <c r="V85" s="18"/>
      <c r="W85" s="18"/>
    </row>
    <row r="86" spans="1:23" x14ac:dyDescent="0.2">
      <c r="A86">
        <f t="shared" si="3"/>
        <v>85</v>
      </c>
      <c r="B86" s="13">
        <v>43831</v>
      </c>
      <c r="C86" s="7"/>
      <c r="D86" s="28" t="s">
        <v>9</v>
      </c>
      <c r="E86" s="7" t="s">
        <v>104</v>
      </c>
      <c r="F86" s="7">
        <v>500</v>
      </c>
      <c r="G86" s="7" t="s">
        <v>22</v>
      </c>
      <c r="H86" s="8" t="s">
        <v>85</v>
      </c>
      <c r="I86" s="3" t="s">
        <v>6</v>
      </c>
      <c r="J86" s="1">
        <v>0.89583333333333337</v>
      </c>
      <c r="K86" s="1">
        <v>0.35416666666666669</v>
      </c>
      <c r="L86">
        <v>9.9419999999999994E-2</v>
      </c>
      <c r="M86" s="26">
        <v>0</v>
      </c>
      <c r="N86" s="7">
        <v>20.55</v>
      </c>
      <c r="O86" s="3">
        <f t="shared" si="5"/>
        <v>709.65089999999998</v>
      </c>
      <c r="P86" s="18"/>
      <c r="Q86" s="18"/>
      <c r="R86" s="18"/>
      <c r="S86" s="18"/>
      <c r="T86" s="18"/>
      <c r="U86" s="18"/>
      <c r="V86" s="18"/>
      <c r="W86" s="18"/>
    </row>
    <row r="87" spans="1:23" x14ac:dyDescent="0.2">
      <c r="A87">
        <f t="shared" si="3"/>
        <v>86</v>
      </c>
      <c r="B87" s="13">
        <v>43831</v>
      </c>
      <c r="C87" s="7"/>
      <c r="D87" s="28" t="s">
        <v>9</v>
      </c>
      <c r="E87" s="7" t="s">
        <v>104</v>
      </c>
      <c r="F87" s="7">
        <v>500</v>
      </c>
      <c r="G87" s="7" t="s">
        <v>22</v>
      </c>
      <c r="H87" s="8" t="s">
        <v>85</v>
      </c>
      <c r="I87" s="3" t="s">
        <v>7</v>
      </c>
      <c r="J87" s="1">
        <v>0</v>
      </c>
      <c r="K87" s="1">
        <v>0</v>
      </c>
      <c r="L87">
        <v>9.9419999999999994E-2</v>
      </c>
      <c r="M87" s="26">
        <v>0</v>
      </c>
      <c r="N87" s="7">
        <v>20.55</v>
      </c>
      <c r="O87" s="3">
        <f t="shared" si="5"/>
        <v>709.65089999999998</v>
      </c>
      <c r="P87" s="18"/>
      <c r="Q87" s="18"/>
      <c r="R87" s="18"/>
      <c r="S87" s="18"/>
      <c r="T87" s="18"/>
      <c r="U87" s="18"/>
      <c r="V87" s="18"/>
      <c r="W87" s="18"/>
    </row>
    <row r="88" spans="1:23" x14ac:dyDescent="0.2">
      <c r="A88">
        <f t="shared" si="3"/>
        <v>87</v>
      </c>
      <c r="B88" s="13">
        <v>43831</v>
      </c>
      <c r="C88" s="7"/>
      <c r="D88" s="28" t="s">
        <v>9</v>
      </c>
      <c r="E88" s="7" t="s">
        <v>105</v>
      </c>
      <c r="F88" s="7">
        <v>1000</v>
      </c>
      <c r="G88" s="7" t="s">
        <v>20</v>
      </c>
      <c r="H88" s="8" t="s">
        <v>87</v>
      </c>
      <c r="I88" s="3" t="s">
        <v>6</v>
      </c>
      <c r="J88" s="1">
        <v>0.5</v>
      </c>
      <c r="K88" s="1">
        <v>0.75</v>
      </c>
      <c r="L88">
        <v>0.16009999999999999</v>
      </c>
      <c r="M88">
        <v>20.85</v>
      </c>
      <c r="N88" s="7">
        <v>20.69</v>
      </c>
      <c r="O88" s="3">
        <f>42.71047*30</f>
        <v>1281.3141000000001</v>
      </c>
      <c r="P88" s="18"/>
      <c r="Q88" s="18"/>
      <c r="R88" s="18"/>
      <c r="S88" s="18"/>
      <c r="T88" s="18"/>
      <c r="U88" s="18"/>
      <c r="V88" s="18"/>
      <c r="W88" s="18"/>
    </row>
    <row r="89" spans="1:23" x14ac:dyDescent="0.2">
      <c r="A89">
        <f t="shared" si="3"/>
        <v>88</v>
      </c>
      <c r="B89" s="13">
        <v>43831</v>
      </c>
      <c r="C89" s="7"/>
      <c r="D89" s="28" t="s">
        <v>9</v>
      </c>
      <c r="E89" s="7" t="s">
        <v>105</v>
      </c>
      <c r="F89" s="7">
        <v>1000</v>
      </c>
      <c r="G89" s="7" t="s">
        <v>20</v>
      </c>
      <c r="H89" s="8" t="s">
        <v>88</v>
      </c>
      <c r="I89" s="3" t="s">
        <v>6</v>
      </c>
      <c r="J89" s="1">
        <v>0.35416666666666669</v>
      </c>
      <c r="K89" s="1">
        <v>0.5</v>
      </c>
      <c r="L89">
        <v>0.11667</v>
      </c>
      <c r="M89">
        <v>5.76</v>
      </c>
      <c r="N89" s="7">
        <v>20.69</v>
      </c>
      <c r="O89" s="3">
        <f t="shared" ref="O89:O95" si="6">42.71047*30</f>
        <v>1281.3141000000001</v>
      </c>
      <c r="P89" s="18"/>
      <c r="Q89" s="18"/>
      <c r="R89" s="18"/>
      <c r="S89" s="18"/>
      <c r="T89" s="18"/>
      <c r="U89" s="18"/>
      <c r="V89" s="18"/>
      <c r="W89" s="18"/>
    </row>
    <row r="90" spans="1:23" x14ac:dyDescent="0.2">
      <c r="A90">
        <f t="shared" si="3"/>
        <v>89</v>
      </c>
      <c r="B90" s="13">
        <v>43831</v>
      </c>
      <c r="C90" s="7"/>
      <c r="D90" s="28" t="s">
        <v>9</v>
      </c>
      <c r="E90" s="7" t="s">
        <v>105</v>
      </c>
      <c r="F90" s="7">
        <v>1000</v>
      </c>
      <c r="G90" s="7" t="s">
        <v>20</v>
      </c>
      <c r="H90" s="8" t="s">
        <v>88</v>
      </c>
      <c r="I90" s="3" t="s">
        <v>6</v>
      </c>
      <c r="J90" s="1">
        <v>0.75</v>
      </c>
      <c r="K90" s="1">
        <v>0.89583333333333337</v>
      </c>
      <c r="L90">
        <v>0.11667</v>
      </c>
      <c r="M90">
        <v>5.76</v>
      </c>
      <c r="N90" s="7">
        <v>20.69</v>
      </c>
      <c r="O90" s="3">
        <f t="shared" si="6"/>
        <v>1281.3141000000001</v>
      </c>
      <c r="P90" s="18"/>
      <c r="Q90" s="18"/>
      <c r="R90" s="18"/>
      <c r="S90" s="18"/>
      <c r="T90" s="18"/>
      <c r="U90" s="18"/>
      <c r="V90" s="18"/>
      <c r="W90" s="18"/>
    </row>
    <row r="91" spans="1:23" x14ac:dyDescent="0.2">
      <c r="A91">
        <f t="shared" si="3"/>
        <v>90</v>
      </c>
      <c r="B91" s="13">
        <v>43831</v>
      </c>
      <c r="C91" s="7"/>
      <c r="D91" s="28" t="s">
        <v>9</v>
      </c>
      <c r="E91" s="7" t="s">
        <v>105</v>
      </c>
      <c r="F91" s="7">
        <v>1000</v>
      </c>
      <c r="G91" s="7" t="s">
        <v>20</v>
      </c>
      <c r="H91" s="8" t="s">
        <v>85</v>
      </c>
      <c r="I91" s="3" t="s">
        <v>6</v>
      </c>
      <c r="J91" s="1">
        <v>0.89583333333333337</v>
      </c>
      <c r="K91" s="1">
        <v>0.35416666666666669</v>
      </c>
      <c r="L91">
        <v>8.6840000000000001E-2</v>
      </c>
      <c r="M91" s="26">
        <v>0</v>
      </c>
      <c r="N91" s="7">
        <v>20.69</v>
      </c>
      <c r="O91" s="3">
        <f t="shared" si="6"/>
        <v>1281.3141000000001</v>
      </c>
      <c r="P91" s="18"/>
      <c r="Q91" s="18"/>
      <c r="R91" s="18"/>
      <c r="S91" s="18"/>
      <c r="T91" s="18"/>
      <c r="U91" s="18"/>
      <c r="V91" s="18"/>
      <c r="W91" s="18"/>
    </row>
    <row r="92" spans="1:23" x14ac:dyDescent="0.2">
      <c r="A92">
        <f t="shared" si="3"/>
        <v>91</v>
      </c>
      <c r="B92" s="13">
        <v>43831</v>
      </c>
      <c r="C92" s="7"/>
      <c r="D92" s="28" t="s">
        <v>9</v>
      </c>
      <c r="E92" s="7" t="s">
        <v>105</v>
      </c>
      <c r="F92" s="7">
        <v>1000</v>
      </c>
      <c r="G92" s="7" t="s">
        <v>20</v>
      </c>
      <c r="H92" s="8" t="s">
        <v>85</v>
      </c>
      <c r="I92" s="3" t="s">
        <v>7</v>
      </c>
      <c r="J92" s="1">
        <v>0</v>
      </c>
      <c r="K92" s="1">
        <v>0</v>
      </c>
      <c r="L92">
        <v>8.6840000000000001E-2</v>
      </c>
      <c r="M92" s="26">
        <v>0</v>
      </c>
      <c r="N92" s="7">
        <v>20.69</v>
      </c>
      <c r="O92" s="3">
        <f t="shared" si="6"/>
        <v>1281.3141000000001</v>
      </c>
      <c r="P92" s="18"/>
      <c r="Q92" s="18"/>
      <c r="R92" s="18"/>
      <c r="S92" s="18"/>
      <c r="T92" s="18"/>
      <c r="U92" s="18"/>
      <c r="V92" s="18"/>
      <c r="W92" s="18"/>
    </row>
    <row r="93" spans="1:23" x14ac:dyDescent="0.2">
      <c r="A93">
        <f t="shared" si="3"/>
        <v>92</v>
      </c>
      <c r="B93" s="13">
        <v>43831</v>
      </c>
      <c r="C93" s="7"/>
      <c r="D93" s="28" t="s">
        <v>9</v>
      </c>
      <c r="E93" s="7" t="s">
        <v>105</v>
      </c>
      <c r="F93" s="7">
        <v>1000</v>
      </c>
      <c r="G93" s="7" t="s">
        <v>22</v>
      </c>
      <c r="H93" s="8" t="s">
        <v>88</v>
      </c>
      <c r="I93" s="3" t="s">
        <v>6</v>
      </c>
      <c r="J93" s="1">
        <v>0.35416666666666669</v>
      </c>
      <c r="K93" s="1">
        <v>0.89583333333333337</v>
      </c>
      <c r="L93">
        <v>0.11035</v>
      </c>
      <c r="M93">
        <v>0.06</v>
      </c>
      <c r="N93" s="7">
        <v>20.69</v>
      </c>
      <c r="O93" s="3">
        <f t="shared" si="6"/>
        <v>1281.3141000000001</v>
      </c>
      <c r="P93" s="18"/>
      <c r="Q93" s="18"/>
      <c r="R93" s="18"/>
      <c r="S93" s="18"/>
      <c r="T93" s="18"/>
      <c r="U93" s="18"/>
      <c r="V93" s="18"/>
      <c r="W93" s="18"/>
    </row>
    <row r="94" spans="1:23" x14ac:dyDescent="0.2">
      <c r="A94">
        <f t="shared" si="3"/>
        <v>93</v>
      </c>
      <c r="B94" s="13">
        <v>43831</v>
      </c>
      <c r="C94" s="7"/>
      <c r="D94" s="28" t="s">
        <v>9</v>
      </c>
      <c r="E94" s="7" t="s">
        <v>105</v>
      </c>
      <c r="F94" s="7">
        <v>1000</v>
      </c>
      <c r="G94" s="7" t="s">
        <v>22</v>
      </c>
      <c r="H94" s="8" t="s">
        <v>85</v>
      </c>
      <c r="I94" s="3" t="s">
        <v>6</v>
      </c>
      <c r="J94" s="1">
        <v>0.89583333333333337</v>
      </c>
      <c r="K94" s="1">
        <v>0.35416666666666669</v>
      </c>
      <c r="L94">
        <v>9.4200000000000006E-2</v>
      </c>
      <c r="M94" s="26">
        <v>0</v>
      </c>
      <c r="N94" s="7">
        <v>20.69</v>
      </c>
      <c r="O94" s="3">
        <f t="shared" si="6"/>
        <v>1281.3141000000001</v>
      </c>
      <c r="P94" s="18"/>
      <c r="Q94" s="18"/>
      <c r="R94" s="18"/>
      <c r="S94" s="18"/>
      <c r="T94" s="18"/>
      <c r="U94" s="18"/>
      <c r="V94" s="18"/>
      <c r="W94" s="18"/>
    </row>
    <row r="95" spans="1:23" x14ac:dyDescent="0.2">
      <c r="A95">
        <f t="shared" si="3"/>
        <v>94</v>
      </c>
      <c r="B95" s="13">
        <v>43831</v>
      </c>
      <c r="C95" s="7"/>
      <c r="D95" s="28" t="s">
        <v>9</v>
      </c>
      <c r="E95" s="7" t="s">
        <v>105</v>
      </c>
      <c r="F95" s="7">
        <v>1000</v>
      </c>
      <c r="G95" s="7" t="s">
        <v>22</v>
      </c>
      <c r="H95" s="8" t="s">
        <v>85</v>
      </c>
      <c r="I95" s="3" t="s">
        <v>7</v>
      </c>
      <c r="J95" s="1">
        <v>0</v>
      </c>
      <c r="K95" s="1">
        <v>0</v>
      </c>
      <c r="L95">
        <v>9.4200000000000006E-2</v>
      </c>
      <c r="M95" s="26">
        <v>0</v>
      </c>
      <c r="N95" s="7">
        <v>20.69</v>
      </c>
      <c r="O95" s="3">
        <f t="shared" si="6"/>
        <v>1281.3141000000001</v>
      </c>
      <c r="P95" s="18"/>
      <c r="Q95" s="18"/>
      <c r="R95" s="18"/>
      <c r="S95" s="18"/>
      <c r="T95" s="18"/>
      <c r="U95" s="18"/>
      <c r="V95" s="18"/>
      <c r="W95" s="18"/>
    </row>
    <row r="96" spans="1:23" x14ac:dyDescent="0.2">
      <c r="A96">
        <f t="shared" si="3"/>
        <v>95</v>
      </c>
      <c r="B96" s="13">
        <v>42692</v>
      </c>
      <c r="C96" s="7"/>
      <c r="D96" s="28" t="s">
        <v>9</v>
      </c>
      <c r="E96" s="7" t="s">
        <v>19</v>
      </c>
      <c r="F96" s="7"/>
      <c r="G96" s="7" t="s">
        <v>20</v>
      </c>
      <c r="H96" s="8" t="s">
        <v>87</v>
      </c>
      <c r="I96" s="3" t="s">
        <v>6</v>
      </c>
      <c r="J96" s="1">
        <v>0.5</v>
      </c>
      <c r="K96" s="1">
        <v>0.75</v>
      </c>
      <c r="L96">
        <v>0.22020999999999999</v>
      </c>
      <c r="M96">
        <v>19.25</v>
      </c>
      <c r="O96" s="3">
        <v>4.5995900000000001</v>
      </c>
      <c r="P96" s="18"/>
      <c r="Q96" s="18"/>
      <c r="R96" s="18"/>
      <c r="S96" s="18"/>
      <c r="T96" s="18"/>
      <c r="U96" s="18"/>
      <c r="V96" s="18"/>
      <c r="W96" s="18"/>
    </row>
    <row r="97" spans="1:24" x14ac:dyDescent="0.2">
      <c r="A97">
        <f t="shared" si="3"/>
        <v>96</v>
      </c>
      <c r="B97" s="13">
        <v>42692</v>
      </c>
      <c r="C97" s="7"/>
      <c r="D97" s="28" t="s">
        <v>9</v>
      </c>
      <c r="E97" s="7" t="s">
        <v>19</v>
      </c>
      <c r="F97" s="7"/>
      <c r="G97" s="7" t="s">
        <v>20</v>
      </c>
      <c r="H97" s="8" t="s">
        <v>88</v>
      </c>
      <c r="I97" s="3" t="s">
        <v>6</v>
      </c>
      <c r="J97" s="1">
        <v>0.35416666666666669</v>
      </c>
      <c r="K97" s="1">
        <v>0.5</v>
      </c>
      <c r="L97">
        <v>0.16965</v>
      </c>
      <c r="M97">
        <v>19.25</v>
      </c>
      <c r="O97" s="3">
        <v>4.5995900000000001</v>
      </c>
      <c r="P97" s="18"/>
      <c r="Q97" s="18"/>
      <c r="R97" s="18"/>
      <c r="S97" s="18"/>
      <c r="T97" s="18"/>
      <c r="U97" s="18"/>
      <c r="V97" s="18"/>
      <c r="W97" s="18"/>
    </row>
    <row r="98" spans="1:24" x14ac:dyDescent="0.2">
      <c r="A98">
        <f t="shared" si="3"/>
        <v>97</v>
      </c>
      <c r="B98" s="13">
        <v>42692</v>
      </c>
      <c r="C98" s="7"/>
      <c r="D98" s="28" t="s">
        <v>9</v>
      </c>
      <c r="E98" s="7" t="s">
        <v>19</v>
      </c>
      <c r="F98" s="7"/>
      <c r="G98" s="7" t="s">
        <v>20</v>
      </c>
      <c r="H98" s="8" t="s">
        <v>88</v>
      </c>
      <c r="I98" s="3" t="s">
        <v>6</v>
      </c>
      <c r="J98" s="1">
        <v>0.75</v>
      </c>
      <c r="K98" s="1">
        <v>0.89583333333333337</v>
      </c>
      <c r="L98">
        <v>0.16965</v>
      </c>
      <c r="M98">
        <v>19.25</v>
      </c>
      <c r="O98" s="3">
        <v>4.5995900000000001</v>
      </c>
      <c r="P98" s="18"/>
      <c r="Q98" s="18"/>
      <c r="R98" s="18"/>
      <c r="S98" s="18"/>
      <c r="T98" s="18"/>
      <c r="U98" s="18"/>
      <c r="V98" s="18"/>
      <c r="W98" s="18"/>
    </row>
    <row r="99" spans="1:24" x14ac:dyDescent="0.2">
      <c r="A99">
        <f t="shared" si="3"/>
        <v>98</v>
      </c>
      <c r="B99" s="13">
        <v>42692</v>
      </c>
      <c r="C99" s="7"/>
      <c r="D99" s="28" t="s">
        <v>9</v>
      </c>
      <c r="E99" s="7" t="s">
        <v>19</v>
      </c>
      <c r="F99" s="7"/>
      <c r="G99" s="7" t="s">
        <v>20</v>
      </c>
      <c r="H99" s="8" t="s">
        <v>85</v>
      </c>
      <c r="I99" s="3" t="s">
        <v>6</v>
      </c>
      <c r="J99" s="1">
        <v>0.89583333333333337</v>
      </c>
      <c r="K99" s="1">
        <v>0.35416666666666669</v>
      </c>
      <c r="L99">
        <v>0.14302999999999999</v>
      </c>
      <c r="M99">
        <v>19.25</v>
      </c>
      <c r="O99" s="3">
        <v>4.5995900000000001</v>
      </c>
      <c r="P99" s="18"/>
      <c r="Q99" s="18"/>
      <c r="R99" s="18"/>
      <c r="S99" s="18"/>
      <c r="T99" s="18"/>
      <c r="U99" s="18"/>
      <c r="V99" s="18"/>
      <c r="W99" s="18"/>
    </row>
    <row r="100" spans="1:24" x14ac:dyDescent="0.2">
      <c r="A100">
        <f t="shared" si="3"/>
        <v>99</v>
      </c>
      <c r="B100" s="13">
        <v>42692</v>
      </c>
      <c r="C100" s="7"/>
      <c r="D100" s="28" t="s">
        <v>9</v>
      </c>
      <c r="E100" s="7" t="s">
        <v>19</v>
      </c>
      <c r="F100" s="7"/>
      <c r="G100" s="7" t="s">
        <v>20</v>
      </c>
      <c r="H100" s="8" t="s">
        <v>85</v>
      </c>
      <c r="I100" s="3" t="s">
        <v>7</v>
      </c>
      <c r="J100" s="1">
        <v>0</v>
      </c>
      <c r="K100" s="1">
        <v>0</v>
      </c>
      <c r="L100">
        <v>0.14302999999999999</v>
      </c>
      <c r="M100">
        <v>19.25</v>
      </c>
      <c r="O100" s="3">
        <v>4.5995900000000001</v>
      </c>
      <c r="P100" s="18"/>
      <c r="Q100" s="18"/>
      <c r="R100" s="18"/>
      <c r="S100" s="18"/>
      <c r="T100" s="18"/>
      <c r="U100" s="18"/>
      <c r="V100" s="18"/>
      <c r="W100" s="18"/>
    </row>
    <row r="101" spans="1:24" x14ac:dyDescent="0.2">
      <c r="A101">
        <f t="shared" si="3"/>
        <v>100</v>
      </c>
      <c r="B101" s="13">
        <v>42692</v>
      </c>
      <c r="C101" s="7"/>
      <c r="D101" s="28" t="s">
        <v>9</v>
      </c>
      <c r="E101" s="7" t="s">
        <v>19</v>
      </c>
      <c r="F101" s="7"/>
      <c r="G101" s="7" t="s">
        <v>22</v>
      </c>
      <c r="H101" s="8" t="s">
        <v>88</v>
      </c>
      <c r="I101" s="3" t="s">
        <v>6</v>
      </c>
      <c r="J101" s="1">
        <v>0.35416666666666669</v>
      </c>
      <c r="K101" s="1">
        <v>0.89583333333333337</v>
      </c>
      <c r="L101">
        <v>0.14591999999999999</v>
      </c>
      <c r="M101">
        <v>12.17</v>
      </c>
      <c r="O101" s="3">
        <v>4.5995900000000001</v>
      </c>
      <c r="P101" s="18"/>
      <c r="Q101" s="18"/>
      <c r="R101" s="18"/>
      <c r="S101" s="18"/>
      <c r="T101" s="18"/>
      <c r="U101" s="18"/>
      <c r="V101" s="18"/>
      <c r="W101" s="18"/>
    </row>
    <row r="102" spans="1:24" x14ac:dyDescent="0.2">
      <c r="A102">
        <f t="shared" si="3"/>
        <v>101</v>
      </c>
      <c r="B102" s="13">
        <v>42692</v>
      </c>
      <c r="C102" s="7"/>
      <c r="D102" s="28" t="s">
        <v>9</v>
      </c>
      <c r="E102" s="7" t="s">
        <v>19</v>
      </c>
      <c r="F102" s="7"/>
      <c r="G102" s="7" t="s">
        <v>22</v>
      </c>
      <c r="H102" s="8" t="s">
        <v>85</v>
      </c>
      <c r="I102" s="3" t="s">
        <v>6</v>
      </c>
      <c r="J102" s="1">
        <v>0.89583333333333337</v>
      </c>
      <c r="K102" s="1">
        <v>0.35416666666666669</v>
      </c>
      <c r="L102">
        <v>0.13003999999999999</v>
      </c>
      <c r="M102">
        <v>12.17</v>
      </c>
      <c r="O102" s="3">
        <v>4.5995900000000001</v>
      </c>
      <c r="P102" s="18"/>
      <c r="Q102" s="18"/>
      <c r="R102" s="18"/>
      <c r="S102" s="18"/>
      <c r="T102" s="18"/>
      <c r="U102" s="18"/>
      <c r="V102" s="18"/>
      <c r="W102" s="18"/>
    </row>
    <row r="103" spans="1:24" x14ac:dyDescent="0.2">
      <c r="A103">
        <f t="shared" si="3"/>
        <v>102</v>
      </c>
      <c r="B103" s="13">
        <v>42692</v>
      </c>
      <c r="C103" s="7"/>
      <c r="D103" s="28" t="s">
        <v>9</v>
      </c>
      <c r="E103" s="7" t="s">
        <v>19</v>
      </c>
      <c r="F103" s="7"/>
      <c r="G103" s="7" t="s">
        <v>22</v>
      </c>
      <c r="H103" s="8" t="s">
        <v>85</v>
      </c>
      <c r="I103" s="3" t="s">
        <v>7</v>
      </c>
      <c r="J103" s="1">
        <v>0</v>
      </c>
      <c r="K103" s="1">
        <v>0</v>
      </c>
      <c r="L103">
        <v>0.13003999999999999</v>
      </c>
      <c r="M103">
        <v>12.17</v>
      </c>
      <c r="O103" s="3">
        <v>4.5995900000000001</v>
      </c>
      <c r="P103" s="18"/>
      <c r="Q103" s="18"/>
      <c r="R103" s="18"/>
      <c r="S103" s="18"/>
      <c r="T103" s="18"/>
      <c r="U103" s="18"/>
      <c r="V103" s="18"/>
      <c r="W103" s="18"/>
    </row>
    <row r="104" spans="1:24" x14ac:dyDescent="0.2">
      <c r="A104">
        <f t="shared" si="3"/>
        <v>103</v>
      </c>
      <c r="B104" s="13">
        <v>42692</v>
      </c>
      <c r="C104" s="7"/>
      <c r="D104" s="28" t="s">
        <v>9</v>
      </c>
      <c r="E104" s="7" t="s">
        <v>21</v>
      </c>
      <c r="F104" s="7"/>
      <c r="G104" s="7" t="s">
        <v>20</v>
      </c>
      <c r="H104" s="10" t="s">
        <v>31</v>
      </c>
      <c r="I104" s="8" t="s">
        <v>11</v>
      </c>
      <c r="J104" s="1">
        <v>0</v>
      </c>
      <c r="K104" s="1">
        <v>0</v>
      </c>
      <c r="L104">
        <v>0.18049999999999999</v>
      </c>
      <c r="M104">
        <v>20.46</v>
      </c>
      <c r="O104" s="3">
        <v>4.5995900000000001</v>
      </c>
      <c r="P104" s="18"/>
      <c r="Q104" s="18"/>
      <c r="R104" s="18"/>
      <c r="S104" s="18"/>
      <c r="T104" s="18"/>
      <c r="U104" s="18"/>
      <c r="V104" s="18"/>
      <c r="W104" s="18"/>
    </row>
    <row r="105" spans="1:24" x14ac:dyDescent="0.2">
      <c r="A105">
        <f t="shared" si="3"/>
        <v>104</v>
      </c>
      <c r="B105" s="13">
        <v>42692</v>
      </c>
      <c r="C105" s="7"/>
      <c r="D105" s="28" t="s">
        <v>9</v>
      </c>
      <c r="E105" s="7" t="s">
        <v>21</v>
      </c>
      <c r="F105" s="7"/>
      <c r="G105" s="7" t="s">
        <v>22</v>
      </c>
      <c r="H105" s="10" t="s">
        <v>31</v>
      </c>
      <c r="I105" s="8" t="s">
        <v>11</v>
      </c>
      <c r="J105" s="1">
        <v>0</v>
      </c>
      <c r="K105" s="1">
        <v>0</v>
      </c>
      <c r="L105">
        <v>0.16875999999999999</v>
      </c>
      <c r="M105">
        <v>19.25</v>
      </c>
      <c r="O105" s="3">
        <v>4.5995900000000001</v>
      </c>
      <c r="P105" s="18"/>
      <c r="Q105" s="18"/>
      <c r="R105" s="18"/>
      <c r="S105" s="18"/>
      <c r="T105" s="18"/>
      <c r="U105" s="18"/>
      <c r="V105" s="18"/>
      <c r="W105" s="18"/>
    </row>
    <row r="106" spans="1:24" x14ac:dyDescent="0.2">
      <c r="A106">
        <f t="shared" si="3"/>
        <v>105</v>
      </c>
      <c r="B106" s="13">
        <v>43831</v>
      </c>
      <c r="C106" s="7"/>
      <c r="D106" t="s">
        <v>115</v>
      </c>
      <c r="E106" s="7" t="s">
        <v>21</v>
      </c>
      <c r="F106" s="7"/>
      <c r="G106" s="7" t="s">
        <v>20</v>
      </c>
      <c r="H106" s="10" t="s">
        <v>31</v>
      </c>
      <c r="I106" s="8" t="s">
        <v>11</v>
      </c>
      <c r="J106" s="1">
        <v>0</v>
      </c>
      <c r="K106" s="1">
        <v>0</v>
      </c>
      <c r="L106">
        <f>0.18115-0.12265+0.0893+0.0281</f>
        <v>0.1759</v>
      </c>
      <c r="M106">
        <f>21.63-5.74+5.53</f>
        <v>21.419999999999998</v>
      </c>
      <c r="O106" s="3">
        <v>4.5995900000000001</v>
      </c>
      <c r="P106" s="18"/>
      <c r="Q106" s="18"/>
      <c r="R106" s="18"/>
      <c r="S106" s="18"/>
      <c r="T106" s="18"/>
      <c r="U106" s="18"/>
      <c r="V106" s="18"/>
      <c r="W106" s="18"/>
      <c r="X106" t="s">
        <v>101</v>
      </c>
    </row>
    <row r="107" spans="1:24" x14ac:dyDescent="0.2">
      <c r="A107">
        <f t="shared" si="3"/>
        <v>106</v>
      </c>
      <c r="B107" s="13">
        <v>43831</v>
      </c>
      <c r="C107" s="7"/>
      <c r="D107" t="s">
        <v>115</v>
      </c>
      <c r="E107" s="7" t="s">
        <v>21</v>
      </c>
      <c r="F107" s="7"/>
      <c r="G107" s="7" t="s">
        <v>22</v>
      </c>
      <c r="H107" s="10" t="s">
        <v>31</v>
      </c>
      <c r="I107" s="8" t="s">
        <v>11</v>
      </c>
      <c r="J107" s="1">
        <v>0</v>
      </c>
      <c r="K107" s="1">
        <v>0</v>
      </c>
      <c r="L107">
        <f>0.14039-0.11299+0.06295+0.0281</f>
        <v>0.11845</v>
      </c>
      <c r="M107">
        <f>13.11</f>
        <v>13.11</v>
      </c>
      <c r="O107" s="3">
        <v>4.5995900000000001</v>
      </c>
      <c r="P107" s="18"/>
      <c r="Q107" s="18"/>
      <c r="R107" s="18"/>
      <c r="S107" s="18"/>
      <c r="T107" s="18"/>
      <c r="U107" s="18"/>
      <c r="V107" s="18"/>
      <c r="W107" s="18"/>
      <c r="X107" t="s">
        <v>102</v>
      </c>
    </row>
    <row r="108" spans="1:24" x14ac:dyDescent="0.2">
      <c r="A108">
        <f t="shared" si="3"/>
        <v>107</v>
      </c>
      <c r="B108" s="13">
        <v>42692</v>
      </c>
      <c r="C108" s="7"/>
      <c r="D108" s="28" t="s">
        <v>9</v>
      </c>
      <c r="E108" s="7" t="s">
        <v>23</v>
      </c>
      <c r="F108" s="7"/>
      <c r="G108" s="7" t="s">
        <v>20</v>
      </c>
      <c r="H108" s="10" t="s">
        <v>31</v>
      </c>
      <c r="I108" s="8" t="s">
        <v>11</v>
      </c>
      <c r="J108" s="1">
        <v>0</v>
      </c>
      <c r="K108" s="1">
        <v>0</v>
      </c>
      <c r="L108">
        <v>0.13974</v>
      </c>
      <c r="M108">
        <v>11.94</v>
      </c>
      <c r="O108" s="3">
        <v>4.5995900000000001</v>
      </c>
      <c r="P108" s="18"/>
      <c r="Q108" s="18"/>
      <c r="R108" s="18"/>
      <c r="S108" s="18"/>
      <c r="T108" s="18"/>
      <c r="U108" s="18"/>
      <c r="V108" s="18"/>
      <c r="W108" s="18"/>
    </row>
    <row r="109" spans="1:24" x14ac:dyDescent="0.2">
      <c r="A109">
        <f t="shared" si="3"/>
        <v>108</v>
      </c>
      <c r="B109" s="13">
        <v>42692</v>
      </c>
      <c r="C109" s="7"/>
      <c r="D109" s="28" t="s">
        <v>9</v>
      </c>
      <c r="E109" s="7" t="s">
        <v>23</v>
      </c>
      <c r="F109" s="7"/>
      <c r="G109" s="7" t="s">
        <v>22</v>
      </c>
      <c r="H109" s="10" t="s">
        <v>31</v>
      </c>
      <c r="I109" s="8" t="s">
        <v>11</v>
      </c>
      <c r="J109" s="1">
        <v>0</v>
      </c>
      <c r="K109" s="1">
        <v>0</v>
      </c>
      <c r="L109">
        <v>0.13497999999999999</v>
      </c>
      <c r="M109">
        <v>12.17</v>
      </c>
      <c r="O109" s="3">
        <v>4.5995900000000001</v>
      </c>
      <c r="P109" s="18"/>
      <c r="Q109" s="18"/>
      <c r="R109" s="18"/>
      <c r="S109" s="18"/>
      <c r="T109" s="18"/>
      <c r="U109" s="18"/>
      <c r="V109" s="18"/>
      <c r="W109" s="18"/>
    </row>
    <row r="110" spans="1:24" x14ac:dyDescent="0.2">
      <c r="A110">
        <f t="shared" si="3"/>
        <v>109</v>
      </c>
      <c r="B110" s="13">
        <v>43770</v>
      </c>
      <c r="C110" s="7"/>
      <c r="D110" s="7" t="s">
        <v>24</v>
      </c>
      <c r="E110" s="7" t="s">
        <v>25</v>
      </c>
      <c r="F110" s="7"/>
      <c r="G110" s="7" t="s">
        <v>22</v>
      </c>
      <c r="H110" s="8" t="s">
        <v>83</v>
      </c>
      <c r="I110" s="8" t="s">
        <v>6</v>
      </c>
      <c r="J110" s="1">
        <v>0.29166666666666669</v>
      </c>
      <c r="K110" s="1">
        <v>0.45833333333333331</v>
      </c>
      <c r="L110">
        <v>0.24024999999999996</v>
      </c>
      <c r="M110">
        <v>0</v>
      </c>
      <c r="O110" s="3">
        <v>25.65</v>
      </c>
      <c r="P110" s="18"/>
      <c r="Q110" s="18"/>
      <c r="R110" s="18"/>
      <c r="S110" s="18"/>
      <c r="T110" s="18"/>
      <c r="U110" s="18"/>
      <c r="V110" s="18"/>
      <c r="W110" s="18"/>
    </row>
    <row r="111" spans="1:24" x14ac:dyDescent="0.2">
      <c r="A111">
        <f t="shared" si="3"/>
        <v>110</v>
      </c>
      <c r="B111" s="13">
        <v>43770</v>
      </c>
      <c r="C111" s="7"/>
      <c r="D111" s="7" t="s">
        <v>24</v>
      </c>
      <c r="E111" s="7" t="s">
        <v>25</v>
      </c>
      <c r="F111" s="7"/>
      <c r="G111" s="7" t="s">
        <v>22</v>
      </c>
      <c r="H111" s="8" t="s">
        <v>83</v>
      </c>
      <c r="I111" t="s">
        <v>6</v>
      </c>
      <c r="J111" s="1">
        <v>0.70833333333333337</v>
      </c>
      <c r="K111" s="1">
        <v>0.79166666666666663</v>
      </c>
      <c r="L111">
        <v>0.24024999999999996</v>
      </c>
      <c r="M111">
        <v>0</v>
      </c>
      <c r="O111" s="3">
        <v>25.65</v>
      </c>
      <c r="P111" s="18"/>
      <c r="Q111" s="18"/>
      <c r="R111" s="18"/>
      <c r="S111" s="18"/>
      <c r="T111" s="18"/>
      <c r="U111" s="18"/>
      <c r="V111" s="18"/>
      <c r="W111" s="18"/>
    </row>
    <row r="112" spans="1:24" x14ac:dyDescent="0.2">
      <c r="A112">
        <f t="shared" si="3"/>
        <v>111</v>
      </c>
      <c r="B112" s="13">
        <v>43770</v>
      </c>
      <c r="C112" s="7"/>
      <c r="D112" s="7" t="s">
        <v>24</v>
      </c>
      <c r="E112" s="7" t="s">
        <v>25</v>
      </c>
      <c r="F112" s="7"/>
      <c r="G112" s="7" t="s">
        <v>22</v>
      </c>
      <c r="H112" s="8" t="s">
        <v>84</v>
      </c>
      <c r="I112" s="7" t="s">
        <v>6</v>
      </c>
      <c r="J112" s="1">
        <v>0.45833333333333331</v>
      </c>
      <c r="K112" s="1">
        <v>0.70833333333333337</v>
      </c>
      <c r="L112">
        <v>0.17624999999999996</v>
      </c>
      <c r="M112">
        <v>0</v>
      </c>
      <c r="O112" s="3">
        <v>25.65</v>
      </c>
      <c r="P112" s="18"/>
      <c r="Q112" s="18"/>
      <c r="R112" s="18"/>
      <c r="S112" s="18"/>
      <c r="T112" s="18"/>
      <c r="U112" s="18"/>
      <c r="V112" s="18"/>
      <c r="W112" s="18"/>
    </row>
    <row r="113" spans="1:24" x14ac:dyDescent="0.2">
      <c r="A113">
        <f t="shared" si="3"/>
        <v>112</v>
      </c>
      <c r="B113" s="13">
        <v>43770</v>
      </c>
      <c r="C113" s="7"/>
      <c r="D113" s="7" t="s">
        <v>24</v>
      </c>
      <c r="E113" s="7" t="s">
        <v>25</v>
      </c>
      <c r="F113" s="7"/>
      <c r="G113" s="7" t="s">
        <v>22</v>
      </c>
      <c r="H113" s="8" t="s">
        <v>85</v>
      </c>
      <c r="I113" s="7" t="s">
        <v>6</v>
      </c>
      <c r="J113" s="1">
        <v>0.79166666666666663</v>
      </c>
      <c r="K113" s="1">
        <v>0.29166666666666669</v>
      </c>
      <c r="L113">
        <v>0.13325000000000001</v>
      </c>
      <c r="M113">
        <v>0</v>
      </c>
      <c r="O113" s="3">
        <v>25.65</v>
      </c>
      <c r="P113" s="18"/>
      <c r="Q113" s="18"/>
      <c r="R113" s="18"/>
      <c r="S113" s="18"/>
      <c r="T113" s="18"/>
      <c r="U113" s="18"/>
      <c r="V113" s="18"/>
      <c r="W113" s="18"/>
    </row>
    <row r="114" spans="1:24" x14ac:dyDescent="0.2">
      <c r="A114">
        <f t="shared" si="3"/>
        <v>113</v>
      </c>
      <c r="B114" s="13">
        <v>43770</v>
      </c>
      <c r="C114" s="7"/>
      <c r="D114" s="7" t="s">
        <v>24</v>
      </c>
      <c r="E114" s="7" t="s">
        <v>25</v>
      </c>
      <c r="F114" s="7"/>
      <c r="G114" s="7" t="s">
        <v>22</v>
      </c>
      <c r="H114" s="8" t="s">
        <v>85</v>
      </c>
      <c r="I114" s="7" t="s">
        <v>7</v>
      </c>
      <c r="J114" s="1">
        <v>0</v>
      </c>
      <c r="K114" s="1">
        <v>0</v>
      </c>
      <c r="L114">
        <v>0.13325000000000001</v>
      </c>
      <c r="M114">
        <v>0</v>
      </c>
      <c r="O114" s="3">
        <v>25.65</v>
      </c>
      <c r="P114" s="18"/>
      <c r="Q114" s="18"/>
      <c r="R114" s="18"/>
      <c r="S114" s="18"/>
      <c r="T114" s="18"/>
      <c r="U114" s="18"/>
      <c r="V114" s="18"/>
      <c r="W114" s="18"/>
    </row>
    <row r="115" spans="1:24" x14ac:dyDescent="0.2">
      <c r="A115">
        <f t="shared" si="3"/>
        <v>114</v>
      </c>
      <c r="B115" s="13">
        <v>43745</v>
      </c>
      <c r="C115" s="7"/>
      <c r="D115" s="7" t="s">
        <v>26</v>
      </c>
      <c r="E115" s="7" t="s">
        <v>28</v>
      </c>
      <c r="F115" s="7"/>
      <c r="G115" s="7" t="s">
        <v>20</v>
      </c>
      <c r="H115" s="8" t="s">
        <v>83</v>
      </c>
      <c r="I115" s="7" t="s">
        <v>6</v>
      </c>
      <c r="J115" s="1">
        <v>0.375</v>
      </c>
      <c r="K115" s="1">
        <v>0.875</v>
      </c>
      <c r="L115">
        <v>4.8550000000000003E-2</v>
      </c>
      <c r="M115">
        <v>14.79</v>
      </c>
      <c r="O115" s="3">
        <v>29.64</v>
      </c>
      <c r="P115" s="18"/>
      <c r="Q115" s="18"/>
      <c r="R115" s="18">
        <v>-1.5180000000000001E-2</v>
      </c>
      <c r="S115" s="18"/>
      <c r="T115" s="18"/>
      <c r="U115" s="18"/>
      <c r="V115" s="18"/>
      <c r="W115" s="18"/>
      <c r="X115" s="36" t="s">
        <v>77</v>
      </c>
    </row>
    <row r="116" spans="1:24" x14ac:dyDescent="0.2">
      <c r="A116">
        <f t="shared" si="3"/>
        <v>115</v>
      </c>
      <c r="B116" s="13">
        <v>43745</v>
      </c>
      <c r="C116" s="7"/>
      <c r="D116" s="7" t="s">
        <v>26</v>
      </c>
      <c r="E116" s="7" t="s">
        <v>28</v>
      </c>
      <c r="F116" s="7"/>
      <c r="G116" s="7" t="s">
        <v>20</v>
      </c>
      <c r="H116" s="8" t="s">
        <v>85</v>
      </c>
      <c r="I116" s="7" t="s">
        <v>6</v>
      </c>
      <c r="J116" s="1">
        <v>0.875</v>
      </c>
      <c r="K116" s="1">
        <v>0.375</v>
      </c>
      <c r="L116">
        <v>2.341E-2</v>
      </c>
      <c r="M116" s="9">
        <v>2.35</v>
      </c>
      <c r="N116" s="9"/>
      <c r="O116" s="3">
        <v>29.64</v>
      </c>
      <c r="P116" s="18"/>
      <c r="Q116" s="18"/>
      <c r="R116" s="18">
        <v>-1.5180000000000001E-2</v>
      </c>
      <c r="S116" s="18"/>
      <c r="T116" s="18"/>
      <c r="U116" s="18"/>
      <c r="V116" s="18"/>
      <c r="W116" s="18"/>
      <c r="X116" s="36"/>
    </row>
    <row r="117" spans="1:24" x14ac:dyDescent="0.2">
      <c r="A117">
        <f t="shared" si="3"/>
        <v>116</v>
      </c>
      <c r="B117" s="13">
        <v>43745</v>
      </c>
      <c r="C117" s="7"/>
      <c r="D117" s="7" t="s">
        <v>26</v>
      </c>
      <c r="E117" s="7" t="s">
        <v>28</v>
      </c>
      <c r="F117" s="7"/>
      <c r="G117" s="7" t="s">
        <v>20</v>
      </c>
      <c r="H117" s="8" t="s">
        <v>85</v>
      </c>
      <c r="I117" s="7" t="s">
        <v>7</v>
      </c>
      <c r="J117" s="1">
        <v>0</v>
      </c>
      <c r="K117" s="1">
        <v>0</v>
      </c>
      <c r="L117">
        <v>2.341E-2</v>
      </c>
      <c r="M117" s="9">
        <v>2.35</v>
      </c>
      <c r="N117" s="9"/>
      <c r="O117" s="3">
        <v>29.64</v>
      </c>
      <c r="P117" s="18"/>
      <c r="Q117" s="18"/>
      <c r="R117" s="18">
        <v>-1.5180000000000001E-2</v>
      </c>
      <c r="S117" s="18"/>
      <c r="T117" s="18"/>
      <c r="U117" s="18"/>
      <c r="V117" s="18"/>
      <c r="W117" s="18"/>
      <c r="X117" s="36"/>
    </row>
    <row r="118" spans="1:24" x14ac:dyDescent="0.2">
      <c r="A118">
        <f t="shared" si="3"/>
        <v>117</v>
      </c>
      <c r="B118" s="13">
        <v>43745</v>
      </c>
      <c r="C118" s="7"/>
      <c r="D118" s="7" t="s">
        <v>26</v>
      </c>
      <c r="E118" s="7" t="s">
        <v>28</v>
      </c>
      <c r="F118" s="7"/>
      <c r="G118" s="7" t="s">
        <v>22</v>
      </c>
      <c r="H118" s="8" t="s">
        <v>83</v>
      </c>
      <c r="I118" s="7" t="s">
        <v>6</v>
      </c>
      <c r="J118" s="1">
        <v>0.375</v>
      </c>
      <c r="K118" s="1">
        <v>0.875</v>
      </c>
      <c r="L118">
        <v>4.8550000000000003E-2</v>
      </c>
      <c r="M118">
        <v>10.49</v>
      </c>
      <c r="O118" s="3">
        <v>29.64</v>
      </c>
      <c r="P118" s="18"/>
      <c r="Q118" s="18"/>
      <c r="R118" s="18">
        <v>-1.5180000000000001E-2</v>
      </c>
      <c r="S118" s="18"/>
      <c r="T118" s="18"/>
      <c r="U118" s="18"/>
      <c r="V118" s="18"/>
      <c r="W118" s="18"/>
      <c r="X118" s="36"/>
    </row>
    <row r="119" spans="1:24" x14ac:dyDescent="0.2">
      <c r="A119">
        <f t="shared" si="3"/>
        <v>118</v>
      </c>
      <c r="B119" s="13">
        <v>43745</v>
      </c>
      <c r="C119" s="7"/>
      <c r="D119" s="7" t="s">
        <v>26</v>
      </c>
      <c r="E119" s="7" t="s">
        <v>28</v>
      </c>
      <c r="F119" s="7"/>
      <c r="G119" s="7" t="s">
        <v>22</v>
      </c>
      <c r="H119" s="8" t="s">
        <v>85</v>
      </c>
      <c r="I119" s="7" t="s">
        <v>6</v>
      </c>
      <c r="J119" s="1">
        <v>0.875</v>
      </c>
      <c r="K119" s="1">
        <v>0.375</v>
      </c>
      <c r="L119">
        <v>2.341E-2</v>
      </c>
      <c r="M119" s="9">
        <v>2.35</v>
      </c>
      <c r="N119" s="9"/>
      <c r="O119" s="3">
        <v>29.64</v>
      </c>
      <c r="P119" s="18"/>
      <c r="Q119" s="18"/>
      <c r="R119" s="18">
        <v>-1.5180000000000001E-2</v>
      </c>
      <c r="S119" s="18"/>
      <c r="T119" s="18"/>
      <c r="U119" s="18"/>
      <c r="V119" s="18"/>
      <c r="W119" s="18"/>
      <c r="X119" s="36"/>
    </row>
    <row r="120" spans="1:24" x14ac:dyDescent="0.2">
      <c r="A120">
        <f t="shared" si="3"/>
        <v>119</v>
      </c>
      <c r="B120" s="13">
        <v>43745</v>
      </c>
      <c r="C120" s="7"/>
      <c r="D120" s="7" t="s">
        <v>26</v>
      </c>
      <c r="E120" s="7" t="s">
        <v>28</v>
      </c>
      <c r="F120" s="7"/>
      <c r="G120" s="7" t="s">
        <v>22</v>
      </c>
      <c r="H120" s="8" t="s">
        <v>85</v>
      </c>
      <c r="I120" s="7" t="s">
        <v>7</v>
      </c>
      <c r="J120" s="1">
        <v>0</v>
      </c>
      <c r="K120" s="1">
        <v>0</v>
      </c>
      <c r="L120">
        <v>2.341E-2</v>
      </c>
      <c r="M120" s="9">
        <v>2.35</v>
      </c>
      <c r="N120" s="9"/>
      <c r="O120" s="3">
        <v>29.64</v>
      </c>
      <c r="P120" s="18"/>
      <c r="Q120" s="18"/>
      <c r="R120" s="18">
        <v>-1.5180000000000001E-2</v>
      </c>
      <c r="S120" s="18"/>
      <c r="T120" s="18"/>
      <c r="U120" s="18"/>
      <c r="V120" s="18"/>
      <c r="W120" s="18"/>
      <c r="X120" s="36"/>
    </row>
    <row r="121" spans="1:24" x14ac:dyDescent="0.2">
      <c r="A121">
        <f t="shared" si="3"/>
        <v>120</v>
      </c>
      <c r="B121" s="13">
        <v>43745</v>
      </c>
      <c r="C121" s="7"/>
      <c r="D121" s="7" t="s">
        <v>26</v>
      </c>
      <c r="E121" s="7" t="s">
        <v>29</v>
      </c>
      <c r="F121" s="7"/>
      <c r="G121" s="7" t="s">
        <v>20</v>
      </c>
      <c r="H121" s="8" t="s">
        <v>83</v>
      </c>
      <c r="I121" s="7" t="s">
        <v>6</v>
      </c>
      <c r="J121" s="1">
        <v>0.375</v>
      </c>
      <c r="K121" s="1">
        <v>0.875</v>
      </c>
      <c r="L121">
        <v>4.7500000000000001E-2</v>
      </c>
      <c r="M121">
        <v>13.989999999999998</v>
      </c>
      <c r="O121" s="3">
        <v>29.64</v>
      </c>
      <c r="P121" s="18"/>
      <c r="Q121" s="18"/>
      <c r="R121" s="18">
        <v>-1.5180000000000001E-2</v>
      </c>
      <c r="S121" s="18"/>
      <c r="T121" s="18"/>
      <c r="U121" s="18"/>
      <c r="V121" s="18"/>
      <c r="W121" s="18"/>
      <c r="X121" s="36"/>
    </row>
    <row r="122" spans="1:24" x14ac:dyDescent="0.2">
      <c r="A122">
        <f t="shared" si="3"/>
        <v>121</v>
      </c>
      <c r="B122" s="13">
        <v>43745</v>
      </c>
      <c r="C122" s="7"/>
      <c r="D122" s="7" t="s">
        <v>26</v>
      </c>
      <c r="E122" s="7" t="s">
        <v>29</v>
      </c>
      <c r="F122" s="7"/>
      <c r="G122" s="7" t="s">
        <v>20</v>
      </c>
      <c r="H122" s="8" t="s">
        <v>85</v>
      </c>
      <c r="I122" s="7" t="s">
        <v>6</v>
      </c>
      <c r="J122" s="1">
        <v>0.875</v>
      </c>
      <c r="K122" s="1">
        <v>0.375</v>
      </c>
      <c r="L122">
        <v>2.2360000000000001E-2</v>
      </c>
      <c r="M122" s="9">
        <v>1.55</v>
      </c>
      <c r="N122" s="9"/>
      <c r="O122" s="3">
        <v>29.64</v>
      </c>
      <c r="P122" s="18"/>
      <c r="Q122" s="18"/>
      <c r="R122" s="18">
        <v>-1.5180000000000001E-2</v>
      </c>
      <c r="S122" s="18"/>
      <c r="T122" s="18"/>
      <c r="U122" s="18"/>
      <c r="V122" s="18"/>
      <c r="W122" s="18"/>
      <c r="X122" s="36"/>
    </row>
    <row r="123" spans="1:24" x14ac:dyDescent="0.2">
      <c r="A123">
        <f t="shared" si="3"/>
        <v>122</v>
      </c>
      <c r="B123" s="13">
        <v>43745</v>
      </c>
      <c r="C123" s="7"/>
      <c r="D123" s="7" t="s">
        <v>26</v>
      </c>
      <c r="E123" s="7" t="s">
        <v>29</v>
      </c>
      <c r="F123" s="7"/>
      <c r="G123" s="7" t="s">
        <v>20</v>
      </c>
      <c r="H123" s="8" t="s">
        <v>85</v>
      </c>
      <c r="I123" s="7" t="s">
        <v>7</v>
      </c>
      <c r="J123" s="1">
        <v>0</v>
      </c>
      <c r="K123" s="1">
        <v>0</v>
      </c>
      <c r="L123">
        <v>2.2360000000000001E-2</v>
      </c>
      <c r="M123" s="9">
        <v>1.55</v>
      </c>
      <c r="N123" s="9"/>
      <c r="O123" s="3">
        <v>29.64</v>
      </c>
      <c r="P123" s="18"/>
      <c r="Q123" s="18"/>
      <c r="R123" s="18">
        <v>-1.5180000000000001E-2</v>
      </c>
      <c r="S123" s="18"/>
      <c r="T123" s="18"/>
      <c r="U123" s="18"/>
      <c r="V123" s="18"/>
      <c r="W123" s="18"/>
      <c r="X123" s="36"/>
    </row>
    <row r="124" spans="1:24" x14ac:dyDescent="0.2">
      <c r="A124">
        <f t="shared" si="3"/>
        <v>123</v>
      </c>
      <c r="B124" s="13">
        <v>43745</v>
      </c>
      <c r="C124" s="7"/>
      <c r="D124" s="7" t="s">
        <v>26</v>
      </c>
      <c r="E124" s="7" t="s">
        <v>29</v>
      </c>
      <c r="F124" s="7"/>
      <c r="G124" s="7" t="s">
        <v>22</v>
      </c>
      <c r="H124" s="8" t="s">
        <v>83</v>
      </c>
      <c r="I124" s="7" t="s">
        <v>6</v>
      </c>
      <c r="J124" s="1">
        <v>0.375</v>
      </c>
      <c r="K124" s="1">
        <v>0.875</v>
      </c>
      <c r="L124">
        <v>4.7500000000000001E-2</v>
      </c>
      <c r="M124" s="9">
        <v>10.49</v>
      </c>
      <c r="N124" s="9"/>
      <c r="O124" s="3">
        <v>29.64</v>
      </c>
      <c r="P124" s="18"/>
      <c r="Q124" s="18"/>
      <c r="R124" s="18">
        <v>-1.5180000000000001E-2</v>
      </c>
      <c r="S124" s="18"/>
      <c r="T124" s="18"/>
      <c r="U124" s="18"/>
      <c r="V124" s="18"/>
      <c r="W124" s="18"/>
      <c r="X124" s="36"/>
    </row>
    <row r="125" spans="1:24" x14ac:dyDescent="0.2">
      <c r="A125">
        <f t="shared" si="3"/>
        <v>124</v>
      </c>
      <c r="B125" s="13">
        <v>43745</v>
      </c>
      <c r="C125" s="7"/>
      <c r="D125" s="7" t="s">
        <v>26</v>
      </c>
      <c r="E125" s="7" t="s">
        <v>29</v>
      </c>
      <c r="F125" s="7"/>
      <c r="G125" s="7" t="s">
        <v>22</v>
      </c>
      <c r="H125" s="8" t="s">
        <v>85</v>
      </c>
      <c r="I125" s="7" t="s">
        <v>6</v>
      </c>
      <c r="J125" s="1">
        <v>0.875</v>
      </c>
      <c r="K125" s="1">
        <v>0.375</v>
      </c>
      <c r="L125">
        <v>2.2360000000000001E-2</v>
      </c>
      <c r="M125" s="9">
        <v>1.55</v>
      </c>
      <c r="N125" s="9"/>
      <c r="O125" s="3">
        <v>29.64</v>
      </c>
      <c r="P125" s="18"/>
      <c r="Q125" s="18"/>
      <c r="R125" s="18">
        <v>-1.5180000000000001E-2</v>
      </c>
      <c r="S125" s="18"/>
      <c r="T125" s="18"/>
      <c r="U125" s="18"/>
      <c r="V125" s="18"/>
      <c r="W125" s="18"/>
      <c r="X125" s="36"/>
    </row>
    <row r="126" spans="1:24" x14ac:dyDescent="0.2">
      <c r="A126">
        <f t="shared" si="3"/>
        <v>125</v>
      </c>
      <c r="B126" s="13">
        <v>43745</v>
      </c>
      <c r="C126" s="7"/>
      <c r="D126" s="7" t="s">
        <v>26</v>
      </c>
      <c r="E126" s="7" t="s">
        <v>29</v>
      </c>
      <c r="F126" s="7"/>
      <c r="G126" s="7" t="s">
        <v>22</v>
      </c>
      <c r="H126" s="8" t="s">
        <v>85</v>
      </c>
      <c r="I126" s="7" t="s">
        <v>7</v>
      </c>
      <c r="J126" s="1">
        <v>0</v>
      </c>
      <c r="K126" s="1">
        <v>0</v>
      </c>
      <c r="L126">
        <v>2.2360000000000001E-2</v>
      </c>
      <c r="M126" s="9">
        <v>1.55</v>
      </c>
      <c r="N126" s="9"/>
      <c r="O126" s="3">
        <v>29.64</v>
      </c>
      <c r="P126" s="18"/>
      <c r="Q126" s="18"/>
      <c r="R126" s="18">
        <v>-1.5180000000000001E-2</v>
      </c>
      <c r="S126" s="18"/>
      <c r="T126" s="18"/>
      <c r="U126" s="18"/>
      <c r="V126" s="18"/>
      <c r="W126" s="18"/>
      <c r="X126" s="36"/>
    </row>
    <row r="127" spans="1:24" x14ac:dyDescent="0.2">
      <c r="A127">
        <f t="shared" si="3"/>
        <v>126</v>
      </c>
      <c r="B127" s="13">
        <v>43770</v>
      </c>
      <c r="C127" s="7"/>
      <c r="D127" s="7" t="s">
        <v>30</v>
      </c>
      <c r="E127" s="7" t="s">
        <v>34</v>
      </c>
      <c r="F127" s="7">
        <v>0</v>
      </c>
      <c r="G127" s="10" t="s">
        <v>31</v>
      </c>
      <c r="H127" s="10" t="s">
        <v>31</v>
      </c>
      <c r="I127" s="7" t="s">
        <v>11</v>
      </c>
      <c r="J127" s="1">
        <v>0</v>
      </c>
      <c r="K127" s="1">
        <v>0</v>
      </c>
      <c r="L127">
        <v>9.710000000000002E-2</v>
      </c>
      <c r="M127">
        <v>0</v>
      </c>
      <c r="O127" s="3">
        <v>18</v>
      </c>
      <c r="P127" s="18"/>
      <c r="Q127" s="18"/>
      <c r="R127" s="18"/>
      <c r="S127" s="18"/>
      <c r="T127" s="18"/>
      <c r="U127" s="18"/>
      <c r="V127" s="18"/>
      <c r="W127" s="18"/>
    </row>
    <row r="128" spans="1:24" x14ac:dyDescent="0.2">
      <c r="A128">
        <f t="shared" si="3"/>
        <v>127</v>
      </c>
      <c r="B128" s="13">
        <v>43770</v>
      </c>
      <c r="C128" s="7"/>
      <c r="D128" s="7" t="s">
        <v>30</v>
      </c>
      <c r="E128" s="7" t="s">
        <v>33</v>
      </c>
      <c r="F128" s="7">
        <v>0</v>
      </c>
      <c r="G128" s="10" t="s">
        <v>31</v>
      </c>
      <c r="H128" s="10" t="s">
        <v>31</v>
      </c>
      <c r="I128" s="7" t="s">
        <v>11</v>
      </c>
      <c r="J128" s="1">
        <v>0</v>
      </c>
      <c r="K128" s="1">
        <v>0</v>
      </c>
      <c r="L128">
        <v>9.5860000000000015E-2</v>
      </c>
      <c r="M128">
        <v>0</v>
      </c>
      <c r="O128" s="3">
        <v>18</v>
      </c>
      <c r="P128" s="18"/>
      <c r="Q128" s="18"/>
      <c r="R128" s="18"/>
      <c r="S128" s="18"/>
      <c r="T128" s="18"/>
      <c r="U128" s="18"/>
      <c r="V128" s="18"/>
      <c r="W128" s="18"/>
    </row>
    <row r="129" spans="1:23" x14ac:dyDescent="0.2">
      <c r="A129">
        <f t="shared" si="3"/>
        <v>128</v>
      </c>
      <c r="B129" s="13">
        <v>43770</v>
      </c>
      <c r="C129" s="7"/>
      <c r="D129" s="7" t="s">
        <v>30</v>
      </c>
      <c r="E129" s="7" t="s">
        <v>32</v>
      </c>
      <c r="F129" s="7">
        <v>10</v>
      </c>
      <c r="G129" s="10" t="s">
        <v>31</v>
      </c>
      <c r="H129" s="10" t="s">
        <v>31</v>
      </c>
      <c r="I129" s="7" t="s">
        <v>11</v>
      </c>
      <c r="J129" s="1">
        <v>0</v>
      </c>
      <c r="K129" s="1">
        <v>0</v>
      </c>
      <c r="L129">
        <v>6.0769999999999991E-2</v>
      </c>
      <c r="M129">
        <v>12.180000000000001</v>
      </c>
      <c r="O129" s="3">
        <v>27.5</v>
      </c>
      <c r="P129" s="18"/>
      <c r="Q129" s="18"/>
      <c r="R129" s="18"/>
      <c r="S129" s="18"/>
      <c r="T129" s="18"/>
      <c r="U129" s="18"/>
      <c r="V129" s="18"/>
      <c r="W129" s="18"/>
    </row>
    <row r="130" spans="1:23" x14ac:dyDescent="0.2">
      <c r="A130">
        <f t="shared" si="3"/>
        <v>129</v>
      </c>
      <c r="B130" s="13">
        <v>43770</v>
      </c>
      <c r="C130" s="7"/>
      <c r="D130" s="7" t="s">
        <v>30</v>
      </c>
      <c r="E130" s="7" t="s">
        <v>35</v>
      </c>
      <c r="F130" s="7">
        <v>10</v>
      </c>
      <c r="G130" s="10" t="s">
        <v>31</v>
      </c>
      <c r="H130" s="10" t="s">
        <v>31</v>
      </c>
      <c r="I130" s="7" t="s">
        <v>11</v>
      </c>
      <c r="J130" s="1">
        <v>0</v>
      </c>
      <c r="K130" s="1">
        <v>0</v>
      </c>
      <c r="L130">
        <v>5.9529999999999993E-2</v>
      </c>
      <c r="M130">
        <v>12.180000000000001</v>
      </c>
      <c r="O130" s="3">
        <v>27.5</v>
      </c>
      <c r="P130" s="18"/>
      <c r="Q130" s="18"/>
      <c r="R130" s="18"/>
      <c r="S130" s="18"/>
      <c r="T130" s="18"/>
      <c r="U130" s="18"/>
      <c r="V130" s="18"/>
      <c r="W130" s="18"/>
    </row>
    <row r="131" spans="1:23" x14ac:dyDescent="0.2">
      <c r="A131">
        <f t="shared" si="3"/>
        <v>130</v>
      </c>
      <c r="B131" s="13">
        <v>43770</v>
      </c>
      <c r="C131" s="7"/>
      <c r="D131" s="7" t="s">
        <v>30</v>
      </c>
      <c r="E131" s="7" t="s">
        <v>37</v>
      </c>
      <c r="F131" s="7">
        <v>200</v>
      </c>
      <c r="G131" s="10" t="s">
        <v>31</v>
      </c>
      <c r="H131" s="10" t="s">
        <v>31</v>
      </c>
      <c r="I131" s="7" t="s">
        <v>11</v>
      </c>
      <c r="J131" s="1">
        <v>0</v>
      </c>
      <c r="K131" s="1">
        <v>0</v>
      </c>
      <c r="L131">
        <v>5.6109999999999993E-2</v>
      </c>
      <c r="M131">
        <v>14.39</v>
      </c>
      <c r="O131" s="3">
        <v>71.5</v>
      </c>
      <c r="P131" s="18"/>
      <c r="Q131" s="18"/>
      <c r="R131" s="18"/>
      <c r="S131" s="18"/>
      <c r="T131" s="18"/>
      <c r="U131" s="18"/>
      <c r="V131" s="18"/>
      <c r="W131" s="18"/>
    </row>
    <row r="132" spans="1:23" x14ac:dyDescent="0.2">
      <c r="A132">
        <f t="shared" ref="A132:A195" si="7">A131+1</f>
        <v>131</v>
      </c>
      <c r="B132" s="13">
        <v>43770</v>
      </c>
      <c r="C132" s="7"/>
      <c r="D132" s="7" t="s">
        <v>30</v>
      </c>
      <c r="E132" s="7" t="s">
        <v>36</v>
      </c>
      <c r="F132" s="7">
        <v>200</v>
      </c>
      <c r="G132" s="10" t="s">
        <v>31</v>
      </c>
      <c r="H132" s="10" t="s">
        <v>31</v>
      </c>
      <c r="I132" s="7" t="s">
        <v>11</v>
      </c>
      <c r="J132" s="1">
        <v>0</v>
      </c>
      <c r="K132" s="1">
        <v>0</v>
      </c>
      <c r="L132">
        <v>5.4869999999999995E-2</v>
      </c>
      <c r="M132">
        <v>14.39</v>
      </c>
      <c r="O132" s="3">
        <v>71.5</v>
      </c>
      <c r="P132" s="18"/>
      <c r="Q132" s="18"/>
      <c r="R132" s="18"/>
      <c r="S132" s="18"/>
      <c r="T132" s="18"/>
      <c r="U132" s="18"/>
      <c r="V132" s="18"/>
      <c r="W132" s="18"/>
    </row>
    <row r="133" spans="1:23" x14ac:dyDescent="0.2">
      <c r="A133">
        <f t="shared" si="7"/>
        <v>132</v>
      </c>
      <c r="B133" s="13">
        <v>43770</v>
      </c>
      <c r="C133" s="7"/>
      <c r="D133" s="7" t="s">
        <v>30</v>
      </c>
      <c r="E133" s="7" t="s">
        <v>38</v>
      </c>
      <c r="F133" s="7">
        <v>0</v>
      </c>
      <c r="G133" s="10" t="s">
        <v>31</v>
      </c>
      <c r="H133" s="10" t="s">
        <v>31</v>
      </c>
      <c r="I133" s="7" t="s">
        <v>11</v>
      </c>
      <c r="J133" s="1">
        <v>0</v>
      </c>
      <c r="K133" s="1">
        <v>0</v>
      </c>
      <c r="L133">
        <v>3.628E-2</v>
      </c>
      <c r="M133">
        <v>14.91</v>
      </c>
      <c r="O133" s="3">
        <v>275</v>
      </c>
      <c r="P133" s="18"/>
      <c r="Q133" s="18"/>
      <c r="R133" s="18"/>
      <c r="S133" s="18"/>
      <c r="T133" s="18"/>
      <c r="U133" s="18"/>
      <c r="V133" s="18"/>
      <c r="W133" s="18"/>
    </row>
    <row r="134" spans="1:23" x14ac:dyDescent="0.2">
      <c r="A134">
        <f t="shared" si="7"/>
        <v>133</v>
      </c>
      <c r="B134" s="13">
        <v>43770</v>
      </c>
      <c r="C134" s="7"/>
      <c r="D134" s="7" t="s">
        <v>30</v>
      </c>
      <c r="E134" s="7" t="s">
        <v>39</v>
      </c>
      <c r="F134" s="7">
        <v>0</v>
      </c>
      <c r="G134" s="10" t="s">
        <v>31</v>
      </c>
      <c r="H134" s="10" t="s">
        <v>31</v>
      </c>
      <c r="I134" s="7" t="s">
        <v>11</v>
      </c>
      <c r="J134" s="1">
        <v>0</v>
      </c>
      <c r="K134" s="1">
        <v>0</v>
      </c>
      <c r="L134">
        <v>3.5049999999999998E-2</v>
      </c>
      <c r="M134">
        <v>14.91</v>
      </c>
      <c r="O134" s="3">
        <v>275</v>
      </c>
      <c r="P134" s="18"/>
      <c r="Q134" s="18"/>
      <c r="R134" s="18"/>
      <c r="S134" s="18"/>
      <c r="T134" s="18"/>
      <c r="U134" s="18"/>
      <c r="V134" s="18"/>
      <c r="W134" s="18"/>
    </row>
    <row r="135" spans="1:23" x14ac:dyDescent="0.2">
      <c r="A135">
        <f t="shared" si="7"/>
        <v>134</v>
      </c>
      <c r="B135" s="13">
        <v>43770</v>
      </c>
      <c r="C135" s="7"/>
      <c r="D135" s="7" t="s">
        <v>30</v>
      </c>
      <c r="E135" s="7" t="s">
        <v>40</v>
      </c>
      <c r="F135" s="7">
        <v>10</v>
      </c>
      <c r="G135" s="10" t="s">
        <v>31</v>
      </c>
      <c r="H135" s="10" t="s">
        <v>31</v>
      </c>
      <c r="I135" s="7" t="s">
        <v>11</v>
      </c>
      <c r="J135" s="1">
        <v>0</v>
      </c>
      <c r="K135" s="1">
        <v>0</v>
      </c>
      <c r="L135">
        <v>6.5699999999999995E-2</v>
      </c>
      <c r="M135">
        <v>17.079999999999998</v>
      </c>
      <c r="O135" s="3">
        <v>2200</v>
      </c>
      <c r="P135" s="18"/>
      <c r="Q135" s="18"/>
      <c r="R135" s="18"/>
      <c r="S135" s="18"/>
      <c r="T135" s="18"/>
      <c r="U135" s="18"/>
      <c r="V135" s="18"/>
      <c r="W135" s="18"/>
    </row>
    <row r="136" spans="1:23" x14ac:dyDescent="0.2">
      <c r="A136">
        <f t="shared" si="7"/>
        <v>135</v>
      </c>
      <c r="B136" s="13">
        <v>43770</v>
      </c>
      <c r="C136" s="7"/>
      <c r="D136" s="7" t="s">
        <v>30</v>
      </c>
      <c r="E136" s="7" t="s">
        <v>41</v>
      </c>
      <c r="F136" s="7">
        <v>10</v>
      </c>
      <c r="G136" s="10" t="s">
        <v>31</v>
      </c>
      <c r="H136" s="10" t="s">
        <v>31</v>
      </c>
      <c r="I136" s="7" t="s">
        <v>11</v>
      </c>
      <c r="J136" s="1">
        <v>0</v>
      </c>
      <c r="K136" s="1">
        <v>0</v>
      </c>
      <c r="L136">
        <v>6.447E-2</v>
      </c>
      <c r="M136">
        <v>17.079999999999998</v>
      </c>
      <c r="O136" s="3">
        <v>2200</v>
      </c>
      <c r="P136" s="18"/>
      <c r="Q136" s="18"/>
      <c r="R136" s="18"/>
      <c r="S136" s="18"/>
      <c r="T136" s="18"/>
      <c r="U136" s="18"/>
      <c r="V136" s="18"/>
      <c r="W136" s="18"/>
    </row>
    <row r="137" spans="1:23" x14ac:dyDescent="0.2">
      <c r="A137">
        <f t="shared" si="7"/>
        <v>136</v>
      </c>
      <c r="B137" s="13">
        <v>43770</v>
      </c>
      <c r="C137" s="7"/>
      <c r="D137" s="7" t="s">
        <v>30</v>
      </c>
      <c r="E137" s="7" t="s">
        <v>42</v>
      </c>
      <c r="F137" s="7">
        <v>200</v>
      </c>
      <c r="G137" s="10" t="s">
        <v>31</v>
      </c>
      <c r="H137" s="10" t="s">
        <v>31</v>
      </c>
      <c r="I137" s="7" t="s">
        <v>11</v>
      </c>
      <c r="J137" s="1">
        <v>0</v>
      </c>
      <c r="K137" s="1">
        <v>0</v>
      </c>
      <c r="L137">
        <v>3.7269999999999998E-2</v>
      </c>
      <c r="M137">
        <v>18.28</v>
      </c>
      <c r="O137" s="3">
        <v>2750</v>
      </c>
      <c r="P137" s="18"/>
      <c r="Q137" s="18"/>
      <c r="R137" s="18"/>
      <c r="S137" s="18"/>
      <c r="T137" s="18"/>
      <c r="U137" s="18"/>
      <c r="V137" s="18"/>
      <c r="W137" s="18"/>
    </row>
    <row r="138" spans="1:23" x14ac:dyDescent="0.2">
      <c r="A138">
        <f t="shared" si="7"/>
        <v>137</v>
      </c>
      <c r="B138" s="13">
        <v>43770</v>
      </c>
      <c r="C138" s="7"/>
      <c r="D138" s="7" t="s">
        <v>30</v>
      </c>
      <c r="E138" s="7" t="s">
        <v>43</v>
      </c>
      <c r="F138" s="7">
        <v>200</v>
      </c>
      <c r="G138" s="10" t="s">
        <v>31</v>
      </c>
      <c r="H138" s="10" t="s">
        <v>31</v>
      </c>
      <c r="I138" s="7" t="s">
        <v>11</v>
      </c>
      <c r="J138" s="1">
        <v>0</v>
      </c>
      <c r="K138" s="1">
        <v>0</v>
      </c>
      <c r="L138">
        <v>3.6049999999999999E-2</v>
      </c>
      <c r="M138">
        <v>18.28</v>
      </c>
      <c r="O138" s="3">
        <v>2750</v>
      </c>
      <c r="P138" s="18"/>
      <c r="Q138" s="18"/>
      <c r="R138" s="18"/>
      <c r="S138" s="18"/>
      <c r="T138" s="18"/>
      <c r="U138" s="18"/>
      <c r="V138" s="18"/>
      <c r="W138" s="18"/>
    </row>
    <row r="139" spans="1:23" x14ac:dyDescent="0.2">
      <c r="A139">
        <f t="shared" si="7"/>
        <v>138</v>
      </c>
      <c r="B139" s="13">
        <v>43466</v>
      </c>
      <c r="C139" s="7"/>
      <c r="D139" s="7" t="s">
        <v>52</v>
      </c>
      <c r="E139" s="7" t="s">
        <v>53</v>
      </c>
      <c r="F139" s="7"/>
      <c r="G139" s="7" t="s">
        <v>20</v>
      </c>
      <c r="H139" s="10" t="s">
        <v>31</v>
      </c>
      <c r="I139" s="7" t="s">
        <v>11</v>
      </c>
      <c r="J139" s="12">
        <v>0</v>
      </c>
      <c r="K139" s="12">
        <v>0</v>
      </c>
      <c r="L139" s="7">
        <v>0.1321</v>
      </c>
      <c r="M139">
        <v>0</v>
      </c>
      <c r="O139" s="3">
        <v>26.01</v>
      </c>
      <c r="P139" s="18"/>
      <c r="Q139" s="18"/>
      <c r="R139" s="18"/>
      <c r="S139" s="18"/>
      <c r="T139" s="18"/>
      <c r="U139" s="18"/>
      <c r="V139" s="18"/>
      <c r="W139" s="18"/>
    </row>
    <row r="140" spans="1:23" x14ac:dyDescent="0.2">
      <c r="A140">
        <f t="shared" si="7"/>
        <v>139</v>
      </c>
      <c r="B140" s="13">
        <v>43466</v>
      </c>
      <c r="C140" s="7"/>
      <c r="D140" s="7" t="s">
        <v>52</v>
      </c>
      <c r="E140" s="7" t="s">
        <v>53</v>
      </c>
      <c r="F140" s="7"/>
      <c r="G140" s="7" t="s">
        <v>22</v>
      </c>
      <c r="H140" s="10" t="s">
        <v>31</v>
      </c>
      <c r="I140" s="7" t="s">
        <v>11</v>
      </c>
      <c r="J140" s="12">
        <v>0</v>
      </c>
      <c r="K140" s="12">
        <v>0</v>
      </c>
      <c r="L140" s="7">
        <v>0.1109</v>
      </c>
      <c r="M140">
        <v>0</v>
      </c>
      <c r="O140" s="3">
        <v>26.01</v>
      </c>
      <c r="P140" s="18"/>
      <c r="Q140" s="18"/>
      <c r="R140" s="18"/>
      <c r="S140" s="18"/>
      <c r="T140" s="18"/>
      <c r="U140" s="18"/>
      <c r="V140" s="18"/>
      <c r="W140" s="18"/>
    </row>
    <row r="141" spans="1:23" x14ac:dyDescent="0.2">
      <c r="A141">
        <f t="shared" si="7"/>
        <v>140</v>
      </c>
      <c r="B141" s="13">
        <v>43466</v>
      </c>
      <c r="C141" s="7"/>
      <c r="D141" s="7" t="s">
        <v>52</v>
      </c>
      <c r="E141" s="7" t="s">
        <v>54</v>
      </c>
      <c r="F141" s="7"/>
      <c r="G141" s="7" t="s">
        <v>20</v>
      </c>
      <c r="H141" s="8" t="s">
        <v>83</v>
      </c>
      <c r="I141" s="7" t="s">
        <v>6</v>
      </c>
      <c r="J141" s="12">
        <v>0.33333333333333331</v>
      </c>
      <c r="K141" s="12">
        <v>0.91666666666666663</v>
      </c>
      <c r="L141" s="7">
        <v>0.315</v>
      </c>
      <c r="M141">
        <v>0</v>
      </c>
      <c r="O141" s="3">
        <v>30.12</v>
      </c>
      <c r="P141" s="18"/>
      <c r="Q141" s="18"/>
      <c r="R141" s="18"/>
      <c r="S141" s="18"/>
      <c r="T141" s="18"/>
      <c r="U141" s="18"/>
      <c r="V141" s="18"/>
      <c r="W141" s="18"/>
    </row>
    <row r="142" spans="1:23" x14ac:dyDescent="0.2">
      <c r="A142">
        <f t="shared" si="7"/>
        <v>141</v>
      </c>
      <c r="B142" s="13">
        <v>43466</v>
      </c>
      <c r="C142" s="7"/>
      <c r="D142" s="7" t="s">
        <v>52</v>
      </c>
      <c r="E142" s="7" t="s">
        <v>54</v>
      </c>
      <c r="F142" s="7"/>
      <c r="G142" s="7" t="s">
        <v>20</v>
      </c>
      <c r="H142" s="8" t="s">
        <v>85</v>
      </c>
      <c r="I142" s="7" t="s">
        <v>6</v>
      </c>
      <c r="J142" s="12">
        <v>0.91666666666666663</v>
      </c>
      <c r="K142" s="12">
        <v>0.33333333333333331</v>
      </c>
      <c r="L142" s="7">
        <v>1.14E-2</v>
      </c>
      <c r="M142">
        <v>0</v>
      </c>
      <c r="O142" s="3">
        <v>30.12</v>
      </c>
      <c r="P142" s="18"/>
      <c r="Q142" s="18"/>
      <c r="R142" s="18"/>
      <c r="S142" s="18"/>
      <c r="T142" s="18"/>
      <c r="U142" s="18"/>
      <c r="V142" s="18"/>
      <c r="W142" s="18"/>
    </row>
    <row r="143" spans="1:23" x14ac:dyDescent="0.2">
      <c r="A143">
        <f t="shared" si="7"/>
        <v>142</v>
      </c>
      <c r="B143" s="13">
        <v>43466</v>
      </c>
      <c r="C143" s="7"/>
      <c r="D143" s="7" t="s">
        <v>52</v>
      </c>
      <c r="E143" s="7" t="s">
        <v>54</v>
      </c>
      <c r="F143" s="7"/>
      <c r="G143" s="7" t="s">
        <v>20</v>
      </c>
      <c r="H143" s="8" t="s">
        <v>85</v>
      </c>
      <c r="I143" s="7" t="s">
        <v>7</v>
      </c>
      <c r="J143" s="12">
        <v>0</v>
      </c>
      <c r="K143" s="12">
        <v>0</v>
      </c>
      <c r="L143" s="7">
        <v>1.14E-2</v>
      </c>
      <c r="M143">
        <v>0</v>
      </c>
      <c r="O143" s="3">
        <v>30.12</v>
      </c>
      <c r="P143" s="18"/>
      <c r="Q143" s="18"/>
      <c r="R143" s="18"/>
      <c r="S143" s="18"/>
      <c r="T143" s="18"/>
      <c r="U143" s="18"/>
      <c r="V143" s="18"/>
      <c r="W143" s="18"/>
    </row>
    <row r="144" spans="1:23" x14ac:dyDescent="0.2">
      <c r="A144">
        <f t="shared" si="7"/>
        <v>143</v>
      </c>
      <c r="B144" s="13">
        <v>43466</v>
      </c>
      <c r="C144" s="7"/>
      <c r="D144" s="7" t="s">
        <v>52</v>
      </c>
      <c r="E144" s="7" t="s">
        <v>54</v>
      </c>
      <c r="F144" s="7"/>
      <c r="G144" s="7" t="s">
        <v>22</v>
      </c>
      <c r="H144" s="8" t="s">
        <v>83</v>
      </c>
      <c r="I144" s="7" t="s">
        <v>6</v>
      </c>
      <c r="J144" s="12">
        <v>0.33333333333333331</v>
      </c>
      <c r="K144" s="12">
        <v>0.91666666666666663</v>
      </c>
      <c r="L144" s="7">
        <v>0.15340000000000001</v>
      </c>
      <c r="M144">
        <v>0</v>
      </c>
      <c r="O144" s="3">
        <v>30.12</v>
      </c>
      <c r="P144" s="18"/>
      <c r="Q144" s="18"/>
      <c r="R144" s="18"/>
      <c r="S144" s="18"/>
      <c r="T144" s="18"/>
      <c r="U144" s="18"/>
      <c r="V144" s="18"/>
      <c r="W144" s="18"/>
    </row>
    <row r="145" spans="1:24" x14ac:dyDescent="0.2">
      <c r="A145">
        <f t="shared" si="7"/>
        <v>144</v>
      </c>
      <c r="B145" s="13">
        <v>43466</v>
      </c>
      <c r="C145" s="7"/>
      <c r="D145" s="7" t="s">
        <v>52</v>
      </c>
      <c r="E145" s="7" t="s">
        <v>54</v>
      </c>
      <c r="F145" s="7"/>
      <c r="G145" s="7" t="s">
        <v>22</v>
      </c>
      <c r="H145" s="8" t="s">
        <v>85</v>
      </c>
      <c r="I145" s="7" t="s">
        <v>6</v>
      </c>
      <c r="J145" s="12">
        <v>0.91666666666666663</v>
      </c>
      <c r="K145" s="12">
        <v>0.33333333333333331</v>
      </c>
      <c r="L145" s="7">
        <v>1.14E-2</v>
      </c>
      <c r="M145">
        <v>0</v>
      </c>
      <c r="O145" s="3">
        <v>30.12</v>
      </c>
      <c r="P145" s="18"/>
      <c r="Q145" s="18"/>
      <c r="R145" s="18"/>
      <c r="S145" s="18"/>
      <c r="T145" s="18"/>
      <c r="U145" s="18"/>
      <c r="V145" s="18"/>
      <c r="W145" s="18"/>
    </row>
    <row r="146" spans="1:24" x14ac:dyDescent="0.2">
      <c r="A146">
        <f t="shared" si="7"/>
        <v>145</v>
      </c>
      <c r="B146" s="13">
        <v>43466</v>
      </c>
      <c r="C146" s="7"/>
      <c r="D146" s="7" t="s">
        <v>52</v>
      </c>
      <c r="E146" s="7" t="s">
        <v>54</v>
      </c>
      <c r="F146" s="7"/>
      <c r="G146" s="7" t="s">
        <v>22</v>
      </c>
      <c r="H146" s="8" t="s">
        <v>85</v>
      </c>
      <c r="I146" s="7" t="s">
        <v>7</v>
      </c>
      <c r="J146" s="12">
        <v>0</v>
      </c>
      <c r="K146" s="12">
        <v>0</v>
      </c>
      <c r="L146" s="7">
        <v>1.14E-2</v>
      </c>
      <c r="M146">
        <v>0</v>
      </c>
      <c r="O146" s="3">
        <v>30.12</v>
      </c>
      <c r="P146" s="18"/>
      <c r="Q146" s="18"/>
      <c r="R146" s="18"/>
      <c r="S146" s="18"/>
      <c r="T146" s="18"/>
      <c r="U146" s="18"/>
      <c r="V146" s="18"/>
      <c r="W146" s="18"/>
    </row>
    <row r="147" spans="1:24" s="7" customFormat="1" x14ac:dyDescent="0.2">
      <c r="A147">
        <f t="shared" si="7"/>
        <v>146</v>
      </c>
      <c r="B147" s="13">
        <v>43466</v>
      </c>
      <c r="D147" s="7" t="s">
        <v>52</v>
      </c>
      <c r="E147" s="7" t="s">
        <v>55</v>
      </c>
      <c r="G147" s="7" t="s">
        <v>20</v>
      </c>
      <c r="H147" s="8" t="s">
        <v>83</v>
      </c>
      <c r="I147" s="7" t="s">
        <v>6</v>
      </c>
      <c r="J147" s="12">
        <v>0.33333333333333331</v>
      </c>
      <c r="K147" s="12">
        <v>0.75</v>
      </c>
      <c r="L147" s="7">
        <v>7.9000000000000008E-3</v>
      </c>
      <c r="M147" s="7">
        <v>9.06</v>
      </c>
      <c r="O147" s="8">
        <f>27.25+49.22 +66.62</f>
        <v>143.09</v>
      </c>
      <c r="P147" s="19"/>
      <c r="Q147" s="19"/>
      <c r="R147" s="19"/>
      <c r="S147" s="19"/>
      <c r="T147" s="19"/>
      <c r="U147" s="19"/>
      <c r="V147" s="19"/>
      <c r="W147" s="19"/>
    </row>
    <row r="148" spans="1:24" s="7" customFormat="1" x14ac:dyDescent="0.2">
      <c r="A148">
        <f t="shared" si="7"/>
        <v>147</v>
      </c>
      <c r="B148" s="13">
        <v>43466</v>
      </c>
      <c r="D148" s="7" t="s">
        <v>52</v>
      </c>
      <c r="E148" s="7" t="s">
        <v>55</v>
      </c>
      <c r="G148" s="7" t="s">
        <v>20</v>
      </c>
      <c r="H148" s="8" t="s">
        <v>83</v>
      </c>
      <c r="I148" s="7" t="s">
        <v>6</v>
      </c>
      <c r="J148" s="12">
        <v>0.33333333333333331</v>
      </c>
      <c r="K148" s="12">
        <v>0.91666666666666663</v>
      </c>
      <c r="L148" s="7">
        <v>7.9000000000000008E-3</v>
      </c>
      <c r="M148" s="7">
        <v>21.84</v>
      </c>
      <c r="O148" s="8">
        <f t="shared" ref="O148:O153" si="8">27.25+49.22 +66.62</f>
        <v>143.09</v>
      </c>
      <c r="P148" s="19"/>
      <c r="Q148" s="19"/>
      <c r="R148" s="19"/>
      <c r="S148" s="19"/>
      <c r="T148" s="19"/>
      <c r="U148" s="19"/>
      <c r="V148" s="19"/>
      <c r="W148" s="19"/>
    </row>
    <row r="149" spans="1:24" s="7" customFormat="1" x14ac:dyDescent="0.2">
      <c r="A149">
        <f t="shared" si="7"/>
        <v>148</v>
      </c>
      <c r="B149" s="13">
        <v>43466</v>
      </c>
      <c r="D149" s="7" t="s">
        <v>52</v>
      </c>
      <c r="E149" s="7" t="s">
        <v>55</v>
      </c>
      <c r="G149" s="7" t="s">
        <v>20</v>
      </c>
      <c r="H149" s="8" t="s">
        <v>85</v>
      </c>
      <c r="I149" s="7" t="s">
        <v>6</v>
      </c>
      <c r="J149" s="12">
        <v>0.91666666666666663</v>
      </c>
      <c r="K149" s="12">
        <v>0.33333333333333331</v>
      </c>
      <c r="L149" s="7">
        <v>7.9000000000000008E-3</v>
      </c>
      <c r="M149" s="7">
        <v>17.739999999999998</v>
      </c>
      <c r="O149" s="8">
        <f t="shared" si="8"/>
        <v>143.09</v>
      </c>
      <c r="P149" s="19"/>
      <c r="Q149" s="19"/>
      <c r="R149" s="19"/>
      <c r="S149" s="19"/>
      <c r="T149" s="19"/>
      <c r="U149" s="19"/>
      <c r="V149" s="19"/>
      <c r="W149" s="19"/>
    </row>
    <row r="150" spans="1:24" s="7" customFormat="1" x14ac:dyDescent="0.2">
      <c r="A150">
        <f t="shared" si="7"/>
        <v>149</v>
      </c>
      <c r="B150" s="13">
        <v>43466</v>
      </c>
      <c r="D150" s="7" t="s">
        <v>52</v>
      </c>
      <c r="E150" s="7" t="s">
        <v>55</v>
      </c>
      <c r="G150" s="7" t="s">
        <v>20</v>
      </c>
      <c r="H150" s="8" t="s">
        <v>85</v>
      </c>
      <c r="I150" s="7" t="s">
        <v>7</v>
      </c>
      <c r="J150" s="12">
        <v>0</v>
      </c>
      <c r="K150" s="12">
        <v>0</v>
      </c>
      <c r="L150" s="7">
        <v>7.9000000000000008E-3</v>
      </c>
      <c r="M150" s="7">
        <v>17.739999999999998</v>
      </c>
      <c r="O150" s="8">
        <f t="shared" si="8"/>
        <v>143.09</v>
      </c>
      <c r="P150" s="19"/>
      <c r="Q150" s="19"/>
      <c r="R150" s="19"/>
      <c r="S150" s="19"/>
      <c r="T150" s="19"/>
      <c r="U150" s="19"/>
      <c r="V150" s="19"/>
      <c r="W150" s="19"/>
    </row>
    <row r="151" spans="1:24" s="7" customFormat="1" x14ac:dyDescent="0.2">
      <c r="A151">
        <f t="shared" si="7"/>
        <v>150</v>
      </c>
      <c r="B151" s="13">
        <v>43466</v>
      </c>
      <c r="D151" s="7" t="s">
        <v>52</v>
      </c>
      <c r="E151" s="7" t="s">
        <v>55</v>
      </c>
      <c r="G151" s="7" t="s">
        <v>22</v>
      </c>
      <c r="H151" s="8" t="s">
        <v>83</v>
      </c>
      <c r="I151" s="7" t="s">
        <v>6</v>
      </c>
      <c r="J151" s="12">
        <v>0.33333333333333331</v>
      </c>
      <c r="K151" s="12">
        <v>0.91666666666666663</v>
      </c>
      <c r="L151" s="7">
        <v>7.9000000000000008E-3</v>
      </c>
      <c r="M151" s="7">
        <v>15.98</v>
      </c>
      <c r="O151" s="8">
        <f t="shared" si="8"/>
        <v>143.09</v>
      </c>
      <c r="P151" s="19"/>
      <c r="Q151" s="19"/>
      <c r="R151" s="19"/>
      <c r="S151" s="19"/>
      <c r="T151" s="19"/>
      <c r="U151" s="19"/>
      <c r="V151" s="19"/>
      <c r="W151" s="19"/>
    </row>
    <row r="152" spans="1:24" s="7" customFormat="1" x14ac:dyDescent="0.2">
      <c r="A152">
        <f t="shared" si="7"/>
        <v>151</v>
      </c>
      <c r="B152" s="13">
        <v>43466</v>
      </c>
      <c r="D152" s="7" t="s">
        <v>52</v>
      </c>
      <c r="E152" s="7" t="s">
        <v>55</v>
      </c>
      <c r="G152" s="7" t="s">
        <v>22</v>
      </c>
      <c r="H152" s="8" t="s">
        <v>85</v>
      </c>
      <c r="I152" s="7" t="s">
        <v>6</v>
      </c>
      <c r="J152" s="12">
        <v>0.91666666666666663</v>
      </c>
      <c r="K152" s="12">
        <v>0.33333333333333331</v>
      </c>
      <c r="L152" s="7">
        <v>7.9000000000000008E-3</v>
      </c>
      <c r="M152" s="7">
        <v>3.74</v>
      </c>
      <c r="O152" s="8">
        <f t="shared" si="8"/>
        <v>143.09</v>
      </c>
      <c r="P152" s="19"/>
      <c r="Q152" s="19"/>
      <c r="R152" s="19"/>
      <c r="S152" s="19"/>
      <c r="T152" s="19"/>
      <c r="U152" s="19"/>
      <c r="V152" s="19"/>
      <c r="W152" s="19"/>
    </row>
    <row r="153" spans="1:24" s="7" customFormat="1" x14ac:dyDescent="0.2">
      <c r="A153">
        <f t="shared" si="7"/>
        <v>152</v>
      </c>
      <c r="B153" s="13">
        <v>43466</v>
      </c>
      <c r="D153" s="7" t="s">
        <v>52</v>
      </c>
      <c r="E153" s="7" t="s">
        <v>55</v>
      </c>
      <c r="G153" s="7" t="s">
        <v>22</v>
      </c>
      <c r="H153" s="8" t="s">
        <v>85</v>
      </c>
      <c r="I153" s="7" t="s">
        <v>7</v>
      </c>
      <c r="J153" s="12">
        <v>0</v>
      </c>
      <c r="K153" s="12">
        <v>0</v>
      </c>
      <c r="L153" s="7">
        <v>7.9000000000000008E-3</v>
      </c>
      <c r="M153" s="7">
        <v>3.74</v>
      </c>
      <c r="O153" s="8">
        <f t="shared" si="8"/>
        <v>143.09</v>
      </c>
      <c r="P153" s="19"/>
      <c r="Q153" s="19"/>
      <c r="R153" s="19"/>
      <c r="S153" s="19"/>
      <c r="T153" s="19"/>
      <c r="U153" s="19"/>
      <c r="V153" s="19"/>
      <c r="W153" s="19"/>
    </row>
    <row r="154" spans="1:24" x14ac:dyDescent="0.2">
      <c r="A154">
        <f t="shared" si="7"/>
        <v>153</v>
      </c>
      <c r="B154" s="13">
        <v>43466</v>
      </c>
      <c r="C154" s="7"/>
      <c r="D154" s="7" t="s">
        <v>52</v>
      </c>
      <c r="E154" s="7" t="s">
        <v>56</v>
      </c>
      <c r="F154" s="7"/>
      <c r="G154" s="7" t="s">
        <v>20</v>
      </c>
      <c r="H154" s="10" t="s">
        <v>31</v>
      </c>
      <c r="I154" s="7" t="s">
        <v>11</v>
      </c>
      <c r="J154" s="12">
        <v>0</v>
      </c>
      <c r="K154" s="12">
        <v>0</v>
      </c>
      <c r="L154" s="7">
        <f>2.21/100</f>
        <v>2.2099999999999998E-2</v>
      </c>
      <c r="M154" s="14">
        <v>25.41</v>
      </c>
      <c r="N154" s="14"/>
      <c r="O154" s="8">
        <f>27.25+49.22+66.62</f>
        <v>143.09</v>
      </c>
      <c r="P154" s="18"/>
      <c r="Q154" s="18"/>
      <c r="R154" s="18"/>
      <c r="S154" s="18">
        <v>173.95</v>
      </c>
      <c r="T154" s="18"/>
      <c r="U154" s="18"/>
      <c r="V154" s="20">
        <f>-LEFT(M154,5)*5</f>
        <v>-127.05</v>
      </c>
      <c r="W154" s="20"/>
      <c r="X154" s="36" t="s">
        <v>80</v>
      </c>
    </row>
    <row r="155" spans="1:24" x14ac:dyDescent="0.2">
      <c r="A155">
        <f t="shared" si="7"/>
        <v>154</v>
      </c>
      <c r="B155" s="13">
        <v>43466</v>
      </c>
      <c r="C155" s="7"/>
      <c r="D155" s="7" t="s">
        <v>52</v>
      </c>
      <c r="E155" s="7" t="s">
        <v>56</v>
      </c>
      <c r="F155" s="7"/>
      <c r="G155" s="7" t="s">
        <v>22</v>
      </c>
      <c r="H155" s="10" t="s">
        <v>31</v>
      </c>
      <c r="I155" s="7" t="s">
        <v>11</v>
      </c>
      <c r="J155" s="12">
        <v>0</v>
      </c>
      <c r="K155" s="12">
        <v>0</v>
      </c>
      <c r="L155" s="7">
        <f>2.21/100</f>
        <v>2.2099999999999998E-2</v>
      </c>
      <c r="M155" s="14">
        <v>20.07</v>
      </c>
      <c r="N155" s="14"/>
      <c r="O155" s="8">
        <f t="shared" ref="O155:O157" si="9">27.25+49.22+66.62</f>
        <v>143.09</v>
      </c>
      <c r="P155" s="18"/>
      <c r="Q155" s="18"/>
      <c r="R155" s="18"/>
      <c r="S155" s="18">
        <v>138.94999999999999</v>
      </c>
      <c r="T155" s="18"/>
      <c r="U155" s="18"/>
      <c r="V155" s="20">
        <f t="shared" ref="V155" si="10">-LEFT(M155,5)*5</f>
        <v>-100.35</v>
      </c>
      <c r="W155" s="20"/>
      <c r="X155" s="36"/>
    </row>
    <row r="156" spans="1:24" x14ac:dyDescent="0.2">
      <c r="A156">
        <f t="shared" si="7"/>
        <v>155</v>
      </c>
      <c r="B156" s="13">
        <v>43466</v>
      </c>
      <c r="C156" s="7"/>
      <c r="D156" s="7" t="s">
        <v>52</v>
      </c>
      <c r="E156" s="7" t="s">
        <v>57</v>
      </c>
      <c r="F156" s="7"/>
      <c r="G156" s="7" t="s">
        <v>20</v>
      </c>
      <c r="H156" s="10" t="s">
        <v>31</v>
      </c>
      <c r="I156" s="7" t="s">
        <v>11</v>
      </c>
      <c r="J156" s="12">
        <v>0</v>
      </c>
      <c r="K156" s="12">
        <v>0</v>
      </c>
      <c r="L156" s="7">
        <f>2.06/100</f>
        <v>2.06E-2</v>
      </c>
      <c r="M156" s="14">
        <v>19.27</v>
      </c>
      <c r="N156" s="14"/>
      <c r="O156" s="8">
        <f t="shared" si="9"/>
        <v>143.09</v>
      </c>
      <c r="P156" s="18"/>
      <c r="Q156" s="18"/>
      <c r="R156" s="18"/>
      <c r="S156" s="18">
        <v>134.47999999999999</v>
      </c>
      <c r="T156" s="18"/>
      <c r="U156" s="18"/>
      <c r="V156" s="20">
        <f>-LEFT(M156,5)*5</f>
        <v>-96.35</v>
      </c>
      <c r="W156" s="20"/>
      <c r="X156" s="36"/>
    </row>
    <row r="157" spans="1:24" x14ac:dyDescent="0.2">
      <c r="A157">
        <f t="shared" si="7"/>
        <v>156</v>
      </c>
      <c r="B157" s="13">
        <v>43466</v>
      </c>
      <c r="C157" s="7"/>
      <c r="D157" s="7" t="s">
        <v>52</v>
      </c>
      <c r="E157" s="7" t="s">
        <v>57</v>
      </c>
      <c r="F157" s="7"/>
      <c r="G157" s="7" t="s">
        <v>22</v>
      </c>
      <c r="H157" s="10" t="s">
        <v>31</v>
      </c>
      <c r="I157" s="7" t="s">
        <v>11</v>
      </c>
      <c r="J157" s="12">
        <v>0</v>
      </c>
      <c r="K157" s="12">
        <v>0</v>
      </c>
      <c r="L157" s="7">
        <f>2.06/100</f>
        <v>2.06E-2</v>
      </c>
      <c r="M157" s="14">
        <v>13.91</v>
      </c>
      <c r="N157" s="14"/>
      <c r="O157" s="8">
        <f t="shared" si="9"/>
        <v>143.09</v>
      </c>
      <c r="P157" s="18"/>
      <c r="Q157" s="18"/>
      <c r="R157" s="18"/>
      <c r="S157" s="18">
        <v>99.53</v>
      </c>
      <c r="T157" s="18"/>
      <c r="U157" s="18"/>
      <c r="V157" s="20">
        <f>-LEFT(M157,5)*5</f>
        <v>-69.55</v>
      </c>
      <c r="W157" s="20"/>
      <c r="X157" s="36"/>
    </row>
    <row r="158" spans="1:24" x14ac:dyDescent="0.2">
      <c r="A158">
        <f t="shared" si="7"/>
        <v>157</v>
      </c>
      <c r="B158" s="13">
        <v>43466</v>
      </c>
      <c r="C158" s="7"/>
      <c r="D158" s="7" t="s">
        <v>52</v>
      </c>
      <c r="E158" s="7" t="s">
        <v>58</v>
      </c>
      <c r="F158" s="7"/>
      <c r="G158" s="7" t="s">
        <v>20</v>
      </c>
      <c r="H158" s="8" t="s">
        <v>83</v>
      </c>
      <c r="I158" s="7" t="s">
        <v>6</v>
      </c>
      <c r="J158" s="12">
        <v>0.33333333333333331</v>
      </c>
      <c r="K158" s="12">
        <v>0.75</v>
      </c>
      <c r="L158" s="7">
        <v>7.9000000000000008E-3</v>
      </c>
      <c r="M158" s="7">
        <v>8.33</v>
      </c>
      <c r="N158" s="7"/>
      <c r="O158" s="8">
        <f>27.25+49.22+66.62</f>
        <v>143.09</v>
      </c>
      <c r="P158" s="18"/>
      <c r="Q158" s="18"/>
      <c r="R158" s="18"/>
      <c r="S158" s="18"/>
      <c r="T158" s="18"/>
      <c r="U158" s="18"/>
      <c r="V158" s="18"/>
      <c r="W158" s="18"/>
    </row>
    <row r="159" spans="1:24" x14ac:dyDescent="0.2">
      <c r="A159">
        <f t="shared" si="7"/>
        <v>158</v>
      </c>
      <c r="B159" s="13">
        <v>43466</v>
      </c>
      <c r="C159" s="7"/>
      <c r="D159" s="7" t="s">
        <v>52</v>
      </c>
      <c r="E159" s="7" t="s">
        <v>58</v>
      </c>
      <c r="F159" s="7"/>
      <c r="G159" s="7" t="s">
        <v>20</v>
      </c>
      <c r="H159" s="8" t="s">
        <v>83</v>
      </c>
      <c r="I159" s="7" t="s">
        <v>6</v>
      </c>
      <c r="J159" s="12">
        <v>0.33333333333333331</v>
      </c>
      <c r="K159" s="12">
        <v>0.91666666666666663</v>
      </c>
      <c r="L159" s="7">
        <v>7.9000000000000008E-3</v>
      </c>
      <c r="M159">
        <v>15.56</v>
      </c>
      <c r="O159" s="8">
        <f t="shared" ref="O159:O164" si="11">27.25+49.22+66.62</f>
        <v>143.09</v>
      </c>
      <c r="P159" s="18"/>
      <c r="Q159" s="18"/>
      <c r="R159" s="18"/>
      <c r="S159" s="18"/>
      <c r="T159" s="18"/>
      <c r="U159" s="18"/>
      <c r="V159" s="18"/>
      <c r="W159" s="18"/>
    </row>
    <row r="160" spans="1:24" x14ac:dyDescent="0.2">
      <c r="A160">
        <f t="shared" si="7"/>
        <v>159</v>
      </c>
      <c r="B160" s="13">
        <v>43466</v>
      </c>
      <c r="C160" s="7"/>
      <c r="D160" s="7" t="s">
        <v>52</v>
      </c>
      <c r="E160" s="7" t="s">
        <v>58</v>
      </c>
      <c r="F160" s="7"/>
      <c r="G160" s="7" t="s">
        <v>20</v>
      </c>
      <c r="H160" s="8" t="s">
        <v>85</v>
      </c>
      <c r="I160" s="7" t="s">
        <v>6</v>
      </c>
      <c r="J160" s="12">
        <v>0.91666666666666663</v>
      </c>
      <c r="K160" s="12">
        <v>0.33333333333333331</v>
      </c>
      <c r="L160" s="7">
        <v>7.9000000000000008E-3</v>
      </c>
      <c r="M160">
        <v>16.7</v>
      </c>
      <c r="O160" s="8">
        <f t="shared" si="11"/>
        <v>143.09</v>
      </c>
      <c r="P160" s="18"/>
      <c r="Q160" s="18"/>
      <c r="R160" s="18"/>
      <c r="S160" s="18"/>
      <c r="T160" s="18"/>
      <c r="U160" s="18"/>
      <c r="V160" s="18"/>
      <c r="W160" s="18"/>
    </row>
    <row r="161" spans="1:24" x14ac:dyDescent="0.2">
      <c r="A161">
        <f t="shared" si="7"/>
        <v>160</v>
      </c>
      <c r="B161" s="13">
        <v>43466</v>
      </c>
      <c r="C161" s="7"/>
      <c r="D161" s="7" t="s">
        <v>52</v>
      </c>
      <c r="E161" s="7" t="s">
        <v>58</v>
      </c>
      <c r="F161" s="7"/>
      <c r="G161" s="7" t="s">
        <v>20</v>
      </c>
      <c r="H161" s="8" t="s">
        <v>85</v>
      </c>
      <c r="I161" s="7" t="s">
        <v>7</v>
      </c>
      <c r="J161" s="12">
        <v>0</v>
      </c>
      <c r="K161" s="12">
        <v>0</v>
      </c>
      <c r="L161" s="7">
        <v>7.9000000000000008E-3</v>
      </c>
      <c r="M161">
        <v>16.7</v>
      </c>
      <c r="O161" s="8">
        <f t="shared" si="11"/>
        <v>143.09</v>
      </c>
      <c r="P161" s="18"/>
      <c r="Q161" s="18"/>
      <c r="R161" s="18"/>
      <c r="S161" s="18"/>
      <c r="T161" s="18"/>
      <c r="U161" s="18"/>
      <c r="V161" s="18"/>
      <c r="W161" s="18"/>
    </row>
    <row r="162" spans="1:24" x14ac:dyDescent="0.2">
      <c r="A162">
        <f t="shared" si="7"/>
        <v>161</v>
      </c>
      <c r="B162" s="13">
        <v>43466</v>
      </c>
      <c r="C162" s="7"/>
      <c r="D162" s="7" t="s">
        <v>52</v>
      </c>
      <c r="E162" s="7" t="s">
        <v>58</v>
      </c>
      <c r="F162" s="7"/>
      <c r="G162" s="7" t="s">
        <v>22</v>
      </c>
      <c r="H162" s="8" t="s">
        <v>83</v>
      </c>
      <c r="I162" s="7" t="s">
        <v>6</v>
      </c>
      <c r="J162" s="12">
        <v>0.33333333333333331</v>
      </c>
      <c r="K162" s="12">
        <v>0.91666666666666663</v>
      </c>
      <c r="L162" s="7">
        <v>7.9000000000000008E-3</v>
      </c>
      <c r="M162" s="7">
        <v>11.48</v>
      </c>
      <c r="N162" s="7"/>
      <c r="O162" s="8">
        <f t="shared" si="11"/>
        <v>143.09</v>
      </c>
      <c r="P162" s="18"/>
      <c r="Q162" s="18"/>
      <c r="R162" s="18"/>
      <c r="S162" s="18"/>
      <c r="T162" s="18"/>
      <c r="U162" s="18"/>
      <c r="V162" s="18"/>
      <c r="W162" s="18"/>
    </row>
    <row r="163" spans="1:24" x14ac:dyDescent="0.2">
      <c r="A163">
        <f t="shared" si="7"/>
        <v>162</v>
      </c>
      <c r="B163" s="13">
        <v>43466</v>
      </c>
      <c r="C163" s="7"/>
      <c r="D163" s="7" t="s">
        <v>52</v>
      </c>
      <c r="E163" s="7" t="s">
        <v>58</v>
      </c>
      <c r="F163" s="7"/>
      <c r="G163" s="7" t="s">
        <v>22</v>
      </c>
      <c r="H163" s="8" t="s">
        <v>85</v>
      </c>
      <c r="I163" s="7" t="s">
        <v>6</v>
      </c>
      <c r="J163" s="12">
        <v>0.91666666666666663</v>
      </c>
      <c r="K163" s="12">
        <v>0.33333333333333331</v>
      </c>
      <c r="L163" s="7">
        <v>7.9000000000000008E-3</v>
      </c>
      <c r="M163" s="7">
        <v>5.36</v>
      </c>
      <c r="N163" s="7"/>
      <c r="O163" s="8">
        <f t="shared" si="11"/>
        <v>143.09</v>
      </c>
      <c r="P163" s="18"/>
      <c r="Q163" s="18"/>
      <c r="R163" s="18"/>
      <c r="S163" s="18"/>
      <c r="T163" s="18"/>
      <c r="U163" s="18"/>
      <c r="V163" s="18"/>
      <c r="W163" s="18"/>
    </row>
    <row r="164" spans="1:24" x14ac:dyDescent="0.2">
      <c r="A164">
        <f t="shared" si="7"/>
        <v>163</v>
      </c>
      <c r="B164" s="13">
        <v>43466</v>
      </c>
      <c r="C164" s="7"/>
      <c r="D164" s="7" t="s">
        <v>52</v>
      </c>
      <c r="E164" s="7" t="s">
        <v>58</v>
      </c>
      <c r="F164" s="7"/>
      <c r="G164" s="7" t="s">
        <v>22</v>
      </c>
      <c r="H164" s="8" t="s">
        <v>85</v>
      </c>
      <c r="I164" s="7" t="s">
        <v>7</v>
      </c>
      <c r="J164" s="12">
        <v>0</v>
      </c>
      <c r="K164" s="12">
        <v>0</v>
      </c>
      <c r="L164" s="7">
        <v>7.9000000000000008E-3</v>
      </c>
      <c r="M164" s="7">
        <v>5.36</v>
      </c>
      <c r="N164" s="7"/>
      <c r="O164" s="8">
        <f t="shared" si="11"/>
        <v>143.09</v>
      </c>
      <c r="P164" s="18"/>
      <c r="Q164" s="18"/>
      <c r="R164" s="18"/>
      <c r="S164" s="18"/>
      <c r="T164" s="18"/>
      <c r="U164" s="18"/>
      <c r="V164" s="18"/>
      <c r="W164" s="18"/>
    </row>
    <row r="165" spans="1:24" x14ac:dyDescent="0.2">
      <c r="A165">
        <f t="shared" si="7"/>
        <v>164</v>
      </c>
      <c r="B165" s="13">
        <v>43770</v>
      </c>
      <c r="C165" s="7"/>
      <c r="D165" s="7" t="s">
        <v>59</v>
      </c>
      <c r="E165" s="7" t="s">
        <v>60</v>
      </c>
      <c r="F165" s="7"/>
      <c r="G165" s="7" t="s">
        <v>22</v>
      </c>
      <c r="H165" s="10" t="s">
        <v>31</v>
      </c>
      <c r="I165" s="7" t="s">
        <v>11</v>
      </c>
      <c r="J165" s="12">
        <v>0</v>
      </c>
      <c r="K165" s="12">
        <v>0</v>
      </c>
      <c r="L165" s="7">
        <f>((5.788+2.282-0.103+0.836+0.05+0.114)/100)+(12.16/100)</f>
        <v>0.21127000000000001</v>
      </c>
      <c r="M165" s="7">
        <v>0</v>
      </c>
      <c r="N165" s="7"/>
      <c r="O165" s="8">
        <v>10</v>
      </c>
      <c r="P165" s="18"/>
      <c r="Q165" s="18"/>
      <c r="R165" s="18"/>
      <c r="S165" s="18"/>
      <c r="T165" s="18"/>
      <c r="U165" s="18"/>
      <c r="V165" s="18"/>
      <c r="W165" s="18"/>
      <c r="X165" s="36" t="s">
        <v>79</v>
      </c>
    </row>
    <row r="166" spans="1:24" x14ac:dyDescent="0.2">
      <c r="A166">
        <f t="shared" si="7"/>
        <v>165</v>
      </c>
      <c r="B166" s="13">
        <v>43770</v>
      </c>
      <c r="C166" s="7"/>
      <c r="D166" s="7" t="s">
        <v>59</v>
      </c>
      <c r="E166" s="7" t="s">
        <v>61</v>
      </c>
      <c r="F166" s="7"/>
      <c r="G166" s="7" t="s">
        <v>22</v>
      </c>
      <c r="H166" s="10" t="s">
        <v>31</v>
      </c>
      <c r="I166" s="7" t="s">
        <v>11</v>
      </c>
      <c r="J166" s="12">
        <v>0</v>
      </c>
      <c r="K166" s="12">
        <v>0</v>
      </c>
      <c r="L166" s="7">
        <f>(1.507+2.122-0.101+0.836+0.05+0.086)/100+ (12.205/100)</f>
        <v>0.16705</v>
      </c>
      <c r="M166">
        <f>10.6 + 0</f>
        <v>10.6</v>
      </c>
      <c r="O166" s="3">
        <v>30</v>
      </c>
      <c r="P166" s="18"/>
      <c r="Q166" s="18"/>
      <c r="R166" s="18"/>
      <c r="S166" s="18"/>
      <c r="T166" s="18"/>
      <c r="U166" s="18"/>
      <c r="V166" s="18"/>
      <c r="W166" s="18"/>
      <c r="X166" s="36"/>
    </row>
    <row r="167" spans="1:24" x14ac:dyDescent="0.2">
      <c r="A167">
        <f t="shared" si="7"/>
        <v>166</v>
      </c>
      <c r="B167" s="13">
        <v>43770</v>
      </c>
      <c r="C167" s="7"/>
      <c r="D167" s="7" t="s">
        <v>59</v>
      </c>
      <c r="E167" s="7" t="s">
        <v>62</v>
      </c>
      <c r="F167" s="7"/>
      <c r="G167" s="7" t="s">
        <v>22</v>
      </c>
      <c r="H167" s="8" t="s">
        <v>83</v>
      </c>
      <c r="I167" s="7" t="s">
        <v>6</v>
      </c>
      <c r="J167" s="12">
        <v>0.33333333333333331</v>
      </c>
      <c r="K167" s="12">
        <v>0.875</v>
      </c>
      <c r="L167" s="7">
        <f>(0.988-0.095+2.063+0.836+0.053+0.05)/100+ (12.205/100)</f>
        <v>0.161</v>
      </c>
      <c r="M167">
        <v>7.6</v>
      </c>
      <c r="O167" s="3">
        <v>223</v>
      </c>
      <c r="P167" s="18"/>
      <c r="Q167" s="18"/>
      <c r="R167" s="18"/>
      <c r="S167" s="18"/>
      <c r="T167" s="18"/>
      <c r="U167" s="18"/>
      <c r="V167" s="18"/>
      <c r="W167" s="18"/>
      <c r="X167" s="36"/>
    </row>
    <row r="168" spans="1:24" x14ac:dyDescent="0.2">
      <c r="A168">
        <f t="shared" si="7"/>
        <v>167</v>
      </c>
      <c r="B168" s="13">
        <v>43770</v>
      </c>
      <c r="C168" s="7"/>
      <c r="D168" s="7" t="s">
        <v>59</v>
      </c>
      <c r="E168" s="7" t="s">
        <v>62</v>
      </c>
      <c r="F168" s="7"/>
      <c r="G168" s="7" t="s">
        <v>22</v>
      </c>
      <c r="H168" s="8" t="s">
        <v>85</v>
      </c>
      <c r="I168" s="7" t="s">
        <v>6</v>
      </c>
      <c r="J168" s="12">
        <v>0.875</v>
      </c>
      <c r="K168" s="12">
        <v>0.33333333333333331</v>
      </c>
      <c r="L168" s="7">
        <f>(0.823-0.095+2.063+0.836+0.053+0.05)/100+ (12.205/100)</f>
        <v>0.15934999999999999</v>
      </c>
      <c r="M168">
        <v>7.6</v>
      </c>
      <c r="O168" s="3">
        <v>223</v>
      </c>
      <c r="P168" s="18"/>
      <c r="Q168" s="18"/>
      <c r="R168" s="18"/>
      <c r="S168" s="18"/>
      <c r="T168" s="18"/>
      <c r="U168" s="18"/>
      <c r="V168" s="18"/>
      <c r="W168" s="18"/>
      <c r="X168" s="36"/>
    </row>
    <row r="169" spans="1:24" x14ac:dyDescent="0.2">
      <c r="A169">
        <f t="shared" si="7"/>
        <v>168</v>
      </c>
      <c r="B169" s="13">
        <v>43770</v>
      </c>
      <c r="C169" s="7"/>
      <c r="D169" s="7" t="s">
        <v>59</v>
      </c>
      <c r="E169" s="7" t="s">
        <v>62</v>
      </c>
      <c r="F169" s="7"/>
      <c r="G169" s="7" t="s">
        <v>22</v>
      </c>
      <c r="H169" s="8" t="s">
        <v>85</v>
      </c>
      <c r="I169" s="7" t="s">
        <v>7</v>
      </c>
      <c r="J169" s="12">
        <v>0</v>
      </c>
      <c r="K169" s="12">
        <v>0</v>
      </c>
      <c r="L169" s="7">
        <f>(0.823-0.095+2.063+0.836+0.053+0.05)/100+ (12.205/100)</f>
        <v>0.15934999999999999</v>
      </c>
      <c r="M169">
        <v>7.6</v>
      </c>
      <c r="O169" s="3">
        <v>223</v>
      </c>
      <c r="P169" s="18"/>
      <c r="Q169" s="18"/>
      <c r="R169" s="18"/>
      <c r="S169" s="18"/>
      <c r="T169" s="18"/>
      <c r="U169" s="18"/>
      <c r="V169" s="18"/>
      <c r="W169" s="18"/>
      <c r="X169" s="36"/>
    </row>
    <row r="170" spans="1:24" x14ac:dyDescent="0.2">
      <c r="A170">
        <f t="shared" si="7"/>
        <v>169</v>
      </c>
      <c r="B170" s="13">
        <v>43800</v>
      </c>
      <c r="C170" s="7"/>
      <c r="D170" s="7" t="s">
        <v>64</v>
      </c>
      <c r="E170" s="7" t="s">
        <v>63</v>
      </c>
      <c r="F170" s="7"/>
      <c r="G170" s="7" t="s">
        <v>20</v>
      </c>
      <c r="H170" s="8" t="s">
        <v>83</v>
      </c>
      <c r="I170" s="7" t="s">
        <v>6</v>
      </c>
      <c r="J170" s="12">
        <v>0.58333333333333337</v>
      </c>
      <c r="K170" s="12">
        <v>0.83333333333333337</v>
      </c>
      <c r="L170" s="7">
        <v>0.4</v>
      </c>
      <c r="M170">
        <v>4.4000000000000004</v>
      </c>
      <c r="O170" s="3">
        <v>19.39</v>
      </c>
      <c r="P170" s="18"/>
      <c r="Q170" s="18"/>
      <c r="R170" s="18"/>
      <c r="S170" s="18"/>
      <c r="T170" s="18"/>
      <c r="U170" s="18"/>
      <c r="V170" s="18"/>
      <c r="W170" s="18"/>
      <c r="X170" s="36" t="s">
        <v>78</v>
      </c>
    </row>
    <row r="171" spans="1:24" x14ac:dyDescent="0.2">
      <c r="A171">
        <f t="shared" si="7"/>
        <v>170</v>
      </c>
      <c r="B171" s="13">
        <v>43800</v>
      </c>
      <c r="C171" s="7"/>
      <c r="D171" s="7" t="s">
        <v>64</v>
      </c>
      <c r="E171" s="7" t="s">
        <v>63</v>
      </c>
      <c r="F171" s="7"/>
      <c r="G171" s="7" t="s">
        <v>20</v>
      </c>
      <c r="H171" s="8" t="s">
        <v>85</v>
      </c>
      <c r="I171" s="7" t="s">
        <v>6</v>
      </c>
      <c r="J171" s="12">
        <v>0.83333333333333337</v>
      </c>
      <c r="K171" s="12">
        <v>0.58333333333333337</v>
      </c>
      <c r="L171" s="7">
        <v>5.9499999999999997E-2</v>
      </c>
      <c r="M171">
        <v>1.4</v>
      </c>
      <c r="O171" s="3">
        <v>19.39</v>
      </c>
      <c r="P171" s="18"/>
      <c r="Q171" s="18"/>
      <c r="R171" s="18"/>
      <c r="S171" s="18"/>
      <c r="T171" s="18"/>
      <c r="U171" s="18"/>
      <c r="V171" s="18"/>
      <c r="W171" s="18"/>
      <c r="X171" s="36"/>
    </row>
    <row r="172" spans="1:24" x14ac:dyDescent="0.2">
      <c r="A172">
        <f t="shared" si="7"/>
        <v>171</v>
      </c>
      <c r="B172" s="13">
        <v>43800</v>
      </c>
      <c r="C172" s="7"/>
      <c r="D172" s="7" t="s">
        <v>64</v>
      </c>
      <c r="E172" s="7" t="s">
        <v>63</v>
      </c>
      <c r="F172" s="7"/>
      <c r="G172" s="7" t="s">
        <v>20</v>
      </c>
      <c r="H172" s="8" t="s">
        <v>85</v>
      </c>
      <c r="I172" s="7" t="s">
        <v>7</v>
      </c>
      <c r="J172" s="12">
        <v>0</v>
      </c>
      <c r="K172" s="12">
        <v>0</v>
      </c>
      <c r="L172" s="7">
        <v>5.9499999999999997E-2</v>
      </c>
      <c r="M172">
        <v>1.4</v>
      </c>
      <c r="O172" s="3">
        <v>19.39</v>
      </c>
      <c r="P172" s="18"/>
      <c r="Q172" s="18"/>
      <c r="R172" s="18"/>
      <c r="S172" s="18"/>
      <c r="T172" s="18"/>
      <c r="U172" s="18"/>
      <c r="V172" s="18"/>
      <c r="W172" s="18"/>
      <c r="X172" s="36"/>
    </row>
    <row r="173" spans="1:24" x14ac:dyDescent="0.2">
      <c r="A173">
        <f t="shared" si="7"/>
        <v>172</v>
      </c>
      <c r="B173" s="13">
        <v>43800</v>
      </c>
      <c r="C173" s="7"/>
      <c r="D173" s="7" t="s">
        <v>64</v>
      </c>
      <c r="E173" s="7" t="s">
        <v>63</v>
      </c>
      <c r="F173" s="7"/>
      <c r="G173" s="7" t="s">
        <v>22</v>
      </c>
      <c r="H173" s="8" t="s">
        <v>83</v>
      </c>
      <c r="I173" s="7" t="s">
        <v>6</v>
      </c>
      <c r="J173" s="12">
        <v>0.25</v>
      </c>
      <c r="K173" s="1">
        <v>0.41666666666666669</v>
      </c>
      <c r="L173">
        <v>0.4</v>
      </c>
      <c r="M173">
        <v>4.9000000000000004</v>
      </c>
      <c r="O173" s="3">
        <v>19.39</v>
      </c>
      <c r="P173" s="18"/>
      <c r="Q173" s="18"/>
      <c r="R173" s="18"/>
      <c r="S173" s="18"/>
      <c r="T173" s="18"/>
      <c r="U173" s="18"/>
      <c r="V173" s="18"/>
      <c r="W173" s="18"/>
      <c r="X173" s="36"/>
    </row>
    <row r="174" spans="1:24" x14ac:dyDescent="0.2">
      <c r="A174">
        <f t="shared" si="7"/>
        <v>173</v>
      </c>
      <c r="B174" s="13">
        <v>43800</v>
      </c>
      <c r="C174" s="7"/>
      <c r="D174" s="7" t="s">
        <v>64</v>
      </c>
      <c r="E174" s="7" t="s">
        <v>63</v>
      </c>
      <c r="F174" s="7"/>
      <c r="G174" s="7" t="s">
        <v>22</v>
      </c>
      <c r="H174" s="8" t="s">
        <v>83</v>
      </c>
      <c r="I174" s="7" t="s">
        <v>6</v>
      </c>
      <c r="J174" s="1">
        <v>0.75</v>
      </c>
      <c r="K174" s="1">
        <v>0.875</v>
      </c>
      <c r="L174">
        <v>0.4</v>
      </c>
      <c r="M174">
        <v>4.9000000000000004</v>
      </c>
      <c r="O174" s="3">
        <v>19.39</v>
      </c>
      <c r="P174" s="18"/>
      <c r="Q174" s="18"/>
      <c r="R174" s="18"/>
      <c r="S174" s="18"/>
      <c r="T174" s="18"/>
      <c r="U174" s="18"/>
      <c r="V174" s="18"/>
      <c r="W174" s="18"/>
      <c r="X174" s="36"/>
    </row>
    <row r="175" spans="1:24" x14ac:dyDescent="0.2">
      <c r="A175">
        <f t="shared" si="7"/>
        <v>174</v>
      </c>
      <c r="B175" s="13">
        <v>43800</v>
      </c>
      <c r="C175" s="7"/>
      <c r="D175" s="7" t="s">
        <v>64</v>
      </c>
      <c r="E175" s="7" t="s">
        <v>63</v>
      </c>
      <c r="F175" s="7"/>
      <c r="G175" s="7" t="s">
        <v>22</v>
      </c>
      <c r="H175" s="8" t="s">
        <v>85</v>
      </c>
      <c r="I175" s="7" t="s">
        <v>6</v>
      </c>
      <c r="J175" s="1">
        <v>0.41666666666666669</v>
      </c>
      <c r="K175" s="1">
        <v>0.75</v>
      </c>
      <c r="L175">
        <v>5.9499999999999997E-2</v>
      </c>
      <c r="M175">
        <v>1.4</v>
      </c>
      <c r="O175" s="3">
        <v>19.39</v>
      </c>
      <c r="P175" s="18"/>
      <c r="Q175" s="18"/>
      <c r="R175" s="18"/>
      <c r="S175" s="18"/>
      <c r="T175" s="18"/>
      <c r="U175" s="18"/>
      <c r="V175" s="18"/>
      <c r="W175" s="18"/>
    </row>
    <row r="176" spans="1:24" x14ac:dyDescent="0.2">
      <c r="A176">
        <f t="shared" si="7"/>
        <v>175</v>
      </c>
      <c r="B176" s="13">
        <v>43800</v>
      </c>
      <c r="C176" s="7"/>
      <c r="D176" s="7" t="s">
        <v>64</v>
      </c>
      <c r="E176" s="7" t="s">
        <v>63</v>
      </c>
      <c r="F176" s="7"/>
      <c r="G176" s="7" t="s">
        <v>22</v>
      </c>
      <c r="H176" s="8" t="s">
        <v>85</v>
      </c>
      <c r="I176" s="7" t="s">
        <v>6</v>
      </c>
      <c r="J176" s="1">
        <v>0.875</v>
      </c>
      <c r="K176" s="1">
        <v>0.25</v>
      </c>
      <c r="L176">
        <v>5.9499999999999997E-2</v>
      </c>
      <c r="M176">
        <v>1.4</v>
      </c>
      <c r="O176" s="3">
        <v>19.39</v>
      </c>
      <c r="P176" s="18"/>
      <c r="Q176" s="18"/>
      <c r="R176" s="18"/>
      <c r="S176" s="18"/>
      <c r="T176" s="18"/>
      <c r="U176" s="18"/>
      <c r="V176" s="18"/>
      <c r="W176" s="18"/>
    </row>
    <row r="177" spans="1:24" x14ac:dyDescent="0.2">
      <c r="A177">
        <f t="shared" si="7"/>
        <v>176</v>
      </c>
      <c r="B177" s="13">
        <v>43800</v>
      </c>
      <c r="C177" s="7"/>
      <c r="D177" s="7" t="s">
        <v>64</v>
      </c>
      <c r="E177" s="7" t="s">
        <v>63</v>
      </c>
      <c r="F177" s="7"/>
      <c r="G177" s="7" t="s">
        <v>22</v>
      </c>
      <c r="H177" s="8" t="s">
        <v>85</v>
      </c>
      <c r="I177" s="7" t="s">
        <v>7</v>
      </c>
      <c r="J177" s="1">
        <v>0</v>
      </c>
      <c r="K177" s="1">
        <v>0</v>
      </c>
      <c r="L177">
        <v>5.9499999999999997E-2</v>
      </c>
      <c r="M177" s="9">
        <v>1.4</v>
      </c>
      <c r="N177" s="9"/>
      <c r="O177" s="3">
        <v>19.39</v>
      </c>
      <c r="P177" s="18"/>
      <c r="Q177" s="18"/>
      <c r="R177" s="18"/>
      <c r="S177" s="18"/>
      <c r="T177" s="18"/>
      <c r="U177" s="18"/>
      <c r="V177" s="18"/>
      <c r="W177" s="18"/>
    </row>
    <row r="178" spans="1:24" s="7" customFormat="1" x14ac:dyDescent="0.2">
      <c r="A178">
        <f t="shared" si="7"/>
        <v>177</v>
      </c>
      <c r="B178" s="13">
        <v>43800</v>
      </c>
      <c r="D178" s="7" t="s">
        <v>64</v>
      </c>
      <c r="E178" s="7" t="s">
        <v>67</v>
      </c>
      <c r="G178" s="10" t="s">
        <v>31</v>
      </c>
      <c r="H178" s="10" t="s">
        <v>31</v>
      </c>
      <c r="I178" s="7" t="s">
        <v>11</v>
      </c>
      <c r="J178" s="12">
        <v>0</v>
      </c>
      <c r="K178" s="12">
        <v>0</v>
      </c>
      <c r="L178" s="7">
        <v>0.109332</v>
      </c>
      <c r="M178" s="14">
        <v>3.7789999999999999</v>
      </c>
      <c r="N178" s="14"/>
      <c r="O178" s="8">
        <v>23.91</v>
      </c>
      <c r="P178" s="19"/>
      <c r="Q178" s="19"/>
      <c r="R178" s="19"/>
      <c r="S178" s="19"/>
      <c r="T178" s="19"/>
      <c r="U178" s="19"/>
      <c r="V178" s="20">
        <f>-LEFT(M178,5)*30</f>
        <v>-113.37</v>
      </c>
      <c r="W178" s="20"/>
      <c r="X178" s="39" t="s">
        <v>81</v>
      </c>
    </row>
    <row r="179" spans="1:24" x14ac:dyDescent="0.2">
      <c r="A179">
        <f t="shared" si="7"/>
        <v>178</v>
      </c>
      <c r="B179" s="13">
        <v>43800</v>
      </c>
      <c r="C179" s="7"/>
      <c r="D179" s="7" t="s">
        <v>64</v>
      </c>
      <c r="E179" s="7" t="s">
        <v>68</v>
      </c>
      <c r="F179" s="7"/>
      <c r="G179" s="10" t="s">
        <v>31</v>
      </c>
      <c r="H179" s="10" t="s">
        <v>31</v>
      </c>
      <c r="I179" s="7" t="s">
        <v>11</v>
      </c>
      <c r="J179" s="12">
        <v>0</v>
      </c>
      <c r="K179" s="12">
        <v>0</v>
      </c>
      <c r="L179" s="7">
        <v>6.5266000000000005E-2</v>
      </c>
      <c r="M179" s="14">
        <v>3.7789999999999999</v>
      </c>
      <c r="N179" s="14"/>
      <c r="O179" s="8">
        <v>23.91</v>
      </c>
      <c r="P179" s="18"/>
      <c r="Q179" s="18"/>
      <c r="R179" s="18"/>
      <c r="S179" s="18"/>
      <c r="T179" s="18">
        <f>3000*$L$178</f>
        <v>327.99599999999998</v>
      </c>
      <c r="U179" s="18"/>
      <c r="V179" s="20">
        <f>-L179*3000  -LEFT(M179,5)*30</f>
        <v>-309.16800000000001</v>
      </c>
      <c r="W179" s="20"/>
      <c r="X179" s="39"/>
    </row>
    <row r="180" spans="1:24" x14ac:dyDescent="0.2">
      <c r="A180">
        <f t="shared" si="7"/>
        <v>179</v>
      </c>
      <c r="B180" s="13">
        <v>43800</v>
      </c>
      <c r="C180" s="7"/>
      <c r="D180" s="7" t="s">
        <v>64</v>
      </c>
      <c r="E180" s="7" t="s">
        <v>69</v>
      </c>
      <c r="F180" s="7"/>
      <c r="G180" s="10" t="s">
        <v>31</v>
      </c>
      <c r="H180" s="10" t="s">
        <v>31</v>
      </c>
      <c r="I180" s="7" t="s">
        <v>11</v>
      </c>
      <c r="J180" s="12">
        <v>0</v>
      </c>
      <c r="K180" s="12">
        <v>0</v>
      </c>
      <c r="L180" s="7">
        <v>6.4673999999999995E-2</v>
      </c>
      <c r="M180" s="14">
        <v>3.7789999999999999</v>
      </c>
      <c r="N180" s="14"/>
      <c r="O180" s="8">
        <v>23.91</v>
      </c>
      <c r="P180" s="18"/>
      <c r="Q180" s="18"/>
      <c r="R180" s="18"/>
      <c r="S180" s="18"/>
      <c r="T180" s="18">
        <f>3000*$L$178</f>
        <v>327.99599999999998</v>
      </c>
      <c r="U180" s="18">
        <f>L179*87000</f>
        <v>5678.1420000000007</v>
      </c>
      <c r="V180" s="20">
        <f>-L180*90000-LEFT(M180,5)*30</f>
        <v>-5934.03</v>
      </c>
      <c r="W180" s="20"/>
      <c r="X180" s="39"/>
    </row>
    <row r="181" spans="1:24" x14ac:dyDescent="0.2">
      <c r="A181">
        <f t="shared" si="7"/>
        <v>180</v>
      </c>
      <c r="B181" s="13">
        <v>43800</v>
      </c>
      <c r="C181" s="7"/>
      <c r="D181" s="7" t="s">
        <v>64</v>
      </c>
      <c r="E181" s="7" t="s">
        <v>65</v>
      </c>
      <c r="F181" s="7"/>
      <c r="G181" s="10" t="s">
        <v>31</v>
      </c>
      <c r="H181" s="10" t="s">
        <v>31</v>
      </c>
      <c r="I181" s="7" t="s">
        <v>11</v>
      </c>
      <c r="J181" s="12">
        <v>0</v>
      </c>
      <c r="K181" s="12">
        <v>0</v>
      </c>
      <c r="L181" s="7">
        <v>6.0950999999999998E-2</v>
      </c>
      <c r="M181" s="14">
        <v>3.7789999999999999</v>
      </c>
      <c r="N181" s="14"/>
      <c r="O181" s="8">
        <v>23.91</v>
      </c>
      <c r="P181" s="18"/>
      <c r="Q181" s="18"/>
      <c r="R181" s="18"/>
      <c r="S181" s="18"/>
      <c r="T181" s="18"/>
      <c r="U181" s="18"/>
      <c r="V181" s="20">
        <f>-LEFT(M181,5)*30</f>
        <v>-113.37</v>
      </c>
      <c r="W181" s="20"/>
      <c r="X181" s="39"/>
    </row>
    <row r="182" spans="1:24" x14ac:dyDescent="0.2">
      <c r="A182">
        <f t="shared" si="7"/>
        <v>181</v>
      </c>
      <c r="B182" s="13">
        <v>43800</v>
      </c>
      <c r="C182" s="7"/>
      <c r="D182" s="7" t="s">
        <v>64</v>
      </c>
      <c r="E182" s="7" t="s">
        <v>66</v>
      </c>
      <c r="F182" s="7"/>
      <c r="G182" s="10" t="s">
        <v>31</v>
      </c>
      <c r="H182" s="10" t="s">
        <v>31</v>
      </c>
      <c r="I182" s="7" t="s">
        <v>11</v>
      </c>
      <c r="J182" s="12">
        <v>0</v>
      </c>
      <c r="K182" s="12">
        <v>0</v>
      </c>
      <c r="L182" s="7">
        <v>5.3176000000000001E-2</v>
      </c>
      <c r="M182" s="14">
        <v>3.7789999999999999</v>
      </c>
      <c r="N182" s="14"/>
      <c r="O182" s="8">
        <v>23.91</v>
      </c>
      <c r="P182" s="18"/>
      <c r="Q182" s="18"/>
      <c r="R182" s="18"/>
      <c r="S182" s="18"/>
      <c r="T182" s="18">
        <f>$L$182*6000</f>
        <v>319.05599999999998</v>
      </c>
      <c r="U182" s="18"/>
      <c r="V182" s="20">
        <f>-L182*6000-LEFT(M182,5)*30</f>
        <v>-432.42599999999999</v>
      </c>
      <c r="W182" s="20"/>
      <c r="X182" s="39"/>
    </row>
    <row r="183" spans="1:24" x14ac:dyDescent="0.2">
      <c r="A183">
        <f t="shared" si="7"/>
        <v>182</v>
      </c>
      <c r="B183" s="13">
        <v>43800</v>
      </c>
      <c r="C183" s="7"/>
      <c r="D183" s="7" t="s">
        <v>64</v>
      </c>
      <c r="E183" s="7" t="s">
        <v>70</v>
      </c>
      <c r="F183" s="7"/>
      <c r="G183" s="10" t="s">
        <v>31</v>
      </c>
      <c r="H183" s="10" t="s">
        <v>31</v>
      </c>
      <c r="I183" s="7" t="s">
        <v>11</v>
      </c>
      <c r="J183" s="12">
        <v>0</v>
      </c>
      <c r="K183" s="12">
        <v>0</v>
      </c>
      <c r="L183" s="7">
        <v>5.2220999999999997E-2</v>
      </c>
      <c r="M183" s="14">
        <v>3.7789999999999999</v>
      </c>
      <c r="N183" s="14"/>
      <c r="O183" s="8">
        <v>23.91</v>
      </c>
      <c r="P183" s="18"/>
      <c r="Q183" s="18"/>
      <c r="R183" s="18"/>
      <c r="S183" s="18"/>
      <c r="T183" s="18">
        <f>$L$182*6000</f>
        <v>319.05599999999998</v>
      </c>
      <c r="U183" s="18">
        <f>L182*134000</f>
        <v>7125.5839999999998</v>
      </c>
      <c r="V183" s="20">
        <f>-L183*140000-LEFT(M183,5)*30</f>
        <v>-7424.3099999999995</v>
      </c>
      <c r="W183" s="20"/>
      <c r="X183" s="39"/>
    </row>
    <row r="184" spans="1:24" x14ac:dyDescent="0.2">
      <c r="A184">
        <f t="shared" si="7"/>
        <v>183</v>
      </c>
      <c r="B184" s="13">
        <v>43800</v>
      </c>
      <c r="C184" s="27">
        <v>44075</v>
      </c>
      <c r="D184" s="7" t="s">
        <v>64</v>
      </c>
      <c r="E184" s="7" t="s">
        <v>71</v>
      </c>
      <c r="F184" s="7"/>
      <c r="G184" s="10" t="s">
        <v>31</v>
      </c>
      <c r="H184" s="10" t="s">
        <v>31</v>
      </c>
      <c r="I184" s="7" t="s">
        <v>11</v>
      </c>
      <c r="J184" s="12">
        <v>0</v>
      </c>
      <c r="K184" s="12">
        <v>0</v>
      </c>
      <c r="L184">
        <v>4.9743999999999997E-2</v>
      </c>
      <c r="M184" s="14">
        <v>3.7789999999999999</v>
      </c>
      <c r="N184" s="14"/>
      <c r="O184" s="8">
        <v>23.91</v>
      </c>
      <c r="P184" s="18"/>
      <c r="Q184" s="18"/>
      <c r="R184" s="18"/>
      <c r="S184" s="18"/>
      <c r="T184" s="18"/>
      <c r="U184" s="18"/>
      <c r="V184" s="20">
        <f>-LEFT(M184,5)*30</f>
        <v>-113.37</v>
      </c>
      <c r="W184" s="20"/>
      <c r="X184" s="39"/>
    </row>
    <row r="185" spans="1:24" x14ac:dyDescent="0.2">
      <c r="A185">
        <f t="shared" si="7"/>
        <v>184</v>
      </c>
      <c r="B185" s="13">
        <v>43831</v>
      </c>
      <c r="C185" s="7"/>
      <c r="D185" s="7" t="s">
        <v>107</v>
      </c>
      <c r="E185" s="7" t="s">
        <v>10</v>
      </c>
      <c r="F185" s="7">
        <v>75</v>
      </c>
      <c r="G185" s="7" t="s">
        <v>20</v>
      </c>
      <c r="H185" s="8" t="s">
        <v>87</v>
      </c>
      <c r="I185" s="3" t="s">
        <v>6</v>
      </c>
      <c r="J185" s="1">
        <v>0.5</v>
      </c>
      <c r="K185" s="1">
        <v>0.75</v>
      </c>
      <c r="L185">
        <v>0.23491000000000001</v>
      </c>
      <c r="M185">
        <v>0</v>
      </c>
      <c r="N185">
        <v>0</v>
      </c>
      <c r="O185" s="3">
        <f t="shared" ref="O185:O192" si="12">4.59959*30</f>
        <v>137.98769999999999</v>
      </c>
      <c r="P185" s="18"/>
      <c r="Q185" s="18"/>
      <c r="R185" s="18"/>
      <c r="S185" s="18"/>
      <c r="T185" s="18"/>
      <c r="U185" s="18"/>
      <c r="V185" s="18"/>
      <c r="W185" s="18"/>
    </row>
    <row r="186" spans="1:24" ht="17" customHeight="1" x14ac:dyDescent="0.2">
      <c r="A186">
        <f t="shared" si="7"/>
        <v>185</v>
      </c>
      <c r="B186" s="13">
        <v>43831</v>
      </c>
      <c r="C186" s="7"/>
      <c r="D186" s="7" t="s">
        <v>107</v>
      </c>
      <c r="E186" s="7" t="s">
        <v>10</v>
      </c>
      <c r="F186" s="7">
        <v>75</v>
      </c>
      <c r="G186" s="7" t="s">
        <v>20</v>
      </c>
      <c r="H186" s="8" t="s">
        <v>88</v>
      </c>
      <c r="I186" s="3" t="s">
        <v>6</v>
      </c>
      <c r="J186" s="1">
        <v>0.35416666666666669</v>
      </c>
      <c r="K186" s="1">
        <v>0.5</v>
      </c>
      <c r="L186">
        <v>0.17978</v>
      </c>
      <c r="M186">
        <v>0</v>
      </c>
      <c r="N186">
        <v>0</v>
      </c>
      <c r="O186" s="3">
        <f t="shared" si="12"/>
        <v>137.98769999999999</v>
      </c>
      <c r="P186" s="18"/>
      <c r="Q186" s="18"/>
      <c r="R186" s="18"/>
      <c r="S186" s="18"/>
      <c r="T186" s="18"/>
      <c r="U186" s="18"/>
      <c r="V186" s="18"/>
      <c r="W186" s="18"/>
    </row>
    <row r="187" spans="1:24" x14ac:dyDescent="0.2">
      <c r="A187">
        <f t="shared" si="7"/>
        <v>186</v>
      </c>
      <c r="B187" s="13">
        <v>43831</v>
      </c>
      <c r="C187" s="7"/>
      <c r="D187" s="7" t="s">
        <v>107</v>
      </c>
      <c r="E187" s="7" t="s">
        <v>10</v>
      </c>
      <c r="F187" s="7">
        <v>75</v>
      </c>
      <c r="G187" s="7" t="s">
        <v>20</v>
      </c>
      <c r="H187" s="8" t="s">
        <v>88</v>
      </c>
      <c r="I187" s="3" t="s">
        <v>6</v>
      </c>
      <c r="J187" s="1">
        <v>0.75</v>
      </c>
      <c r="K187" s="1">
        <v>0.89583333333333337</v>
      </c>
      <c r="L187">
        <v>0.17978</v>
      </c>
      <c r="M187">
        <v>0</v>
      </c>
      <c r="N187">
        <v>0</v>
      </c>
      <c r="O187" s="3">
        <f t="shared" si="12"/>
        <v>137.98769999999999</v>
      </c>
      <c r="P187" s="18"/>
      <c r="Q187" s="18"/>
      <c r="R187" s="18"/>
      <c r="S187" s="18"/>
      <c r="T187" s="18"/>
      <c r="U187" s="18"/>
      <c r="V187" s="18"/>
      <c r="W187" s="18"/>
    </row>
    <row r="188" spans="1:24" x14ac:dyDescent="0.2">
      <c r="A188">
        <f t="shared" si="7"/>
        <v>187</v>
      </c>
      <c r="B188" s="13">
        <v>43831</v>
      </c>
      <c r="C188" s="7"/>
      <c r="D188" s="7" t="s">
        <v>107</v>
      </c>
      <c r="E188" s="7" t="s">
        <v>10</v>
      </c>
      <c r="F188" s="7">
        <v>75</v>
      </c>
      <c r="G188" s="7" t="s">
        <v>20</v>
      </c>
      <c r="H188" s="8" t="s">
        <v>85</v>
      </c>
      <c r="I188" s="3" t="s">
        <v>6</v>
      </c>
      <c r="J188" s="1">
        <v>0.89583333333333337</v>
      </c>
      <c r="K188" s="1">
        <v>0.35416666666666669</v>
      </c>
      <c r="L188">
        <v>0.15171000000000001</v>
      </c>
      <c r="M188">
        <v>0</v>
      </c>
      <c r="N188">
        <v>0</v>
      </c>
      <c r="O188" s="3">
        <f t="shared" si="12"/>
        <v>137.98769999999999</v>
      </c>
      <c r="P188" s="18"/>
      <c r="Q188" s="18"/>
      <c r="R188" s="18"/>
      <c r="S188" s="18"/>
      <c r="T188" s="18"/>
      <c r="U188" s="18"/>
      <c r="V188" s="18"/>
      <c r="W188" s="18"/>
    </row>
    <row r="189" spans="1:24" x14ac:dyDescent="0.2">
      <c r="A189">
        <f t="shared" si="7"/>
        <v>188</v>
      </c>
      <c r="B189" s="13">
        <v>43831</v>
      </c>
      <c r="C189" s="7"/>
      <c r="D189" s="7" t="s">
        <v>107</v>
      </c>
      <c r="E189" s="7" t="s">
        <v>10</v>
      </c>
      <c r="F189" s="7">
        <v>75</v>
      </c>
      <c r="G189" s="7" t="s">
        <v>20</v>
      </c>
      <c r="H189" s="8" t="s">
        <v>85</v>
      </c>
      <c r="I189" s="3" t="s">
        <v>7</v>
      </c>
      <c r="J189" s="1">
        <v>0</v>
      </c>
      <c r="K189" s="1">
        <v>0</v>
      </c>
      <c r="L189">
        <v>0.15171000000000001</v>
      </c>
      <c r="M189">
        <v>0</v>
      </c>
      <c r="N189">
        <v>0</v>
      </c>
      <c r="O189" s="3">
        <f t="shared" si="12"/>
        <v>137.98769999999999</v>
      </c>
      <c r="P189" s="18"/>
      <c r="Q189" s="18"/>
      <c r="R189" s="18"/>
      <c r="S189" s="18"/>
      <c r="T189" s="18"/>
      <c r="U189" s="18"/>
      <c r="V189" s="18"/>
      <c r="W189" s="18"/>
    </row>
    <row r="190" spans="1:24" x14ac:dyDescent="0.2">
      <c r="A190">
        <f t="shared" si="7"/>
        <v>189</v>
      </c>
      <c r="B190" s="13">
        <v>43831</v>
      </c>
      <c r="C190" s="7"/>
      <c r="D190" s="7" t="s">
        <v>107</v>
      </c>
      <c r="E190" s="7" t="s">
        <v>10</v>
      </c>
      <c r="F190" s="7">
        <v>75</v>
      </c>
      <c r="G190" s="7" t="s">
        <v>22</v>
      </c>
      <c r="H190" s="8" t="s">
        <v>88</v>
      </c>
      <c r="I190" s="3" t="s">
        <v>6</v>
      </c>
      <c r="J190" s="1">
        <v>0.35416666666666669</v>
      </c>
      <c r="K190" s="1">
        <v>0.89583333333333337</v>
      </c>
      <c r="L190">
        <v>0.15039</v>
      </c>
      <c r="M190">
        <v>0</v>
      </c>
      <c r="N190">
        <v>0</v>
      </c>
      <c r="O190" s="3">
        <f t="shared" si="12"/>
        <v>137.98769999999999</v>
      </c>
      <c r="P190" s="18"/>
      <c r="Q190" s="18"/>
      <c r="R190" s="18"/>
      <c r="S190" s="18"/>
      <c r="T190" s="18"/>
      <c r="U190" s="18"/>
      <c r="V190" s="18"/>
      <c r="W190" s="18"/>
    </row>
    <row r="191" spans="1:24" x14ac:dyDescent="0.2">
      <c r="A191">
        <f t="shared" si="7"/>
        <v>190</v>
      </c>
      <c r="B191" s="13">
        <v>43831</v>
      </c>
      <c r="C191" s="7"/>
      <c r="D191" s="7" t="s">
        <v>107</v>
      </c>
      <c r="E191" s="7" t="s">
        <v>10</v>
      </c>
      <c r="F191" s="7">
        <v>75</v>
      </c>
      <c r="G191" s="7" t="s">
        <v>22</v>
      </c>
      <c r="H191" s="8" t="s">
        <v>85</v>
      </c>
      <c r="I191" s="3" t="s">
        <v>6</v>
      </c>
      <c r="J191" s="1">
        <v>0.89583333333333337</v>
      </c>
      <c r="K191" s="1">
        <v>0.35416666666666669</v>
      </c>
      <c r="L191">
        <v>0.13333</v>
      </c>
      <c r="M191">
        <v>0</v>
      </c>
      <c r="N191">
        <v>0</v>
      </c>
      <c r="O191" s="3">
        <f t="shared" si="12"/>
        <v>137.98769999999999</v>
      </c>
      <c r="P191" s="18"/>
      <c r="Q191" s="18"/>
      <c r="R191" s="18"/>
      <c r="S191" s="18"/>
      <c r="T191" s="18"/>
      <c r="U191" s="18"/>
      <c r="V191" s="18"/>
      <c r="W191" s="18"/>
    </row>
    <row r="192" spans="1:24" x14ac:dyDescent="0.2">
      <c r="A192">
        <f t="shared" si="7"/>
        <v>191</v>
      </c>
      <c r="B192" s="13">
        <v>43831</v>
      </c>
      <c r="C192" s="7"/>
      <c r="D192" s="7" t="s">
        <v>107</v>
      </c>
      <c r="E192" s="7" t="s">
        <v>10</v>
      </c>
      <c r="F192" s="7">
        <v>75</v>
      </c>
      <c r="G192" s="7" t="s">
        <v>22</v>
      </c>
      <c r="H192" s="8" t="s">
        <v>85</v>
      </c>
      <c r="I192" s="3" t="s">
        <v>7</v>
      </c>
      <c r="J192" s="1">
        <v>0</v>
      </c>
      <c r="K192" s="1">
        <v>0</v>
      </c>
      <c r="L192">
        <v>0.13333</v>
      </c>
      <c r="M192">
        <v>0</v>
      </c>
      <c r="N192">
        <v>0</v>
      </c>
      <c r="O192" s="3">
        <f t="shared" si="12"/>
        <v>137.98769999999999</v>
      </c>
      <c r="P192" s="18"/>
      <c r="Q192" s="18"/>
      <c r="R192" s="18"/>
      <c r="S192" s="18"/>
      <c r="T192" s="18"/>
      <c r="U192" s="18"/>
      <c r="V192" s="18"/>
      <c r="W192" s="18"/>
    </row>
    <row r="193" spans="1:23" x14ac:dyDescent="0.2">
      <c r="A193">
        <f t="shared" si="7"/>
        <v>192</v>
      </c>
      <c r="B193" s="13">
        <v>43831</v>
      </c>
      <c r="C193" s="7"/>
      <c r="D193" s="7" t="s">
        <v>107</v>
      </c>
      <c r="E193" s="7" t="s">
        <v>104</v>
      </c>
      <c r="F193" s="7">
        <v>500</v>
      </c>
      <c r="G193" s="7" t="s">
        <v>20</v>
      </c>
      <c r="H193" s="8" t="s">
        <v>87</v>
      </c>
      <c r="I193" s="3" t="s">
        <v>6</v>
      </c>
      <c r="J193" s="1">
        <v>0.5</v>
      </c>
      <c r="K193" s="1">
        <v>0.75</v>
      </c>
      <c r="L193">
        <v>0.17088</v>
      </c>
      <c r="M193">
        <v>0</v>
      </c>
      <c r="N193">
        <v>0</v>
      </c>
      <c r="O193" s="3">
        <f>23.65503*30</f>
        <v>709.65089999999998</v>
      </c>
      <c r="P193" s="18"/>
      <c r="Q193" s="18"/>
      <c r="R193" s="18"/>
      <c r="S193" s="18"/>
      <c r="T193" s="18"/>
      <c r="U193" s="18"/>
      <c r="V193" s="18"/>
      <c r="W193" s="18"/>
    </row>
    <row r="194" spans="1:23" x14ac:dyDescent="0.2">
      <c r="A194">
        <f t="shared" si="7"/>
        <v>193</v>
      </c>
      <c r="B194" s="13">
        <v>43831</v>
      </c>
      <c r="C194" s="7"/>
      <c r="D194" s="7" t="s">
        <v>107</v>
      </c>
      <c r="E194" s="7" t="s">
        <v>104</v>
      </c>
      <c r="F194" s="7">
        <v>500</v>
      </c>
      <c r="G194" s="7" t="s">
        <v>20</v>
      </c>
      <c r="H194" s="8" t="s">
        <v>88</v>
      </c>
      <c r="I194" s="3" t="s">
        <v>6</v>
      </c>
      <c r="J194" s="1">
        <v>0.35416666666666669</v>
      </c>
      <c r="K194" s="1">
        <v>0.5</v>
      </c>
      <c r="L194">
        <v>0.12317</v>
      </c>
      <c r="M194">
        <v>0</v>
      </c>
      <c r="N194">
        <v>0</v>
      </c>
      <c r="O194" s="3">
        <f t="shared" ref="O194:O200" si="13">23.65503*30</f>
        <v>709.65089999999998</v>
      </c>
      <c r="P194" s="18"/>
      <c r="Q194" s="18"/>
      <c r="R194" s="18"/>
      <c r="S194" s="18"/>
      <c r="T194" s="18"/>
      <c r="U194" s="18"/>
      <c r="V194" s="18"/>
      <c r="W194" s="18"/>
    </row>
    <row r="195" spans="1:23" x14ac:dyDescent="0.2">
      <c r="A195">
        <f t="shared" si="7"/>
        <v>194</v>
      </c>
      <c r="B195" s="13">
        <v>43831</v>
      </c>
      <c r="C195" s="7"/>
      <c r="D195" s="7" t="s">
        <v>107</v>
      </c>
      <c r="E195" s="7" t="s">
        <v>104</v>
      </c>
      <c r="F195" s="7">
        <v>500</v>
      </c>
      <c r="G195" s="7" t="s">
        <v>20</v>
      </c>
      <c r="H195" s="8" t="s">
        <v>88</v>
      </c>
      <c r="I195" s="3" t="s">
        <v>6</v>
      </c>
      <c r="J195" s="1">
        <v>0.75</v>
      </c>
      <c r="K195" s="1">
        <v>0.89583333333333337</v>
      </c>
      <c r="L195">
        <v>0.12317</v>
      </c>
      <c r="M195">
        <v>0</v>
      </c>
      <c r="N195">
        <v>0</v>
      </c>
      <c r="O195" s="3">
        <f t="shared" si="13"/>
        <v>709.65089999999998</v>
      </c>
      <c r="P195" s="18"/>
      <c r="Q195" s="18"/>
      <c r="R195" s="18"/>
      <c r="S195" s="18"/>
      <c r="T195" s="18"/>
      <c r="U195" s="18"/>
      <c r="V195" s="18"/>
      <c r="W195" s="18"/>
    </row>
    <row r="196" spans="1:23" x14ac:dyDescent="0.2">
      <c r="A196">
        <f t="shared" ref="A196:A259" si="14">A195+1</f>
        <v>195</v>
      </c>
      <c r="B196" s="13">
        <v>43831</v>
      </c>
      <c r="C196" s="7"/>
      <c r="D196" s="7" t="s">
        <v>107</v>
      </c>
      <c r="E196" s="7" t="s">
        <v>104</v>
      </c>
      <c r="F196" s="7">
        <v>500</v>
      </c>
      <c r="G196" s="7" t="s">
        <v>20</v>
      </c>
      <c r="H196" s="8" t="s">
        <v>85</v>
      </c>
      <c r="I196" s="3" t="s">
        <v>6</v>
      </c>
      <c r="J196" s="1">
        <v>0.89583333333333337</v>
      </c>
      <c r="K196" s="1">
        <v>0.35416666666666669</v>
      </c>
      <c r="L196">
        <v>9.1579999999999995E-2</v>
      </c>
      <c r="M196">
        <v>0</v>
      </c>
      <c r="N196">
        <v>0</v>
      </c>
      <c r="O196" s="3">
        <f t="shared" si="13"/>
        <v>709.65089999999998</v>
      </c>
      <c r="P196" s="18"/>
      <c r="Q196" s="18"/>
      <c r="R196" s="18"/>
      <c r="S196" s="18"/>
      <c r="T196" s="18"/>
      <c r="U196" s="18"/>
      <c r="V196" s="18"/>
      <c r="W196" s="18"/>
    </row>
    <row r="197" spans="1:23" x14ac:dyDescent="0.2">
      <c r="A197">
        <f t="shared" si="14"/>
        <v>196</v>
      </c>
      <c r="B197" s="13">
        <v>43831</v>
      </c>
      <c r="C197" s="7"/>
      <c r="D197" s="7" t="s">
        <v>107</v>
      </c>
      <c r="E197" s="7" t="s">
        <v>104</v>
      </c>
      <c r="F197" s="7">
        <v>500</v>
      </c>
      <c r="G197" s="7" t="s">
        <v>20</v>
      </c>
      <c r="H197" s="8" t="s">
        <v>85</v>
      </c>
      <c r="I197" s="3" t="s">
        <v>7</v>
      </c>
      <c r="J197" s="1">
        <v>0</v>
      </c>
      <c r="K197" s="1">
        <v>0</v>
      </c>
      <c r="L197">
        <v>9.1579999999999995E-2</v>
      </c>
      <c r="M197">
        <v>0</v>
      </c>
      <c r="N197">
        <v>0</v>
      </c>
      <c r="O197" s="3">
        <f t="shared" si="13"/>
        <v>709.65089999999998</v>
      </c>
      <c r="P197" s="18"/>
      <c r="Q197" s="18"/>
      <c r="R197" s="18"/>
      <c r="S197" s="18"/>
      <c r="T197" s="18"/>
      <c r="U197" s="18"/>
      <c r="V197" s="18"/>
      <c r="W197" s="18"/>
    </row>
    <row r="198" spans="1:23" x14ac:dyDescent="0.2">
      <c r="A198">
        <f t="shared" si="14"/>
        <v>197</v>
      </c>
      <c r="B198" s="13">
        <v>43831</v>
      </c>
      <c r="C198" s="7"/>
      <c r="D198" s="7" t="s">
        <v>107</v>
      </c>
      <c r="E198" s="7" t="s">
        <v>104</v>
      </c>
      <c r="F198" s="7">
        <v>500</v>
      </c>
      <c r="G198" s="7" t="s">
        <v>22</v>
      </c>
      <c r="H198" s="8" t="s">
        <v>88</v>
      </c>
      <c r="I198" s="3" t="s">
        <v>6</v>
      </c>
      <c r="J198" s="1">
        <v>0.35416666666666669</v>
      </c>
      <c r="K198" s="1">
        <v>0.89583333333333337</v>
      </c>
      <c r="L198">
        <v>0.11663999999999999</v>
      </c>
      <c r="M198">
        <v>0</v>
      </c>
      <c r="N198">
        <v>0</v>
      </c>
      <c r="O198" s="3">
        <f t="shared" si="13"/>
        <v>709.65089999999998</v>
      </c>
      <c r="P198" s="18"/>
      <c r="Q198" s="18"/>
      <c r="R198" s="18"/>
      <c r="S198" s="18"/>
      <c r="T198" s="18"/>
      <c r="U198" s="18"/>
      <c r="V198" s="18"/>
      <c r="W198" s="18"/>
    </row>
    <row r="199" spans="1:23" x14ac:dyDescent="0.2">
      <c r="A199">
        <f t="shared" si="14"/>
        <v>198</v>
      </c>
      <c r="B199" s="13">
        <v>43831</v>
      </c>
      <c r="C199" s="7"/>
      <c r="D199" s="7" t="s">
        <v>107</v>
      </c>
      <c r="E199" s="7" t="s">
        <v>104</v>
      </c>
      <c r="F199" s="7">
        <v>500</v>
      </c>
      <c r="G199" s="7" t="s">
        <v>22</v>
      </c>
      <c r="H199" s="8" t="s">
        <v>85</v>
      </c>
      <c r="I199" s="3" t="s">
        <v>6</v>
      </c>
      <c r="J199" s="1">
        <v>0.89583333333333337</v>
      </c>
      <c r="K199" s="1">
        <v>0.35416666666666669</v>
      </c>
      <c r="L199">
        <v>9.9419999999999994E-2</v>
      </c>
      <c r="M199">
        <v>0</v>
      </c>
      <c r="N199">
        <v>0</v>
      </c>
      <c r="O199" s="3">
        <f t="shared" si="13"/>
        <v>709.65089999999998</v>
      </c>
      <c r="P199" s="18"/>
      <c r="Q199" s="18"/>
      <c r="R199" s="18"/>
      <c r="S199" s="18"/>
      <c r="T199" s="18"/>
      <c r="U199" s="18"/>
      <c r="V199" s="18"/>
      <c r="W199" s="18"/>
    </row>
    <row r="200" spans="1:23" x14ac:dyDescent="0.2">
      <c r="A200">
        <f t="shared" si="14"/>
        <v>199</v>
      </c>
      <c r="B200" s="13">
        <v>43831</v>
      </c>
      <c r="C200" s="7"/>
      <c r="D200" s="7" t="s">
        <v>107</v>
      </c>
      <c r="E200" s="7" t="s">
        <v>104</v>
      </c>
      <c r="F200" s="7">
        <v>500</v>
      </c>
      <c r="G200" s="7" t="s">
        <v>22</v>
      </c>
      <c r="H200" s="8" t="s">
        <v>85</v>
      </c>
      <c r="I200" s="3" t="s">
        <v>7</v>
      </c>
      <c r="J200" s="1">
        <v>0</v>
      </c>
      <c r="K200" s="1">
        <v>0</v>
      </c>
      <c r="L200">
        <v>9.9419999999999994E-2</v>
      </c>
      <c r="M200">
        <v>0</v>
      </c>
      <c r="N200">
        <v>0</v>
      </c>
      <c r="O200" s="3">
        <f t="shared" si="13"/>
        <v>709.65089999999998</v>
      </c>
      <c r="P200" s="18"/>
      <c r="Q200" s="18"/>
      <c r="R200" s="18"/>
      <c r="S200" s="18"/>
      <c r="T200" s="18"/>
      <c r="U200" s="18"/>
      <c r="V200" s="18"/>
      <c r="W200" s="18"/>
    </row>
    <row r="201" spans="1:23" x14ac:dyDescent="0.2">
      <c r="A201">
        <f t="shared" si="14"/>
        <v>200</v>
      </c>
      <c r="B201" s="13">
        <v>43831</v>
      </c>
      <c r="C201" s="7"/>
      <c r="D201" s="7" t="s">
        <v>107</v>
      </c>
      <c r="E201" s="7" t="s">
        <v>105</v>
      </c>
      <c r="F201" s="7">
        <v>1000</v>
      </c>
      <c r="G201" s="7" t="s">
        <v>20</v>
      </c>
      <c r="H201" s="8" t="s">
        <v>87</v>
      </c>
      <c r="I201" s="3" t="s">
        <v>6</v>
      </c>
      <c r="J201" s="1">
        <v>0.5</v>
      </c>
      <c r="K201" s="1">
        <v>0.75</v>
      </c>
      <c r="L201">
        <v>0.16009999999999999</v>
      </c>
      <c r="M201">
        <v>0</v>
      </c>
      <c r="N201">
        <v>0</v>
      </c>
      <c r="O201">
        <v>0</v>
      </c>
      <c r="P201" s="18"/>
      <c r="Q201" s="18"/>
      <c r="R201" s="18"/>
      <c r="S201" s="18"/>
      <c r="T201" s="18"/>
      <c r="U201" s="18"/>
      <c r="V201" s="18"/>
      <c r="W201" s="18"/>
    </row>
    <row r="202" spans="1:23" x14ac:dyDescent="0.2">
      <c r="A202">
        <f t="shared" si="14"/>
        <v>201</v>
      </c>
      <c r="B202" s="13">
        <v>43831</v>
      </c>
      <c r="C202" s="7"/>
      <c r="D202" s="7" t="s">
        <v>107</v>
      </c>
      <c r="E202" s="7" t="s">
        <v>105</v>
      </c>
      <c r="F202" s="7">
        <v>1000</v>
      </c>
      <c r="G202" s="7" t="s">
        <v>20</v>
      </c>
      <c r="H202" s="8" t="s">
        <v>88</v>
      </c>
      <c r="I202" s="3" t="s">
        <v>6</v>
      </c>
      <c r="J202" s="1">
        <v>0.35416666666666669</v>
      </c>
      <c r="K202" s="1">
        <v>0.5</v>
      </c>
      <c r="L202">
        <v>0.11667</v>
      </c>
      <c r="M202">
        <v>0</v>
      </c>
      <c r="N202">
        <v>0</v>
      </c>
      <c r="O202">
        <v>0</v>
      </c>
      <c r="P202" s="18"/>
      <c r="Q202" s="18"/>
      <c r="R202" s="18"/>
      <c r="S202" s="18"/>
      <c r="T202" s="18"/>
      <c r="U202" s="18"/>
      <c r="V202" s="18"/>
      <c r="W202" s="18"/>
    </row>
    <row r="203" spans="1:23" x14ac:dyDescent="0.2">
      <c r="A203">
        <f t="shared" si="14"/>
        <v>202</v>
      </c>
      <c r="B203" s="13">
        <v>43831</v>
      </c>
      <c r="C203" s="7"/>
      <c r="D203" s="7" t="s">
        <v>107</v>
      </c>
      <c r="E203" s="7" t="s">
        <v>105</v>
      </c>
      <c r="F203" s="7">
        <v>1000</v>
      </c>
      <c r="G203" s="7" t="s">
        <v>20</v>
      </c>
      <c r="H203" s="8" t="s">
        <v>88</v>
      </c>
      <c r="I203" s="3" t="s">
        <v>6</v>
      </c>
      <c r="J203" s="1">
        <v>0.75</v>
      </c>
      <c r="K203" s="1">
        <v>0.89583333333333337</v>
      </c>
      <c r="L203">
        <v>0.11667</v>
      </c>
      <c r="M203">
        <v>0</v>
      </c>
      <c r="N203">
        <v>0</v>
      </c>
      <c r="O203">
        <v>0</v>
      </c>
      <c r="P203" s="18"/>
      <c r="Q203" s="18"/>
      <c r="R203" s="18"/>
      <c r="S203" s="18"/>
      <c r="T203" s="18"/>
      <c r="U203" s="18"/>
      <c r="V203" s="18"/>
      <c r="W203" s="18"/>
    </row>
    <row r="204" spans="1:23" x14ac:dyDescent="0.2">
      <c r="A204">
        <f t="shared" si="14"/>
        <v>203</v>
      </c>
      <c r="B204" s="13">
        <v>43831</v>
      </c>
      <c r="C204" s="7"/>
      <c r="D204" s="7" t="s">
        <v>107</v>
      </c>
      <c r="E204" s="7" t="s">
        <v>105</v>
      </c>
      <c r="F204" s="7">
        <v>1000</v>
      </c>
      <c r="G204" s="7" t="s">
        <v>20</v>
      </c>
      <c r="H204" s="8" t="s">
        <v>85</v>
      </c>
      <c r="I204" s="3" t="s">
        <v>6</v>
      </c>
      <c r="J204" s="1">
        <v>0.89583333333333337</v>
      </c>
      <c r="K204" s="1">
        <v>0.35416666666666669</v>
      </c>
      <c r="L204">
        <v>8.6840000000000001E-2</v>
      </c>
      <c r="M204">
        <v>0</v>
      </c>
      <c r="N204">
        <v>0</v>
      </c>
      <c r="O204">
        <v>0</v>
      </c>
      <c r="P204" s="18"/>
      <c r="Q204" s="18"/>
      <c r="R204" s="18"/>
      <c r="S204" s="18"/>
      <c r="T204" s="18"/>
      <c r="U204" s="18"/>
      <c r="V204" s="18"/>
      <c r="W204" s="18"/>
    </row>
    <row r="205" spans="1:23" x14ac:dyDescent="0.2">
      <c r="A205">
        <f t="shared" si="14"/>
        <v>204</v>
      </c>
      <c r="B205" s="13">
        <v>43831</v>
      </c>
      <c r="C205" s="7"/>
      <c r="D205" s="7" t="s">
        <v>107</v>
      </c>
      <c r="E205" s="7" t="s">
        <v>105</v>
      </c>
      <c r="F205" s="7">
        <v>1000</v>
      </c>
      <c r="G205" s="7" t="s">
        <v>20</v>
      </c>
      <c r="H205" s="8" t="s">
        <v>85</v>
      </c>
      <c r="I205" s="3" t="s">
        <v>7</v>
      </c>
      <c r="J205" s="1">
        <v>0</v>
      </c>
      <c r="K205" s="1">
        <v>0</v>
      </c>
      <c r="L205">
        <v>8.6840000000000001E-2</v>
      </c>
      <c r="M205">
        <v>0</v>
      </c>
      <c r="N205">
        <v>0</v>
      </c>
      <c r="O205">
        <v>0</v>
      </c>
      <c r="P205" s="18"/>
      <c r="Q205" s="18"/>
      <c r="R205" s="18"/>
      <c r="S205" s="18"/>
      <c r="T205" s="18"/>
      <c r="U205" s="18"/>
      <c r="V205" s="18"/>
      <c r="W205" s="18"/>
    </row>
    <row r="206" spans="1:23" x14ac:dyDescent="0.2">
      <c r="A206">
        <f t="shared" si="14"/>
        <v>205</v>
      </c>
      <c r="B206" s="13">
        <v>43831</v>
      </c>
      <c r="C206" s="7"/>
      <c r="D206" s="7" t="s">
        <v>107</v>
      </c>
      <c r="E206" s="7" t="s">
        <v>105</v>
      </c>
      <c r="F206" s="7">
        <v>1000</v>
      </c>
      <c r="G206" s="7" t="s">
        <v>22</v>
      </c>
      <c r="H206" s="8" t="s">
        <v>88</v>
      </c>
      <c r="I206" s="3" t="s">
        <v>6</v>
      </c>
      <c r="J206" s="1">
        <v>0.35416666666666669</v>
      </c>
      <c r="K206" s="1">
        <v>0.89583333333333337</v>
      </c>
      <c r="L206">
        <v>0.11035</v>
      </c>
      <c r="M206">
        <v>0</v>
      </c>
      <c r="N206">
        <v>0</v>
      </c>
      <c r="O206">
        <v>0</v>
      </c>
      <c r="P206" s="18"/>
      <c r="Q206" s="18"/>
      <c r="R206" s="18"/>
      <c r="S206" s="18"/>
      <c r="T206" s="18"/>
      <c r="U206" s="18"/>
      <c r="V206" s="18"/>
      <c r="W206" s="18"/>
    </row>
    <row r="207" spans="1:23" x14ac:dyDescent="0.2">
      <c r="A207">
        <f t="shared" si="14"/>
        <v>206</v>
      </c>
      <c r="B207" s="13">
        <v>43831</v>
      </c>
      <c r="C207" s="7"/>
      <c r="D207" s="7" t="s">
        <v>107</v>
      </c>
      <c r="E207" s="7" t="s">
        <v>105</v>
      </c>
      <c r="F207" s="7">
        <v>1000</v>
      </c>
      <c r="G207" s="7" t="s">
        <v>22</v>
      </c>
      <c r="H207" s="8" t="s">
        <v>85</v>
      </c>
      <c r="I207" s="3" t="s">
        <v>6</v>
      </c>
      <c r="J207" s="1">
        <v>0.89583333333333337</v>
      </c>
      <c r="K207" s="1">
        <v>0.35416666666666669</v>
      </c>
      <c r="L207">
        <v>9.4200000000000006E-2</v>
      </c>
      <c r="M207">
        <v>0</v>
      </c>
      <c r="N207">
        <v>0</v>
      </c>
      <c r="O207">
        <v>0</v>
      </c>
      <c r="P207" s="18"/>
      <c r="Q207" s="18"/>
      <c r="R207" s="18"/>
      <c r="S207" s="18"/>
      <c r="T207" s="18"/>
      <c r="U207" s="18"/>
      <c r="V207" s="18"/>
      <c r="W207" s="18"/>
    </row>
    <row r="208" spans="1:23" x14ac:dyDescent="0.2">
      <c r="A208">
        <f t="shared" si="14"/>
        <v>207</v>
      </c>
      <c r="B208" s="13">
        <v>43831</v>
      </c>
      <c r="C208" s="7"/>
      <c r="D208" s="7" t="s">
        <v>107</v>
      </c>
      <c r="E208" s="7" t="s">
        <v>105</v>
      </c>
      <c r="F208" s="7">
        <v>1000</v>
      </c>
      <c r="G208" s="7" t="s">
        <v>22</v>
      </c>
      <c r="H208" s="8" t="s">
        <v>85</v>
      </c>
      <c r="I208" s="3" t="s">
        <v>7</v>
      </c>
      <c r="J208" s="1">
        <v>0</v>
      </c>
      <c r="K208" s="1">
        <v>0</v>
      </c>
      <c r="L208">
        <v>9.4200000000000006E-2</v>
      </c>
      <c r="M208">
        <v>0</v>
      </c>
      <c r="N208">
        <v>0</v>
      </c>
      <c r="O208">
        <v>0</v>
      </c>
      <c r="P208" s="18"/>
      <c r="Q208" s="18"/>
      <c r="R208" s="18"/>
      <c r="S208" s="18"/>
      <c r="T208" s="18"/>
      <c r="U208" s="18"/>
      <c r="V208" s="18"/>
      <c r="W208" s="18"/>
    </row>
    <row r="209" spans="1:24" x14ac:dyDescent="0.2">
      <c r="A209">
        <f>A208+1</f>
        <v>208</v>
      </c>
      <c r="B209" s="27">
        <v>43831</v>
      </c>
      <c r="D209" s="7" t="s">
        <v>108</v>
      </c>
      <c r="E209">
        <v>281</v>
      </c>
      <c r="F209" s="7">
        <v>7</v>
      </c>
      <c r="G209" s="7" t="s">
        <v>20</v>
      </c>
      <c r="H209" s="10" t="s">
        <v>31</v>
      </c>
      <c r="I209" s="7" t="s">
        <v>11</v>
      </c>
      <c r="J209" s="12">
        <v>0.99930555555555556</v>
      </c>
      <c r="K209" s="12">
        <v>0.99930555555555556</v>
      </c>
      <c r="L209">
        <v>2.9000000000000001E-2</v>
      </c>
      <c r="M209">
        <v>16.920000000000002</v>
      </c>
      <c r="O209">
        <f>2.22*30</f>
        <v>66.600000000000009</v>
      </c>
      <c r="X209" t="s">
        <v>111</v>
      </c>
    </row>
    <row r="210" spans="1:24" ht="17" customHeight="1" x14ac:dyDescent="0.2">
      <c r="A210">
        <f t="shared" si="14"/>
        <v>209</v>
      </c>
      <c r="B210" s="27">
        <v>43831</v>
      </c>
      <c r="D210" s="7" t="s">
        <v>108</v>
      </c>
      <c r="E210">
        <v>281</v>
      </c>
      <c r="F210" s="7">
        <v>7</v>
      </c>
      <c r="G210" s="7" t="s">
        <v>22</v>
      </c>
      <c r="H210" s="10" t="s">
        <v>31</v>
      </c>
      <c r="I210" s="7" t="s">
        <v>11</v>
      </c>
      <c r="J210" s="12">
        <v>0</v>
      </c>
      <c r="K210" s="12">
        <v>0</v>
      </c>
      <c r="L210">
        <v>1.17E-2</v>
      </c>
      <c r="M210">
        <v>15.51</v>
      </c>
      <c r="O210">
        <f>2.22*30</f>
        <v>66.600000000000009</v>
      </c>
      <c r="X210" t="s">
        <v>112</v>
      </c>
    </row>
    <row r="211" spans="1:24" x14ac:dyDescent="0.2">
      <c r="A211">
        <f t="shared" si="14"/>
        <v>210</v>
      </c>
      <c r="B211" s="27">
        <v>43831</v>
      </c>
      <c r="D211" s="7" t="s">
        <v>108</v>
      </c>
      <c r="E211">
        <v>285</v>
      </c>
      <c r="F211" s="7">
        <v>146</v>
      </c>
      <c r="G211" s="7" t="s">
        <v>20</v>
      </c>
      <c r="H211" s="8" t="s">
        <v>87</v>
      </c>
      <c r="I211" s="8" t="s">
        <v>110</v>
      </c>
      <c r="J211" s="1">
        <v>0.41666666666666669</v>
      </c>
      <c r="K211" s="1">
        <v>0.91666666666666663</v>
      </c>
      <c r="L211">
        <v>3.7600000000000001E-2</v>
      </c>
      <c r="M211">
        <v>28.38</v>
      </c>
      <c r="N211" s="7"/>
      <c r="O211">
        <f>(9.93+2.9)*30</f>
        <v>384.9</v>
      </c>
      <c r="X211" s="36" t="s">
        <v>113</v>
      </c>
    </row>
    <row r="212" spans="1:24" ht="19" customHeight="1" x14ac:dyDescent="0.2">
      <c r="A212">
        <f t="shared" si="14"/>
        <v>211</v>
      </c>
      <c r="B212" s="27">
        <v>43831</v>
      </c>
      <c r="D212" s="7" t="s">
        <v>108</v>
      </c>
      <c r="E212">
        <v>285</v>
      </c>
      <c r="F212" s="7">
        <v>146</v>
      </c>
      <c r="G212" s="7" t="s">
        <v>20</v>
      </c>
      <c r="H212" s="8" t="s">
        <v>109</v>
      </c>
      <c r="I212" s="8" t="s">
        <v>110</v>
      </c>
      <c r="J212" s="1">
        <v>0.91666666666666663</v>
      </c>
      <c r="K212" s="1">
        <v>0.99930555555555556</v>
      </c>
      <c r="L212">
        <v>2.4E-2</v>
      </c>
      <c r="M212">
        <v>6.75</v>
      </c>
      <c r="N212" s="7"/>
      <c r="O212">
        <f t="shared" ref="O212:O217" si="15">(9.93+2.9)*30</f>
        <v>384.9</v>
      </c>
      <c r="X212" s="36"/>
    </row>
    <row r="213" spans="1:24" ht="19" customHeight="1" x14ac:dyDescent="0.2">
      <c r="A213">
        <f t="shared" si="14"/>
        <v>212</v>
      </c>
      <c r="B213" s="27">
        <v>43831</v>
      </c>
      <c r="D213" s="7" t="s">
        <v>108</v>
      </c>
      <c r="E213">
        <v>285</v>
      </c>
      <c r="F213" s="7">
        <v>146</v>
      </c>
      <c r="G213" s="7" t="s">
        <v>20</v>
      </c>
      <c r="H213" s="8" t="s">
        <v>109</v>
      </c>
      <c r="I213" s="8" t="s">
        <v>110</v>
      </c>
      <c r="J213" s="1">
        <v>0.29166666666666669</v>
      </c>
      <c r="K213" s="1">
        <v>0.41666666666666669</v>
      </c>
      <c r="L213">
        <v>2.4E-2</v>
      </c>
      <c r="M213">
        <v>6.75</v>
      </c>
      <c r="N213" s="7"/>
      <c r="O213">
        <f t="shared" si="15"/>
        <v>384.9</v>
      </c>
      <c r="X213" s="36"/>
    </row>
    <row r="214" spans="1:24" ht="17" customHeight="1" x14ac:dyDescent="0.2">
      <c r="A214">
        <f t="shared" si="14"/>
        <v>213</v>
      </c>
      <c r="B214" s="27">
        <v>43831</v>
      </c>
      <c r="D214" s="7" t="s">
        <v>108</v>
      </c>
      <c r="E214">
        <v>285</v>
      </c>
      <c r="F214" s="7">
        <v>146</v>
      </c>
      <c r="G214" s="7" t="s">
        <v>20</v>
      </c>
      <c r="H214" s="8" t="s">
        <v>109</v>
      </c>
      <c r="I214" t="s">
        <v>114</v>
      </c>
      <c r="J214" s="1">
        <v>0.29166666666666669</v>
      </c>
      <c r="K214" s="1">
        <v>0</v>
      </c>
      <c r="L214">
        <v>2.4E-2</v>
      </c>
      <c r="M214">
        <v>6.75</v>
      </c>
      <c r="N214" s="7"/>
      <c r="O214">
        <f t="shared" si="15"/>
        <v>384.9</v>
      </c>
      <c r="X214" s="36"/>
    </row>
    <row r="215" spans="1:24" x14ac:dyDescent="0.2">
      <c r="A215">
        <f t="shared" si="14"/>
        <v>214</v>
      </c>
      <c r="B215" s="27">
        <v>43831</v>
      </c>
      <c r="D215" s="7" t="s">
        <v>108</v>
      </c>
      <c r="E215">
        <v>285</v>
      </c>
      <c r="F215" s="7">
        <v>146</v>
      </c>
      <c r="G215" s="7" t="s">
        <v>20</v>
      </c>
      <c r="H215" s="8" t="s">
        <v>85</v>
      </c>
      <c r="I215" s="8" t="s">
        <v>11</v>
      </c>
      <c r="J215" s="1">
        <v>0.99930555555555556</v>
      </c>
      <c r="K215" s="1">
        <v>0.29166666666666669</v>
      </c>
      <c r="L215">
        <v>5.7999999999999996E-3</v>
      </c>
      <c r="M215">
        <v>0</v>
      </c>
      <c r="N215" s="7"/>
      <c r="O215">
        <f t="shared" si="15"/>
        <v>384.9</v>
      </c>
      <c r="X215" s="36"/>
    </row>
    <row r="216" spans="1:24" ht="17" customHeight="1" x14ac:dyDescent="0.2">
      <c r="A216">
        <f t="shared" si="14"/>
        <v>215</v>
      </c>
      <c r="B216" s="27">
        <v>43831</v>
      </c>
      <c r="D216" s="7" t="s">
        <v>108</v>
      </c>
      <c r="E216">
        <v>285</v>
      </c>
      <c r="F216" s="7">
        <v>146</v>
      </c>
      <c r="G216" s="7" t="s">
        <v>22</v>
      </c>
      <c r="H216" s="8" t="s">
        <v>109</v>
      </c>
      <c r="I216" s="8" t="s">
        <v>11</v>
      </c>
      <c r="J216" s="1">
        <v>0.29166666666666669</v>
      </c>
      <c r="K216" s="1">
        <v>0.99930555555555556</v>
      </c>
      <c r="L216">
        <v>2.4E-2</v>
      </c>
      <c r="M216">
        <v>6.75</v>
      </c>
      <c r="N216" s="7"/>
      <c r="O216">
        <f t="shared" si="15"/>
        <v>384.9</v>
      </c>
      <c r="X216" s="36"/>
    </row>
    <row r="217" spans="1:24" x14ac:dyDescent="0.2">
      <c r="A217">
        <f t="shared" si="14"/>
        <v>216</v>
      </c>
      <c r="B217" s="27">
        <v>43831</v>
      </c>
      <c r="D217" s="7" t="s">
        <v>108</v>
      </c>
      <c r="E217">
        <v>285</v>
      </c>
      <c r="F217" s="7">
        <v>146</v>
      </c>
      <c r="G217" s="7" t="s">
        <v>22</v>
      </c>
      <c r="H217" s="8" t="s">
        <v>85</v>
      </c>
      <c r="I217" s="8" t="s">
        <v>11</v>
      </c>
      <c r="J217" s="1">
        <v>0.99930555555555556</v>
      </c>
      <c r="K217" s="1">
        <v>0.29166666666666669</v>
      </c>
      <c r="L217">
        <v>5.7999999999999996E-3</v>
      </c>
      <c r="M217">
        <v>0</v>
      </c>
      <c r="N217" s="7"/>
      <c r="O217">
        <f t="shared" si="15"/>
        <v>384.9</v>
      </c>
      <c r="X217" s="36"/>
    </row>
    <row r="218" spans="1:24" x14ac:dyDescent="0.2">
      <c r="A218">
        <f t="shared" si="14"/>
        <v>217</v>
      </c>
      <c r="B218" s="27">
        <v>43831</v>
      </c>
      <c r="D218" s="7" t="s">
        <v>108</v>
      </c>
      <c r="E218">
        <v>282</v>
      </c>
      <c r="F218" s="7">
        <v>7</v>
      </c>
      <c r="G218" s="7" t="s">
        <v>20</v>
      </c>
      <c r="H218" s="8" t="s">
        <v>87</v>
      </c>
      <c r="I218" s="8" t="s">
        <v>6</v>
      </c>
      <c r="J218" s="1">
        <v>0.5</v>
      </c>
      <c r="K218" s="1">
        <v>0.83333333333333337</v>
      </c>
      <c r="L218">
        <v>2.5100000000000001E-2</v>
      </c>
      <c r="M218">
        <v>57.51</v>
      </c>
      <c r="O218">
        <f>(1.83+0.29)*30</f>
        <v>63.6</v>
      </c>
      <c r="X218" s="36" t="s">
        <v>113</v>
      </c>
    </row>
    <row r="219" spans="1:24" x14ac:dyDescent="0.2">
      <c r="A219">
        <f t="shared" si="14"/>
        <v>218</v>
      </c>
      <c r="B219" s="27">
        <v>43831</v>
      </c>
      <c r="D219" s="7" t="s">
        <v>108</v>
      </c>
      <c r="E219">
        <v>282</v>
      </c>
      <c r="F219" s="7">
        <v>7</v>
      </c>
      <c r="G219" s="7" t="s">
        <v>20</v>
      </c>
      <c r="H219" s="8" t="s">
        <v>109</v>
      </c>
      <c r="I219" s="8" t="s">
        <v>6</v>
      </c>
      <c r="J219" s="1">
        <v>0.83333333333333337</v>
      </c>
      <c r="K219" s="1">
        <v>0.95833333333333337</v>
      </c>
      <c r="L219">
        <v>2.1000000000000001E-2</v>
      </c>
      <c r="M219">
        <v>4.93</v>
      </c>
      <c r="O219">
        <f t="shared" ref="O219:O224" si="16">(1.83+0.29)*30</f>
        <v>63.6</v>
      </c>
      <c r="X219" s="36"/>
    </row>
    <row r="220" spans="1:24" x14ac:dyDescent="0.2">
      <c r="A220">
        <f t="shared" si="14"/>
        <v>219</v>
      </c>
      <c r="B220" s="27">
        <v>43831</v>
      </c>
      <c r="D220" s="7" t="s">
        <v>108</v>
      </c>
      <c r="E220">
        <v>282</v>
      </c>
      <c r="F220" s="7">
        <v>7</v>
      </c>
      <c r="G220" s="7" t="s">
        <v>20</v>
      </c>
      <c r="H220" s="8" t="s">
        <v>109</v>
      </c>
      <c r="I220" t="s">
        <v>6</v>
      </c>
      <c r="J220" s="1">
        <v>0.29166666666666669</v>
      </c>
      <c r="K220" s="1">
        <v>0.5</v>
      </c>
      <c r="L220">
        <v>2.1000000000000001E-2</v>
      </c>
      <c r="M220">
        <v>4.93</v>
      </c>
      <c r="O220">
        <f t="shared" si="16"/>
        <v>63.6</v>
      </c>
      <c r="X220" s="36"/>
    </row>
    <row r="221" spans="1:24" x14ac:dyDescent="0.2">
      <c r="A221">
        <f t="shared" si="14"/>
        <v>220</v>
      </c>
      <c r="B221" s="27">
        <v>43831</v>
      </c>
      <c r="D221" s="7" t="s">
        <v>108</v>
      </c>
      <c r="E221">
        <v>282</v>
      </c>
      <c r="F221" s="7">
        <v>7</v>
      </c>
      <c r="G221" s="7" t="s">
        <v>20</v>
      </c>
      <c r="H221" s="8" t="s">
        <v>109</v>
      </c>
      <c r="I221" s="8" t="s">
        <v>7</v>
      </c>
      <c r="J221" s="1">
        <v>0.29166666666666669</v>
      </c>
      <c r="K221" s="1">
        <v>0.95833333333333337</v>
      </c>
      <c r="L221">
        <v>2.1000000000000001E-2</v>
      </c>
      <c r="M221">
        <v>4.93</v>
      </c>
      <c r="O221">
        <f t="shared" si="16"/>
        <v>63.6</v>
      </c>
      <c r="X221" s="36"/>
    </row>
    <row r="222" spans="1:24" x14ac:dyDescent="0.2">
      <c r="A222">
        <f t="shared" si="14"/>
        <v>221</v>
      </c>
      <c r="B222" s="27">
        <v>43831</v>
      </c>
      <c r="D222" s="7" t="s">
        <v>108</v>
      </c>
      <c r="E222">
        <v>282</v>
      </c>
      <c r="F222" s="7">
        <v>7</v>
      </c>
      <c r="G222" s="7" t="s">
        <v>20</v>
      </c>
      <c r="H222" s="8" t="s">
        <v>85</v>
      </c>
      <c r="I222" s="8" t="s">
        <v>11</v>
      </c>
      <c r="J222" s="1">
        <v>0.95833333333333337</v>
      </c>
      <c r="K222" s="1">
        <v>0.29166666666666669</v>
      </c>
      <c r="L222">
        <v>3.5000000000000001E-3</v>
      </c>
      <c r="M222">
        <v>0</v>
      </c>
      <c r="O222">
        <f t="shared" si="16"/>
        <v>63.6</v>
      </c>
      <c r="X222" s="36"/>
    </row>
    <row r="223" spans="1:24" x14ac:dyDescent="0.2">
      <c r="A223">
        <f t="shared" si="14"/>
        <v>222</v>
      </c>
      <c r="B223" s="27">
        <v>43831</v>
      </c>
      <c r="D223" s="7" t="s">
        <v>108</v>
      </c>
      <c r="E223">
        <v>282</v>
      </c>
      <c r="F223" s="7">
        <v>7</v>
      </c>
      <c r="G223" s="7" t="s">
        <v>22</v>
      </c>
      <c r="H223" s="8" t="s">
        <v>109</v>
      </c>
      <c r="I223" s="8" t="s">
        <v>11</v>
      </c>
      <c r="J223" s="1">
        <v>0.29166666666666669</v>
      </c>
      <c r="K223" s="1">
        <v>0.95833333333333337</v>
      </c>
      <c r="L223">
        <v>2.1000000000000001E-2</v>
      </c>
      <c r="M223">
        <v>4.93</v>
      </c>
      <c r="O223">
        <f t="shared" si="16"/>
        <v>63.6</v>
      </c>
      <c r="X223" s="36"/>
    </row>
    <row r="224" spans="1:24" x14ac:dyDescent="0.2">
      <c r="A224">
        <f t="shared" si="14"/>
        <v>223</v>
      </c>
      <c r="B224" s="27">
        <v>43831</v>
      </c>
      <c r="D224" s="7" t="s">
        <v>108</v>
      </c>
      <c r="E224">
        <v>282</v>
      </c>
      <c r="F224" s="7">
        <v>7</v>
      </c>
      <c r="G224" s="7" t="s">
        <v>22</v>
      </c>
      <c r="H224" s="8" t="s">
        <v>85</v>
      </c>
      <c r="I224" s="8" t="s">
        <v>11</v>
      </c>
      <c r="J224" s="1">
        <v>0.95833333333333337</v>
      </c>
      <c r="K224" s="1">
        <v>0.29166666666666669</v>
      </c>
      <c r="L224">
        <v>3.5000000000000001E-3</v>
      </c>
      <c r="M224">
        <v>0</v>
      </c>
      <c r="O224">
        <f t="shared" si="16"/>
        <v>63.6</v>
      </c>
      <c r="X224" s="36"/>
    </row>
    <row r="225" spans="1:24" x14ac:dyDescent="0.2">
      <c r="A225">
        <f t="shared" si="14"/>
        <v>224</v>
      </c>
      <c r="B225" s="27">
        <v>43831</v>
      </c>
      <c r="D225" s="7" t="s">
        <v>108</v>
      </c>
      <c r="E225">
        <v>284</v>
      </c>
      <c r="F225" s="7">
        <v>146</v>
      </c>
      <c r="G225" s="7" t="s">
        <v>20</v>
      </c>
      <c r="H225" s="8" t="s">
        <v>87</v>
      </c>
      <c r="I225" s="8" t="s">
        <v>6</v>
      </c>
      <c r="J225" s="1">
        <v>0.5</v>
      </c>
      <c r="K225" s="1">
        <v>0.83333333333333337</v>
      </c>
      <c r="L225">
        <v>3.2099999999999997E-2</v>
      </c>
      <c r="M225">
        <v>54.99</v>
      </c>
      <c r="O225">
        <f>(9.93+2.9)*30</f>
        <v>384.9</v>
      </c>
      <c r="X225" s="36" t="s">
        <v>113</v>
      </c>
    </row>
    <row r="226" spans="1:24" x14ac:dyDescent="0.2">
      <c r="A226">
        <f t="shared" si="14"/>
        <v>225</v>
      </c>
      <c r="B226" s="27">
        <v>43831</v>
      </c>
      <c r="D226" s="7" t="s">
        <v>108</v>
      </c>
      <c r="E226">
        <v>284</v>
      </c>
      <c r="F226" s="7">
        <v>146</v>
      </c>
      <c r="G226" s="7" t="s">
        <v>20</v>
      </c>
      <c r="H226" s="8" t="s">
        <v>109</v>
      </c>
      <c r="I226" s="8" t="s">
        <v>6</v>
      </c>
      <c r="J226" s="1">
        <v>0.83333333333333337</v>
      </c>
      <c r="K226" s="1">
        <v>0.95833333333333337</v>
      </c>
      <c r="L226">
        <v>2.07E-2</v>
      </c>
      <c r="M226">
        <v>5.5</v>
      </c>
      <c r="O226">
        <f t="shared" ref="O226:O231" si="17">(9.93+2.9)*30</f>
        <v>384.9</v>
      </c>
      <c r="X226" s="36"/>
    </row>
    <row r="227" spans="1:24" x14ac:dyDescent="0.2">
      <c r="A227">
        <f t="shared" si="14"/>
        <v>226</v>
      </c>
      <c r="B227" s="27">
        <v>43831</v>
      </c>
      <c r="D227" s="7" t="s">
        <v>108</v>
      </c>
      <c r="E227">
        <v>284</v>
      </c>
      <c r="F227" s="7">
        <v>146</v>
      </c>
      <c r="G227" s="7" t="s">
        <v>20</v>
      </c>
      <c r="H227" s="8" t="s">
        <v>109</v>
      </c>
      <c r="I227" t="s">
        <v>6</v>
      </c>
      <c r="J227" s="1">
        <v>0.29166666666666669</v>
      </c>
      <c r="K227" s="1">
        <v>0.5</v>
      </c>
      <c r="L227">
        <v>2.07E-2</v>
      </c>
      <c r="M227">
        <v>5.5</v>
      </c>
      <c r="O227">
        <f t="shared" si="17"/>
        <v>384.9</v>
      </c>
      <c r="X227" s="36"/>
    </row>
    <row r="228" spans="1:24" x14ac:dyDescent="0.2">
      <c r="A228">
        <f t="shared" si="14"/>
        <v>227</v>
      </c>
      <c r="B228" s="27">
        <v>43831</v>
      </c>
      <c r="D228" s="7" t="s">
        <v>108</v>
      </c>
      <c r="E228">
        <v>284</v>
      </c>
      <c r="F228" s="7">
        <v>146</v>
      </c>
      <c r="G228" s="7" t="s">
        <v>20</v>
      </c>
      <c r="H228" s="8" t="s">
        <v>109</v>
      </c>
      <c r="I228" s="8" t="s">
        <v>7</v>
      </c>
      <c r="J228" s="1">
        <v>0.29166666666666669</v>
      </c>
      <c r="K228" s="1">
        <v>0.95833333333333337</v>
      </c>
      <c r="L228">
        <v>2.07E-2</v>
      </c>
      <c r="M228">
        <v>5.5</v>
      </c>
      <c r="O228">
        <f t="shared" si="17"/>
        <v>384.9</v>
      </c>
      <c r="X228" s="36"/>
    </row>
    <row r="229" spans="1:24" x14ac:dyDescent="0.2">
      <c r="A229">
        <f t="shared" si="14"/>
        <v>228</v>
      </c>
      <c r="B229" s="27">
        <v>43831</v>
      </c>
      <c r="D229" s="7" t="s">
        <v>108</v>
      </c>
      <c r="E229">
        <v>284</v>
      </c>
      <c r="F229" s="7">
        <v>146</v>
      </c>
      <c r="G229" s="7" t="s">
        <v>20</v>
      </c>
      <c r="H229" s="8" t="s">
        <v>85</v>
      </c>
      <c r="I229" s="8" t="s">
        <v>11</v>
      </c>
      <c r="J229" s="1">
        <v>0.95833333333333337</v>
      </c>
      <c r="K229" s="1">
        <v>0.29166666666666669</v>
      </c>
      <c r="L229">
        <v>1E-4</v>
      </c>
      <c r="M229">
        <v>0</v>
      </c>
      <c r="O229">
        <f t="shared" si="17"/>
        <v>384.9</v>
      </c>
      <c r="X229" s="36"/>
    </row>
    <row r="230" spans="1:24" x14ac:dyDescent="0.2">
      <c r="A230">
        <f t="shared" si="14"/>
        <v>229</v>
      </c>
      <c r="B230" s="27">
        <v>43831</v>
      </c>
      <c r="D230" s="7" t="s">
        <v>108</v>
      </c>
      <c r="E230">
        <v>284</v>
      </c>
      <c r="F230" s="7">
        <v>146</v>
      </c>
      <c r="G230" s="7" t="s">
        <v>22</v>
      </c>
      <c r="H230" s="8" t="s">
        <v>109</v>
      </c>
      <c r="I230" s="8" t="s">
        <v>11</v>
      </c>
      <c r="J230" s="1">
        <v>0.29166666666666669</v>
      </c>
      <c r="K230" s="1">
        <v>0.95833333333333337</v>
      </c>
      <c r="L230">
        <v>1E-4</v>
      </c>
      <c r="M230">
        <v>5.5</v>
      </c>
      <c r="O230">
        <f t="shared" si="17"/>
        <v>384.9</v>
      </c>
      <c r="X230" s="36"/>
    </row>
    <row r="231" spans="1:24" x14ac:dyDescent="0.2">
      <c r="A231">
        <f t="shared" si="14"/>
        <v>230</v>
      </c>
      <c r="B231" s="27">
        <v>43831</v>
      </c>
      <c r="D231" s="7" t="s">
        <v>108</v>
      </c>
      <c r="E231">
        <v>284</v>
      </c>
      <c r="F231" s="7">
        <v>146</v>
      </c>
      <c r="G231" s="7" t="s">
        <v>22</v>
      </c>
      <c r="H231" s="8" t="s">
        <v>85</v>
      </c>
      <c r="I231" s="8" t="s">
        <v>11</v>
      </c>
      <c r="J231" s="1">
        <v>0.95833333333333337</v>
      </c>
      <c r="K231" s="1">
        <v>0.29166666666666669</v>
      </c>
      <c r="L231">
        <v>1E-4</v>
      </c>
      <c r="M231">
        <v>0</v>
      </c>
      <c r="O231">
        <f t="shared" si="17"/>
        <v>384.9</v>
      </c>
      <c r="X231" s="36"/>
    </row>
    <row r="232" spans="1:24" x14ac:dyDescent="0.2">
      <c r="A232">
        <f t="shared" si="14"/>
        <v>231</v>
      </c>
      <c r="B232" s="27">
        <v>43221</v>
      </c>
      <c r="D232" s="7" t="s">
        <v>116</v>
      </c>
      <c r="E232" t="s">
        <v>117</v>
      </c>
      <c r="G232" s="7" t="s">
        <v>20</v>
      </c>
      <c r="H232" s="8" t="s">
        <v>83</v>
      </c>
      <c r="I232" s="8" t="s">
        <v>6</v>
      </c>
      <c r="J232" s="1">
        <v>0.66666666666666663</v>
      </c>
      <c r="K232" s="1">
        <v>0.875</v>
      </c>
      <c r="L232">
        <v>0.30880000000000002</v>
      </c>
      <c r="M232">
        <v>0</v>
      </c>
      <c r="O232" s="29">
        <v>37.049999999999997</v>
      </c>
    </row>
    <row r="233" spans="1:24" x14ac:dyDescent="0.2">
      <c r="A233">
        <f t="shared" si="14"/>
        <v>232</v>
      </c>
      <c r="B233" s="27">
        <v>43221</v>
      </c>
      <c r="D233" s="7" t="s">
        <v>116</v>
      </c>
      <c r="E233" t="s">
        <v>117</v>
      </c>
      <c r="G233" s="7" t="s">
        <v>20</v>
      </c>
      <c r="H233" s="8" t="s">
        <v>84</v>
      </c>
      <c r="I233" s="8" t="s">
        <v>6</v>
      </c>
      <c r="J233" s="1">
        <v>0.25</v>
      </c>
      <c r="K233" s="1">
        <v>0.66666666666666663</v>
      </c>
      <c r="L233">
        <v>0.13750000000000001</v>
      </c>
      <c r="M233">
        <v>0</v>
      </c>
      <c r="O233" s="29">
        <v>37.049999999999997</v>
      </c>
    </row>
    <row r="234" spans="1:24" x14ac:dyDescent="0.2">
      <c r="A234">
        <f t="shared" si="14"/>
        <v>233</v>
      </c>
      <c r="B234" s="27">
        <v>43221</v>
      </c>
      <c r="D234" s="7" t="s">
        <v>116</v>
      </c>
      <c r="E234" t="s">
        <v>117</v>
      </c>
      <c r="G234" s="7" t="s">
        <v>20</v>
      </c>
      <c r="H234" s="8" t="s">
        <v>84</v>
      </c>
      <c r="I234" s="8" t="s">
        <v>6</v>
      </c>
      <c r="J234" s="1">
        <v>0.875</v>
      </c>
      <c r="K234" s="1">
        <v>0.95833333333333337</v>
      </c>
      <c r="L234">
        <v>0.13750000000000001</v>
      </c>
      <c r="M234">
        <v>0</v>
      </c>
      <c r="O234" s="29">
        <v>37.049999999999997</v>
      </c>
    </row>
    <row r="235" spans="1:24" x14ac:dyDescent="0.2">
      <c r="A235">
        <f t="shared" si="14"/>
        <v>234</v>
      </c>
      <c r="B235" s="27">
        <v>43221</v>
      </c>
      <c r="D235" s="7" t="s">
        <v>116</v>
      </c>
      <c r="E235" t="s">
        <v>117</v>
      </c>
      <c r="G235" s="7" t="s">
        <v>20</v>
      </c>
      <c r="H235" s="8" t="s">
        <v>85</v>
      </c>
      <c r="I235" s="8" t="s">
        <v>6</v>
      </c>
      <c r="J235" s="1">
        <v>0.95833333333333337</v>
      </c>
      <c r="K235" s="1">
        <v>0.25</v>
      </c>
      <c r="L235">
        <v>9.9099999999999994E-2</v>
      </c>
      <c r="M235">
        <v>0</v>
      </c>
      <c r="O235" s="29">
        <v>37.049999999999997</v>
      </c>
    </row>
    <row r="236" spans="1:24" x14ac:dyDescent="0.2">
      <c r="A236">
        <f t="shared" si="14"/>
        <v>235</v>
      </c>
      <c r="B236" s="27">
        <v>43221</v>
      </c>
      <c r="D236" s="7" t="s">
        <v>116</v>
      </c>
      <c r="E236" t="s">
        <v>117</v>
      </c>
      <c r="G236" s="7" t="s">
        <v>20</v>
      </c>
      <c r="H236" s="8" t="s">
        <v>85</v>
      </c>
      <c r="I236" s="8" t="s">
        <v>7</v>
      </c>
      <c r="J236" s="1">
        <v>0</v>
      </c>
      <c r="K236" s="1">
        <v>0</v>
      </c>
      <c r="L236">
        <v>9.9099999999999994E-2</v>
      </c>
      <c r="M236">
        <v>0</v>
      </c>
      <c r="O236" s="29">
        <v>37.049999999999997</v>
      </c>
    </row>
    <row r="237" spans="1:24" x14ac:dyDescent="0.2">
      <c r="A237">
        <f t="shared" si="14"/>
        <v>236</v>
      </c>
      <c r="B237" s="27">
        <v>43221</v>
      </c>
      <c r="D237" s="7" t="s">
        <v>116</v>
      </c>
      <c r="E237" t="s">
        <v>117</v>
      </c>
      <c r="G237" s="7" t="s">
        <v>22</v>
      </c>
      <c r="H237" s="8" t="s">
        <v>84</v>
      </c>
      <c r="I237" s="8" t="s">
        <v>6</v>
      </c>
      <c r="J237" s="1">
        <v>0.25</v>
      </c>
      <c r="K237" s="1">
        <v>0.375</v>
      </c>
      <c r="L237">
        <v>0.1452</v>
      </c>
      <c r="M237">
        <v>0</v>
      </c>
      <c r="O237" s="29">
        <v>37.049999999999997</v>
      </c>
    </row>
    <row r="238" spans="1:24" x14ac:dyDescent="0.2">
      <c r="A238">
        <f t="shared" si="14"/>
        <v>237</v>
      </c>
      <c r="B238" s="27">
        <v>43221</v>
      </c>
      <c r="D238" s="7" t="s">
        <v>116</v>
      </c>
      <c r="E238" t="s">
        <v>117</v>
      </c>
      <c r="G238" s="7" t="s">
        <v>22</v>
      </c>
      <c r="H238" s="8" t="s">
        <v>84</v>
      </c>
      <c r="I238" s="8" t="s">
        <v>6</v>
      </c>
      <c r="J238" s="1">
        <v>0.66666666666666663</v>
      </c>
      <c r="K238" s="1">
        <v>0.95833333333333337</v>
      </c>
      <c r="L238">
        <v>0.1452</v>
      </c>
      <c r="M238">
        <v>0</v>
      </c>
      <c r="O238" s="29">
        <v>37.049999999999997</v>
      </c>
    </row>
    <row r="239" spans="1:24" x14ac:dyDescent="0.2">
      <c r="A239">
        <f t="shared" si="14"/>
        <v>238</v>
      </c>
      <c r="B239" s="27">
        <v>43221</v>
      </c>
      <c r="D239" s="7" t="s">
        <v>116</v>
      </c>
      <c r="E239" t="s">
        <v>117</v>
      </c>
      <c r="G239" s="7" t="s">
        <v>22</v>
      </c>
      <c r="H239" s="8" t="s">
        <v>85</v>
      </c>
      <c r="I239" s="8" t="s">
        <v>6</v>
      </c>
      <c r="J239" s="1">
        <v>0.375</v>
      </c>
      <c r="K239" s="1">
        <v>0.66666666666666663</v>
      </c>
      <c r="L239">
        <v>9.9099999999999994E-2</v>
      </c>
      <c r="M239">
        <v>0</v>
      </c>
      <c r="O239" s="29">
        <v>37.049999999999997</v>
      </c>
    </row>
    <row r="240" spans="1:24" x14ac:dyDescent="0.2">
      <c r="A240">
        <f t="shared" si="14"/>
        <v>239</v>
      </c>
      <c r="B240" s="27">
        <v>43221</v>
      </c>
      <c r="D240" s="7" t="s">
        <v>116</v>
      </c>
      <c r="E240" t="s">
        <v>117</v>
      </c>
      <c r="G240" s="7" t="s">
        <v>22</v>
      </c>
      <c r="H240" s="8" t="s">
        <v>85</v>
      </c>
      <c r="I240" s="8" t="s">
        <v>6</v>
      </c>
      <c r="J240" s="1">
        <v>0.95833333333333337</v>
      </c>
      <c r="K240" s="1">
        <v>0.25</v>
      </c>
      <c r="L240">
        <v>9.9099999999999994E-2</v>
      </c>
      <c r="M240">
        <v>0</v>
      </c>
      <c r="O240" s="29">
        <v>37.049999999999997</v>
      </c>
    </row>
    <row r="241" spans="1:18" x14ac:dyDescent="0.2">
      <c r="A241">
        <f t="shared" si="14"/>
        <v>240</v>
      </c>
      <c r="B241" s="27">
        <v>43221</v>
      </c>
      <c r="D241" s="7" t="s">
        <v>116</v>
      </c>
      <c r="E241" t="s">
        <v>117</v>
      </c>
      <c r="G241" s="7" t="s">
        <v>22</v>
      </c>
      <c r="H241" s="8" t="s">
        <v>85</v>
      </c>
      <c r="I241" s="8" t="s">
        <v>7</v>
      </c>
      <c r="J241" s="1">
        <v>0</v>
      </c>
      <c r="K241" s="1">
        <v>0</v>
      </c>
      <c r="L241">
        <v>9.9099999999999994E-2</v>
      </c>
      <c r="M241">
        <v>0</v>
      </c>
      <c r="O241" s="29">
        <v>37.049999999999997</v>
      </c>
    </row>
    <row r="242" spans="1:18" x14ac:dyDescent="0.2">
      <c r="A242">
        <f t="shared" si="14"/>
        <v>241</v>
      </c>
      <c r="B242" s="27">
        <v>43221</v>
      </c>
      <c r="D242" s="7" t="s">
        <v>116</v>
      </c>
      <c r="E242" t="s">
        <v>118</v>
      </c>
      <c r="G242" s="7" t="s">
        <v>20</v>
      </c>
      <c r="H242" s="8" t="s">
        <v>83</v>
      </c>
      <c r="I242" s="8" t="s">
        <v>6</v>
      </c>
      <c r="J242" s="1">
        <v>0.66666666666666663</v>
      </c>
      <c r="K242" s="1">
        <v>0.875</v>
      </c>
      <c r="L242">
        <v>0.26340000000000002</v>
      </c>
      <c r="M242">
        <v>10.94</v>
      </c>
      <c r="N242">
        <v>8</v>
      </c>
      <c r="O242" s="29">
        <v>37.049999999999997</v>
      </c>
    </row>
    <row r="243" spans="1:18" x14ac:dyDescent="0.2">
      <c r="A243">
        <f t="shared" si="14"/>
        <v>242</v>
      </c>
      <c r="B243" s="27">
        <v>43221</v>
      </c>
      <c r="D243" s="7" t="s">
        <v>116</v>
      </c>
      <c r="E243" t="s">
        <v>118</v>
      </c>
      <c r="G243" s="7" t="s">
        <v>20</v>
      </c>
      <c r="H243" s="8" t="s">
        <v>84</v>
      </c>
      <c r="I243" s="8" t="s">
        <v>6</v>
      </c>
      <c r="J243" s="1">
        <v>0.25</v>
      </c>
      <c r="K243" s="1">
        <v>0.66666666666666663</v>
      </c>
      <c r="L243">
        <v>9.2100000000000001E-2</v>
      </c>
      <c r="M243">
        <v>5.0599999999999996</v>
      </c>
      <c r="N243">
        <v>8</v>
      </c>
      <c r="O243" s="29">
        <v>37.049999999999997</v>
      </c>
    </row>
    <row r="244" spans="1:18" x14ac:dyDescent="0.2">
      <c r="A244">
        <f t="shared" si="14"/>
        <v>243</v>
      </c>
      <c r="B244" s="27">
        <v>43221</v>
      </c>
      <c r="D244" s="7" t="s">
        <v>116</v>
      </c>
      <c r="E244" t="s">
        <v>118</v>
      </c>
      <c r="G244" s="7" t="s">
        <v>20</v>
      </c>
      <c r="H244" s="8" t="s">
        <v>84</v>
      </c>
      <c r="I244" s="8" t="s">
        <v>6</v>
      </c>
      <c r="J244" s="1">
        <v>0.875</v>
      </c>
      <c r="K244" s="1">
        <v>0.95833333333333337</v>
      </c>
      <c r="L244">
        <v>9.2100000000000001E-2</v>
      </c>
      <c r="M244">
        <v>5.0599999999999996</v>
      </c>
      <c r="N244">
        <v>8</v>
      </c>
      <c r="O244" s="29">
        <v>37.049999999999997</v>
      </c>
    </row>
    <row r="245" spans="1:18" x14ac:dyDescent="0.2">
      <c r="A245">
        <f t="shared" si="14"/>
        <v>244</v>
      </c>
      <c r="B245" s="27">
        <v>43221</v>
      </c>
      <c r="D245" s="7" t="s">
        <v>116</v>
      </c>
      <c r="E245" t="s">
        <v>118</v>
      </c>
      <c r="G245" s="7" t="s">
        <v>20</v>
      </c>
      <c r="H245" s="8" t="s">
        <v>85</v>
      </c>
      <c r="I245" s="8" t="s">
        <v>6</v>
      </c>
      <c r="J245" s="1">
        <v>0.95833333333333337</v>
      </c>
      <c r="K245" s="1">
        <v>0.25</v>
      </c>
      <c r="L245">
        <v>5.3699999999999998E-2</v>
      </c>
      <c r="M245">
        <v>0</v>
      </c>
      <c r="N245">
        <v>8</v>
      </c>
      <c r="O245" s="29">
        <v>37.049999999999997</v>
      </c>
    </row>
    <row r="246" spans="1:18" x14ac:dyDescent="0.2">
      <c r="A246">
        <f t="shared" si="14"/>
        <v>245</v>
      </c>
      <c r="B246" s="27">
        <v>43221</v>
      </c>
      <c r="D246" s="7" t="s">
        <v>116</v>
      </c>
      <c r="E246" t="s">
        <v>118</v>
      </c>
      <c r="G246" s="7" t="s">
        <v>20</v>
      </c>
      <c r="H246" s="8" t="s">
        <v>85</v>
      </c>
      <c r="I246" s="8" t="s">
        <v>7</v>
      </c>
      <c r="J246" s="1">
        <v>0</v>
      </c>
      <c r="K246" s="1">
        <v>0</v>
      </c>
      <c r="L246">
        <v>5.3699999999999998E-2</v>
      </c>
      <c r="M246">
        <v>0</v>
      </c>
      <c r="N246">
        <v>8</v>
      </c>
      <c r="O246" s="29">
        <v>37.049999999999997</v>
      </c>
    </row>
    <row r="247" spans="1:18" x14ac:dyDescent="0.2">
      <c r="A247">
        <f t="shared" si="14"/>
        <v>246</v>
      </c>
      <c r="B247" s="27">
        <v>43221</v>
      </c>
      <c r="D247" s="7" t="s">
        <v>116</v>
      </c>
      <c r="E247" t="s">
        <v>118</v>
      </c>
      <c r="G247" s="7" t="s">
        <v>22</v>
      </c>
      <c r="H247" s="8" t="s">
        <v>84</v>
      </c>
      <c r="I247" s="8" t="s">
        <v>6</v>
      </c>
      <c r="J247" s="1">
        <v>0.25</v>
      </c>
      <c r="K247" s="1">
        <v>0.375</v>
      </c>
      <c r="L247">
        <v>9.98E-2</v>
      </c>
      <c r="M247">
        <v>6.07</v>
      </c>
      <c r="N247">
        <v>8</v>
      </c>
      <c r="O247" s="29">
        <v>37.049999999999997</v>
      </c>
    </row>
    <row r="248" spans="1:18" x14ac:dyDescent="0.2">
      <c r="A248">
        <f t="shared" si="14"/>
        <v>247</v>
      </c>
      <c r="B248" s="27">
        <v>43221</v>
      </c>
      <c r="D248" s="7" t="s">
        <v>116</v>
      </c>
      <c r="E248" t="s">
        <v>118</v>
      </c>
      <c r="G248" s="7" t="s">
        <v>22</v>
      </c>
      <c r="H248" s="8" t="s">
        <v>84</v>
      </c>
      <c r="I248" s="8" t="s">
        <v>6</v>
      </c>
      <c r="J248" s="1">
        <v>0.66666666666666663</v>
      </c>
      <c r="K248" s="1">
        <v>0.95833333333333337</v>
      </c>
      <c r="L248">
        <v>9.98E-2</v>
      </c>
      <c r="M248">
        <v>6.07</v>
      </c>
      <c r="N248">
        <v>8</v>
      </c>
      <c r="O248" s="29">
        <v>37.049999999999997</v>
      </c>
    </row>
    <row r="249" spans="1:18" x14ac:dyDescent="0.2">
      <c r="A249">
        <f t="shared" si="14"/>
        <v>248</v>
      </c>
      <c r="B249" s="27">
        <v>43221</v>
      </c>
      <c r="D249" s="7" t="s">
        <v>116</v>
      </c>
      <c r="E249" t="s">
        <v>118</v>
      </c>
      <c r="G249" s="7" t="s">
        <v>22</v>
      </c>
      <c r="H249" s="8" t="s">
        <v>85</v>
      </c>
      <c r="I249" s="8" t="s">
        <v>6</v>
      </c>
      <c r="J249" s="1">
        <v>0.375</v>
      </c>
      <c r="K249" s="1">
        <v>0.66666666666666663</v>
      </c>
      <c r="L249">
        <v>5.3699999999999998E-2</v>
      </c>
      <c r="M249">
        <v>0</v>
      </c>
      <c r="N249">
        <v>8</v>
      </c>
      <c r="O249" s="29">
        <v>37.049999999999997</v>
      </c>
    </row>
    <row r="250" spans="1:18" x14ac:dyDescent="0.2">
      <c r="A250">
        <f t="shared" si="14"/>
        <v>249</v>
      </c>
      <c r="B250" s="27">
        <v>43221</v>
      </c>
      <c r="D250" s="7" t="s">
        <v>116</v>
      </c>
      <c r="E250" t="s">
        <v>118</v>
      </c>
      <c r="G250" s="7" t="s">
        <v>22</v>
      </c>
      <c r="H250" s="8" t="s">
        <v>85</v>
      </c>
      <c r="I250" s="8" t="s">
        <v>6</v>
      </c>
      <c r="J250" s="1">
        <v>0.95833333333333337</v>
      </c>
      <c r="K250" s="1">
        <v>0.25</v>
      </c>
      <c r="L250">
        <v>5.3699999999999998E-2</v>
      </c>
      <c r="M250">
        <v>0</v>
      </c>
      <c r="N250">
        <v>8</v>
      </c>
      <c r="O250" s="29">
        <v>37.049999999999997</v>
      </c>
    </row>
    <row r="251" spans="1:18" x14ac:dyDescent="0.2">
      <c r="A251">
        <f t="shared" si="14"/>
        <v>250</v>
      </c>
      <c r="B251" s="27">
        <v>43221</v>
      </c>
      <c r="D251" s="7" t="s">
        <v>116</v>
      </c>
      <c r="E251" t="s">
        <v>118</v>
      </c>
      <c r="G251" s="7" t="s">
        <v>22</v>
      </c>
      <c r="H251" s="8" t="s">
        <v>85</v>
      </c>
      <c r="I251" s="8" t="s">
        <v>7</v>
      </c>
      <c r="J251" s="1">
        <v>0</v>
      </c>
      <c r="K251" s="1">
        <v>0</v>
      </c>
      <c r="L251">
        <v>5.3699999999999998E-2</v>
      </c>
      <c r="M251">
        <v>0</v>
      </c>
      <c r="N251">
        <v>8</v>
      </c>
      <c r="O251" s="29">
        <v>37.049999999999997</v>
      </c>
    </row>
    <row r="252" spans="1:18" x14ac:dyDescent="0.2">
      <c r="A252">
        <f t="shared" si="14"/>
        <v>251</v>
      </c>
      <c r="B252" s="27">
        <v>43943</v>
      </c>
      <c r="D252" s="7" t="s">
        <v>26</v>
      </c>
      <c r="E252" s="7" t="s">
        <v>119</v>
      </c>
      <c r="G252" s="7" t="s">
        <v>20</v>
      </c>
      <c r="H252" s="8" t="s">
        <v>31</v>
      </c>
      <c r="I252" s="8" t="s">
        <v>6</v>
      </c>
      <c r="J252" s="1">
        <v>0</v>
      </c>
      <c r="K252" s="1">
        <v>0</v>
      </c>
      <c r="L252">
        <v>0</v>
      </c>
      <c r="M252" s="9">
        <v>0</v>
      </c>
      <c r="O252" s="29">
        <v>0</v>
      </c>
      <c r="R252" s="19">
        <v>0</v>
      </c>
    </row>
    <row r="253" spans="1:18" x14ac:dyDescent="0.2">
      <c r="A253">
        <f t="shared" si="14"/>
        <v>252</v>
      </c>
      <c r="B253" s="27">
        <v>43647</v>
      </c>
      <c r="D253" s="7" t="s">
        <v>120</v>
      </c>
      <c r="E253" s="7" t="s">
        <v>121</v>
      </c>
      <c r="F253">
        <v>30</v>
      </c>
      <c r="G253" s="7" t="s">
        <v>20</v>
      </c>
      <c r="H253" s="8" t="s">
        <v>87</v>
      </c>
      <c r="I253" s="8" t="s">
        <v>6</v>
      </c>
      <c r="J253" s="1">
        <v>0.54166666666666663</v>
      </c>
      <c r="K253" s="1">
        <v>0.70833333333333337</v>
      </c>
      <c r="L253">
        <f>0.06322+0.00029</f>
        <v>6.3509999999999997E-2</v>
      </c>
      <c r="M253">
        <v>10</v>
      </c>
      <c r="N253">
        <v>5.36</v>
      </c>
      <c r="O253" s="29">
        <v>28</v>
      </c>
    </row>
    <row r="254" spans="1:18" x14ac:dyDescent="0.2">
      <c r="A254">
        <f t="shared" si="14"/>
        <v>253</v>
      </c>
      <c r="B254" s="27">
        <v>43647</v>
      </c>
      <c r="D254" s="7" t="s">
        <v>120</v>
      </c>
      <c r="E254" s="7" t="s">
        <v>121</v>
      </c>
      <c r="F254">
        <v>30</v>
      </c>
      <c r="G254" s="7" t="s">
        <v>20</v>
      </c>
      <c r="H254" s="8" t="s">
        <v>84</v>
      </c>
      <c r="I254" s="8" t="s">
        <v>6</v>
      </c>
      <c r="J254" s="1">
        <v>0.41666666666666669</v>
      </c>
      <c r="K254" s="1">
        <v>0.54166666666666663</v>
      </c>
      <c r="L254">
        <f>0.05595+0.00019</f>
        <v>5.6140000000000002E-2</v>
      </c>
      <c r="M254">
        <v>3.75</v>
      </c>
      <c r="N254">
        <v>5.36</v>
      </c>
      <c r="O254" s="29">
        <v>28</v>
      </c>
    </row>
    <row r="255" spans="1:18" x14ac:dyDescent="0.2">
      <c r="A255">
        <f t="shared" si="14"/>
        <v>254</v>
      </c>
      <c r="B255" s="27">
        <v>43647</v>
      </c>
      <c r="D255" s="7" t="s">
        <v>120</v>
      </c>
      <c r="E255" s="7" t="s">
        <v>121</v>
      </c>
      <c r="F255">
        <v>30</v>
      </c>
      <c r="G255" s="7" t="s">
        <v>20</v>
      </c>
      <c r="H255" s="8" t="s">
        <v>84</v>
      </c>
      <c r="I255" s="8" t="s">
        <v>6</v>
      </c>
      <c r="J255" s="1">
        <v>0.70833333333333337</v>
      </c>
      <c r="K255" s="1">
        <v>0.83333333333333337</v>
      </c>
      <c r="L255">
        <f>0.05595+0.00019</f>
        <v>5.6140000000000002E-2</v>
      </c>
      <c r="M255">
        <v>3.75</v>
      </c>
      <c r="N255">
        <v>5.36</v>
      </c>
      <c r="O255" s="29">
        <v>28</v>
      </c>
    </row>
    <row r="256" spans="1:18" x14ac:dyDescent="0.2">
      <c r="A256">
        <f t="shared" si="14"/>
        <v>255</v>
      </c>
      <c r="B256" s="27">
        <v>43647</v>
      </c>
      <c r="D256" s="7" t="s">
        <v>120</v>
      </c>
      <c r="E256" s="7" t="s">
        <v>121</v>
      </c>
      <c r="F256">
        <v>30</v>
      </c>
      <c r="G256" s="7" t="s">
        <v>20</v>
      </c>
      <c r="H256" s="8" t="s">
        <v>85</v>
      </c>
      <c r="I256" s="8" t="s">
        <v>6</v>
      </c>
      <c r="J256" s="1">
        <v>0.83333333333333337</v>
      </c>
      <c r="K256" s="1">
        <v>0.41666666666666669</v>
      </c>
      <c r="L256">
        <f>0.03522+0.00012</f>
        <v>3.5340000000000003E-2</v>
      </c>
      <c r="M256">
        <v>0</v>
      </c>
      <c r="N256">
        <v>5.36</v>
      </c>
      <c r="O256" s="29">
        <v>28</v>
      </c>
    </row>
    <row r="257" spans="1:24" x14ac:dyDescent="0.2">
      <c r="A257">
        <f t="shared" si="14"/>
        <v>256</v>
      </c>
      <c r="B257" s="27">
        <v>43647</v>
      </c>
      <c r="D257" s="7" t="s">
        <v>120</v>
      </c>
      <c r="E257" s="7" t="s">
        <v>121</v>
      </c>
      <c r="F257">
        <v>30</v>
      </c>
      <c r="G257" s="7" t="s">
        <v>20</v>
      </c>
      <c r="H257" s="8" t="s">
        <v>85</v>
      </c>
      <c r="I257" s="8" t="s">
        <v>7</v>
      </c>
      <c r="J257" s="1">
        <v>0</v>
      </c>
      <c r="K257" s="1">
        <v>0</v>
      </c>
      <c r="L257">
        <f>0.03522+0.00012</f>
        <v>3.5340000000000003E-2</v>
      </c>
      <c r="M257">
        <v>0</v>
      </c>
      <c r="N257">
        <v>5.36</v>
      </c>
      <c r="O257" s="29">
        <v>28</v>
      </c>
    </row>
    <row r="258" spans="1:24" x14ac:dyDescent="0.2">
      <c r="A258">
        <f t="shared" si="14"/>
        <v>257</v>
      </c>
      <c r="B258" s="27">
        <v>43647</v>
      </c>
      <c r="D258" s="7" t="s">
        <v>120</v>
      </c>
      <c r="E258" s="7" t="s">
        <v>121</v>
      </c>
      <c r="F258">
        <v>30</v>
      </c>
      <c r="G258" s="7" t="s">
        <v>22</v>
      </c>
      <c r="H258" s="8" t="s">
        <v>87</v>
      </c>
      <c r="I258" s="8" t="s">
        <v>6</v>
      </c>
      <c r="J258" s="1">
        <v>0.54166666666666663</v>
      </c>
      <c r="K258" s="1">
        <v>0.70833333333333337</v>
      </c>
      <c r="L258">
        <f>0.05688+0.00026</f>
        <v>5.7140000000000003E-2</v>
      </c>
      <c r="M258">
        <v>4.75</v>
      </c>
      <c r="N258">
        <v>5.36</v>
      </c>
      <c r="O258" s="29">
        <v>28</v>
      </c>
    </row>
    <row r="259" spans="1:24" x14ac:dyDescent="0.2">
      <c r="A259">
        <f t="shared" si="14"/>
        <v>258</v>
      </c>
      <c r="B259" s="27">
        <v>43647</v>
      </c>
      <c r="D259" s="7" t="s">
        <v>120</v>
      </c>
      <c r="E259" s="7" t="s">
        <v>121</v>
      </c>
      <c r="F259">
        <v>30</v>
      </c>
      <c r="G259" s="7" t="s">
        <v>22</v>
      </c>
      <c r="H259" s="8" t="s">
        <v>84</v>
      </c>
      <c r="I259" s="8" t="s">
        <v>6</v>
      </c>
      <c r="J259" s="1">
        <v>0.41666666666666669</v>
      </c>
      <c r="K259" s="1">
        <v>0.54166666666666663</v>
      </c>
      <c r="L259">
        <f>0.05688+0.00026</f>
        <v>5.7140000000000003E-2</v>
      </c>
      <c r="M259">
        <v>0</v>
      </c>
      <c r="N259">
        <v>5.36</v>
      </c>
      <c r="O259" s="29">
        <v>28</v>
      </c>
    </row>
    <row r="260" spans="1:24" x14ac:dyDescent="0.2">
      <c r="A260">
        <f t="shared" ref="A260:A323" si="18">A259+1</f>
        <v>259</v>
      </c>
      <c r="B260" s="27">
        <v>43647</v>
      </c>
      <c r="D260" s="7" t="s">
        <v>120</v>
      </c>
      <c r="E260" s="7" t="s">
        <v>121</v>
      </c>
      <c r="F260">
        <v>30</v>
      </c>
      <c r="G260" s="7" t="s">
        <v>22</v>
      </c>
      <c r="H260" s="8" t="s">
        <v>84</v>
      </c>
      <c r="I260" s="8" t="s">
        <v>6</v>
      </c>
      <c r="J260" s="1">
        <v>0.70833333333333337</v>
      </c>
      <c r="K260" s="1">
        <v>0.83333333333333337</v>
      </c>
      <c r="L260">
        <f>0.05688+0.00026</f>
        <v>5.7140000000000003E-2</v>
      </c>
      <c r="M260">
        <v>0</v>
      </c>
      <c r="N260">
        <v>5.36</v>
      </c>
      <c r="O260" s="29">
        <v>28</v>
      </c>
    </row>
    <row r="261" spans="1:24" x14ac:dyDescent="0.2">
      <c r="A261">
        <f t="shared" si="18"/>
        <v>260</v>
      </c>
      <c r="B261" s="27">
        <v>43647</v>
      </c>
      <c r="D261" s="7" t="s">
        <v>120</v>
      </c>
      <c r="E261" s="7" t="s">
        <v>121</v>
      </c>
      <c r="F261">
        <v>30</v>
      </c>
      <c r="G261" s="7" t="s">
        <v>22</v>
      </c>
      <c r="H261" s="8" t="s">
        <v>85</v>
      </c>
      <c r="I261" s="8" t="s">
        <v>6</v>
      </c>
      <c r="J261" s="1">
        <v>0.83333333333333337</v>
      </c>
      <c r="K261" s="1">
        <v>0.41666666666666669</v>
      </c>
      <c r="L261">
        <f>0.03895+0.00016</f>
        <v>3.9109999999999999E-2</v>
      </c>
      <c r="M261">
        <v>0</v>
      </c>
      <c r="N261">
        <v>5.36</v>
      </c>
      <c r="O261" s="29">
        <v>28</v>
      </c>
    </row>
    <row r="262" spans="1:24" x14ac:dyDescent="0.2">
      <c r="A262">
        <f t="shared" si="18"/>
        <v>261</v>
      </c>
      <c r="B262" s="27">
        <v>43647</v>
      </c>
      <c r="D262" s="7" t="s">
        <v>120</v>
      </c>
      <c r="E262" s="7" t="s">
        <v>121</v>
      </c>
      <c r="F262">
        <v>30</v>
      </c>
      <c r="G262" s="7" t="s">
        <v>22</v>
      </c>
      <c r="H262" s="8" t="s">
        <v>85</v>
      </c>
      <c r="I262" s="8" t="s">
        <v>7</v>
      </c>
      <c r="J262" s="1">
        <v>0</v>
      </c>
      <c r="K262" s="1">
        <v>0</v>
      </c>
      <c r="L262">
        <f>0.03895+0.00016</f>
        <v>3.9109999999999999E-2</v>
      </c>
      <c r="M262">
        <v>0</v>
      </c>
      <c r="N262">
        <v>5.36</v>
      </c>
      <c r="O262" s="29">
        <v>28</v>
      </c>
    </row>
    <row r="263" spans="1:24" x14ac:dyDescent="0.2">
      <c r="A263">
        <f t="shared" si="18"/>
        <v>262</v>
      </c>
      <c r="B263" s="27">
        <v>43647</v>
      </c>
      <c r="D263" s="7" t="s">
        <v>120</v>
      </c>
      <c r="E263" s="7" t="s">
        <v>123</v>
      </c>
      <c r="F263">
        <v>30</v>
      </c>
      <c r="G263" s="7" t="s">
        <v>20</v>
      </c>
      <c r="H263" s="8" t="s">
        <v>87</v>
      </c>
      <c r="I263" s="8" t="s">
        <v>6</v>
      </c>
      <c r="J263" s="1">
        <v>0.54166666666666663</v>
      </c>
      <c r="K263" s="1">
        <v>0.70833333333333337</v>
      </c>
      <c r="L263">
        <f>0.06322+0.00029-0.025</f>
        <v>3.8509999999999996E-2</v>
      </c>
      <c r="M263">
        <v>10</v>
      </c>
      <c r="N263">
        <v>5.36</v>
      </c>
      <c r="O263" s="29">
        <v>28</v>
      </c>
      <c r="X263" s="36" t="s">
        <v>122</v>
      </c>
    </row>
    <row r="264" spans="1:24" x14ac:dyDescent="0.2">
      <c r="A264">
        <f t="shared" si="18"/>
        <v>263</v>
      </c>
      <c r="B264" s="27">
        <v>43647</v>
      </c>
      <c r="D264" s="7" t="s">
        <v>120</v>
      </c>
      <c r="E264" s="7" t="s">
        <v>123</v>
      </c>
      <c r="F264">
        <v>30</v>
      </c>
      <c r="G264" s="7" t="s">
        <v>20</v>
      </c>
      <c r="H264" s="8" t="s">
        <v>84</v>
      </c>
      <c r="I264" s="8" t="s">
        <v>6</v>
      </c>
      <c r="J264" s="1">
        <v>0.41666666666666669</v>
      </c>
      <c r="K264" s="1">
        <v>0.54166666666666663</v>
      </c>
      <c r="L264">
        <f>0.05595+0.00019-0.025</f>
        <v>3.1140000000000001E-2</v>
      </c>
      <c r="M264">
        <v>3.75</v>
      </c>
      <c r="N264">
        <v>5.36</v>
      </c>
      <c r="O264" s="29">
        <v>28</v>
      </c>
      <c r="X264" s="36"/>
    </row>
    <row r="265" spans="1:24" x14ac:dyDescent="0.2">
      <c r="A265">
        <f t="shared" si="18"/>
        <v>264</v>
      </c>
      <c r="B265" s="27">
        <v>43647</v>
      </c>
      <c r="D265" s="7" t="s">
        <v>120</v>
      </c>
      <c r="E265" s="7" t="s">
        <v>123</v>
      </c>
      <c r="F265">
        <v>30</v>
      </c>
      <c r="G265" s="7" t="s">
        <v>20</v>
      </c>
      <c r="H265" s="8" t="s">
        <v>84</v>
      </c>
      <c r="I265" s="8" t="s">
        <v>6</v>
      </c>
      <c r="J265" s="1">
        <v>0.70833333333333337</v>
      </c>
      <c r="K265" s="1">
        <v>0.83333333333333337</v>
      </c>
      <c r="L265">
        <f>0.05595+0.00019-0.025</f>
        <v>3.1140000000000001E-2</v>
      </c>
      <c r="M265">
        <v>3.75</v>
      </c>
      <c r="N265">
        <v>5.36</v>
      </c>
      <c r="O265" s="29">
        <v>28</v>
      </c>
      <c r="X265" s="36"/>
    </row>
    <row r="266" spans="1:24" x14ac:dyDescent="0.2">
      <c r="A266">
        <f t="shared" si="18"/>
        <v>265</v>
      </c>
      <c r="B266" s="27">
        <v>43647</v>
      </c>
      <c r="D266" s="7" t="s">
        <v>120</v>
      </c>
      <c r="E266" s="7" t="s">
        <v>123</v>
      </c>
      <c r="F266">
        <v>30</v>
      </c>
      <c r="G266" s="7" t="s">
        <v>20</v>
      </c>
      <c r="H266" s="8" t="s">
        <v>85</v>
      </c>
      <c r="I266" s="8" t="s">
        <v>6</v>
      </c>
      <c r="J266" s="1">
        <v>0.83333333333333337</v>
      </c>
      <c r="K266" s="1">
        <v>0.41666666666666669</v>
      </c>
      <c r="L266">
        <f>0.03522+0.00012-0.025</f>
        <v>1.0340000000000002E-2</v>
      </c>
      <c r="M266">
        <v>0</v>
      </c>
      <c r="N266">
        <v>5.36</v>
      </c>
      <c r="O266" s="29">
        <v>28</v>
      </c>
      <c r="X266" s="36"/>
    </row>
    <row r="267" spans="1:24" x14ac:dyDescent="0.2">
      <c r="A267">
        <f t="shared" si="18"/>
        <v>266</v>
      </c>
      <c r="B267" s="27">
        <v>43647</v>
      </c>
      <c r="D267" s="7" t="s">
        <v>120</v>
      </c>
      <c r="E267" s="7" t="s">
        <v>123</v>
      </c>
      <c r="F267">
        <v>30</v>
      </c>
      <c r="G267" s="7" t="s">
        <v>20</v>
      </c>
      <c r="H267" s="8" t="s">
        <v>85</v>
      </c>
      <c r="I267" s="8" t="s">
        <v>7</v>
      </c>
      <c r="J267" s="1">
        <v>0</v>
      </c>
      <c r="K267" s="1">
        <v>0</v>
      </c>
      <c r="L267">
        <f>0.03522+0.00012-0.025</f>
        <v>1.0340000000000002E-2</v>
      </c>
      <c r="M267">
        <v>0</v>
      </c>
      <c r="N267">
        <v>5.36</v>
      </c>
      <c r="O267" s="29">
        <v>28</v>
      </c>
      <c r="X267" s="36"/>
    </row>
    <row r="268" spans="1:24" x14ac:dyDescent="0.2">
      <c r="A268">
        <f t="shared" si="18"/>
        <v>267</v>
      </c>
      <c r="B268" s="27">
        <v>43647</v>
      </c>
      <c r="D268" s="7" t="s">
        <v>120</v>
      </c>
      <c r="E268" s="7" t="s">
        <v>123</v>
      </c>
      <c r="F268">
        <v>30</v>
      </c>
      <c r="G268" s="7" t="s">
        <v>22</v>
      </c>
      <c r="H268" s="8" t="s">
        <v>87</v>
      </c>
      <c r="I268" s="8" t="s">
        <v>6</v>
      </c>
      <c r="J268" s="1">
        <v>0.54166666666666663</v>
      </c>
      <c r="K268" s="1">
        <v>0.70833333333333337</v>
      </c>
      <c r="L268">
        <f>0.05688+0.00026-0.025</f>
        <v>3.2140000000000002E-2</v>
      </c>
      <c r="M268">
        <v>4.75</v>
      </c>
      <c r="N268">
        <v>5.36</v>
      </c>
      <c r="O268" s="29">
        <v>28</v>
      </c>
      <c r="X268" s="36"/>
    </row>
    <row r="269" spans="1:24" x14ac:dyDescent="0.2">
      <c r="A269">
        <f t="shared" si="18"/>
        <v>268</v>
      </c>
      <c r="B269" s="27">
        <v>43647</v>
      </c>
      <c r="D269" s="7" t="s">
        <v>120</v>
      </c>
      <c r="E269" s="7" t="s">
        <v>123</v>
      </c>
      <c r="F269">
        <v>30</v>
      </c>
      <c r="G269" s="7" t="s">
        <v>22</v>
      </c>
      <c r="H269" s="8" t="s">
        <v>84</v>
      </c>
      <c r="I269" s="8" t="s">
        <v>6</v>
      </c>
      <c r="J269" s="1">
        <v>0.41666666666666669</v>
      </c>
      <c r="K269" s="1">
        <v>0.54166666666666663</v>
      </c>
      <c r="L269">
        <f>0.05688+0.00026-0.025</f>
        <v>3.2140000000000002E-2</v>
      </c>
      <c r="M269">
        <v>0</v>
      </c>
      <c r="N269">
        <v>5.36</v>
      </c>
      <c r="O269" s="29">
        <v>28</v>
      </c>
      <c r="X269" s="36"/>
    </row>
    <row r="270" spans="1:24" x14ac:dyDescent="0.2">
      <c r="A270">
        <f t="shared" si="18"/>
        <v>269</v>
      </c>
      <c r="B270" s="27">
        <v>43647</v>
      </c>
      <c r="D270" s="7" t="s">
        <v>120</v>
      </c>
      <c r="E270" s="7" t="s">
        <v>123</v>
      </c>
      <c r="F270">
        <v>30</v>
      </c>
      <c r="G270" s="7" t="s">
        <v>22</v>
      </c>
      <c r="H270" s="8" t="s">
        <v>84</v>
      </c>
      <c r="I270" s="8" t="s">
        <v>6</v>
      </c>
      <c r="J270" s="1">
        <v>0.70833333333333337</v>
      </c>
      <c r="K270" s="1">
        <v>0.83333333333333337</v>
      </c>
      <c r="L270">
        <f>0.05688+0.00026-0.025</f>
        <v>3.2140000000000002E-2</v>
      </c>
      <c r="M270">
        <v>0</v>
      </c>
      <c r="N270">
        <v>5.36</v>
      </c>
      <c r="O270" s="29">
        <v>28</v>
      </c>
      <c r="X270" s="36"/>
    </row>
    <row r="271" spans="1:24" x14ac:dyDescent="0.2">
      <c r="A271">
        <f t="shared" si="18"/>
        <v>270</v>
      </c>
      <c r="B271" s="27">
        <v>43647</v>
      </c>
      <c r="D271" s="7" t="s">
        <v>120</v>
      </c>
      <c r="E271" s="7" t="s">
        <v>123</v>
      </c>
      <c r="F271">
        <v>30</v>
      </c>
      <c r="G271" s="7" t="s">
        <v>22</v>
      </c>
      <c r="H271" s="8" t="s">
        <v>85</v>
      </c>
      <c r="I271" s="8" t="s">
        <v>6</v>
      </c>
      <c r="J271" s="1">
        <v>0.83333333333333337</v>
      </c>
      <c r="K271" s="1">
        <v>0.41666666666666669</v>
      </c>
      <c r="L271">
        <f>0.03895+0.00016-0.025</f>
        <v>1.4109999999999998E-2</v>
      </c>
      <c r="M271">
        <v>0</v>
      </c>
      <c r="N271">
        <v>5.36</v>
      </c>
      <c r="O271" s="29">
        <v>28</v>
      </c>
      <c r="X271" s="36"/>
    </row>
    <row r="272" spans="1:24" x14ac:dyDescent="0.2">
      <c r="A272">
        <f t="shared" si="18"/>
        <v>271</v>
      </c>
      <c r="B272" s="27">
        <v>43647</v>
      </c>
      <c r="D272" s="7" t="s">
        <v>120</v>
      </c>
      <c r="E272" s="7" t="s">
        <v>123</v>
      </c>
      <c r="F272">
        <v>30</v>
      </c>
      <c r="G272" s="7" t="s">
        <v>22</v>
      </c>
      <c r="H272" s="8" t="s">
        <v>85</v>
      </c>
      <c r="I272" s="8" t="s">
        <v>7</v>
      </c>
      <c r="J272" s="1">
        <v>0</v>
      </c>
      <c r="K272" s="1">
        <v>0</v>
      </c>
      <c r="L272">
        <f>0.03895+0.00016-0.025</f>
        <v>1.4109999999999998E-2</v>
      </c>
      <c r="M272">
        <v>0</v>
      </c>
      <c r="N272">
        <v>5.36</v>
      </c>
      <c r="O272" s="29">
        <v>28</v>
      </c>
      <c r="X272" s="36"/>
    </row>
    <row r="273" spans="1:24" x14ac:dyDescent="0.2">
      <c r="A273">
        <f t="shared" si="18"/>
        <v>272</v>
      </c>
      <c r="B273" s="13">
        <v>43831</v>
      </c>
      <c r="C273" s="7"/>
      <c r="D273" s="28" t="s">
        <v>9</v>
      </c>
      <c r="E273" s="7" t="s">
        <v>124</v>
      </c>
      <c r="F273" s="7">
        <v>75</v>
      </c>
      <c r="G273" s="7" t="s">
        <v>20</v>
      </c>
      <c r="H273" s="8" t="s">
        <v>87</v>
      </c>
      <c r="I273" s="3" t="s">
        <v>6</v>
      </c>
      <c r="J273" s="1">
        <v>0.5</v>
      </c>
      <c r="K273" s="1">
        <v>0.625</v>
      </c>
      <c r="L273">
        <v>0.23491000000000001</v>
      </c>
      <c r="M273">
        <v>21.63</v>
      </c>
      <c r="N273">
        <v>0</v>
      </c>
      <c r="O273" s="3">
        <f t="shared" ref="O273:O277" si="19">4.59959*30</f>
        <v>137.98769999999999</v>
      </c>
      <c r="P273" s="18"/>
      <c r="Q273" s="18"/>
      <c r="R273" s="18"/>
      <c r="S273" s="18"/>
      <c r="T273" s="18"/>
      <c r="U273" s="18"/>
      <c r="V273" s="18"/>
      <c r="W273" s="18"/>
    </row>
    <row r="274" spans="1:24" x14ac:dyDescent="0.2">
      <c r="A274">
        <f t="shared" si="18"/>
        <v>273</v>
      </c>
      <c r="B274" s="13">
        <v>43831</v>
      </c>
      <c r="C274" s="7"/>
      <c r="D274" s="28" t="s">
        <v>9</v>
      </c>
      <c r="E274" s="7" t="s">
        <v>124</v>
      </c>
      <c r="F274" s="7">
        <v>75</v>
      </c>
      <c r="G274" s="7" t="s">
        <v>20</v>
      </c>
      <c r="H274" s="8" t="s">
        <v>87</v>
      </c>
      <c r="I274" s="3" t="s">
        <v>6</v>
      </c>
      <c r="J274" s="1">
        <v>0.625</v>
      </c>
      <c r="K274" s="1">
        <v>0.75</v>
      </c>
      <c r="L274">
        <v>0.23491000000000001</v>
      </c>
      <c r="M274">
        <v>21.63</v>
      </c>
      <c r="N274">
        <v>0</v>
      </c>
      <c r="O274" s="3">
        <f t="shared" si="19"/>
        <v>137.98769999999999</v>
      </c>
      <c r="P274" s="18"/>
      <c r="Q274" s="18"/>
      <c r="R274" s="18"/>
      <c r="S274" s="18"/>
      <c r="T274" s="18"/>
      <c r="U274" s="18"/>
      <c r="V274" s="18"/>
      <c r="W274" s="18"/>
    </row>
    <row r="275" spans="1:24" x14ac:dyDescent="0.2">
      <c r="A275">
        <f t="shared" si="18"/>
        <v>274</v>
      </c>
      <c r="B275" s="13">
        <v>43831</v>
      </c>
      <c r="C275" s="7"/>
      <c r="D275" s="28" t="s">
        <v>9</v>
      </c>
      <c r="E275" s="7" t="s">
        <v>124</v>
      </c>
      <c r="F275" s="7">
        <v>75</v>
      </c>
      <c r="G275" s="7" t="s">
        <v>20</v>
      </c>
      <c r="H275" s="8" t="s">
        <v>88</v>
      </c>
      <c r="I275" s="3" t="s">
        <v>6</v>
      </c>
      <c r="J275" s="1">
        <v>0.35416666666666669</v>
      </c>
      <c r="K275" s="1">
        <v>0.5</v>
      </c>
      <c r="L275">
        <v>0.17978</v>
      </c>
      <c r="M275">
        <v>21.63</v>
      </c>
      <c r="N275">
        <v>0</v>
      </c>
      <c r="O275" s="3">
        <f t="shared" si="19"/>
        <v>137.98769999999999</v>
      </c>
      <c r="P275" s="18"/>
      <c r="Q275" s="18"/>
      <c r="R275" s="18"/>
      <c r="S275" s="18"/>
      <c r="T275" s="18"/>
      <c r="U275" s="18"/>
      <c r="V275" s="18"/>
      <c r="W275" s="18"/>
    </row>
    <row r="276" spans="1:24" x14ac:dyDescent="0.2">
      <c r="A276">
        <f t="shared" si="18"/>
        <v>275</v>
      </c>
      <c r="B276" s="13">
        <v>43831</v>
      </c>
      <c r="C276" s="7"/>
      <c r="D276" s="28" t="s">
        <v>9</v>
      </c>
      <c r="E276" s="7" t="s">
        <v>124</v>
      </c>
      <c r="F276" s="7">
        <v>75</v>
      </c>
      <c r="G276" s="7" t="s">
        <v>20</v>
      </c>
      <c r="H276" s="8" t="s">
        <v>88</v>
      </c>
      <c r="I276" s="3" t="s">
        <v>6</v>
      </c>
      <c r="J276" s="1">
        <v>0.75</v>
      </c>
      <c r="K276" s="1">
        <v>0.89583333333333337</v>
      </c>
      <c r="L276">
        <v>0.17978</v>
      </c>
      <c r="M276">
        <v>21.63</v>
      </c>
      <c r="N276">
        <v>0</v>
      </c>
      <c r="O276" s="3">
        <f t="shared" si="19"/>
        <v>137.98769999999999</v>
      </c>
      <c r="P276" s="18"/>
      <c r="Q276" s="18"/>
      <c r="R276" s="18"/>
      <c r="S276" s="18"/>
      <c r="T276" s="18"/>
      <c r="U276" s="18"/>
      <c r="V276" s="18"/>
      <c r="W276" s="18"/>
    </row>
    <row r="277" spans="1:24" x14ac:dyDescent="0.2">
      <c r="A277">
        <f t="shared" si="18"/>
        <v>276</v>
      </c>
      <c r="B277" s="13">
        <v>43831</v>
      </c>
      <c r="C277" s="7"/>
      <c r="D277" s="28" t="s">
        <v>9</v>
      </c>
      <c r="E277" s="7" t="s">
        <v>124</v>
      </c>
      <c r="F277" s="7">
        <v>75</v>
      </c>
      <c r="G277" s="7" t="s">
        <v>20</v>
      </c>
      <c r="H277" s="8" t="s">
        <v>85</v>
      </c>
      <c r="I277" s="3" t="s">
        <v>6</v>
      </c>
      <c r="J277" s="1">
        <v>0.89583333333333337</v>
      </c>
      <c r="K277" s="1">
        <v>0.35416666666666669</v>
      </c>
      <c r="L277">
        <v>0.15171000000000001</v>
      </c>
      <c r="M277">
        <v>21.63</v>
      </c>
      <c r="N277">
        <v>0</v>
      </c>
      <c r="O277" s="3">
        <f t="shared" si="19"/>
        <v>137.98769999999999</v>
      </c>
      <c r="P277" s="18"/>
      <c r="Q277" s="18"/>
      <c r="R277" s="18"/>
      <c r="S277" s="18"/>
      <c r="T277" s="18"/>
      <c r="U277" s="18"/>
      <c r="V277" s="18"/>
      <c r="W277" s="18"/>
    </row>
    <row r="278" spans="1:24" x14ac:dyDescent="0.2">
      <c r="A278">
        <f t="shared" si="18"/>
        <v>277</v>
      </c>
      <c r="B278" s="13">
        <v>43831</v>
      </c>
      <c r="C278" s="7"/>
      <c r="D278" s="28" t="s">
        <v>9</v>
      </c>
      <c r="E278" s="7" t="s">
        <v>125</v>
      </c>
      <c r="F278" s="7">
        <v>500</v>
      </c>
      <c r="G278" s="7" t="s">
        <v>20</v>
      </c>
      <c r="H278" s="8" t="s">
        <v>87</v>
      </c>
      <c r="I278" s="3" t="s">
        <v>6</v>
      </c>
      <c r="J278" s="1">
        <v>0.5</v>
      </c>
      <c r="K278" s="1">
        <v>0.75</v>
      </c>
      <c r="L278">
        <v>0.38624000000000003</v>
      </c>
      <c r="M278">
        <v>1.69</v>
      </c>
      <c r="N278">
        <v>20.55</v>
      </c>
      <c r="O278" s="3">
        <f>23.65503*30</f>
        <v>709.65089999999998</v>
      </c>
      <c r="P278" s="18"/>
      <c r="Q278" s="18"/>
      <c r="R278" s="18"/>
      <c r="S278" s="18"/>
      <c r="T278" s="18"/>
      <c r="U278" s="18"/>
      <c r="V278" s="18"/>
      <c r="W278" s="18"/>
    </row>
    <row r="279" spans="1:24" x14ac:dyDescent="0.2">
      <c r="A279">
        <f t="shared" si="18"/>
        <v>278</v>
      </c>
      <c r="B279" s="13">
        <v>43831</v>
      </c>
      <c r="C279" s="7"/>
      <c r="D279" s="28" t="s">
        <v>9</v>
      </c>
      <c r="E279" s="7" t="s">
        <v>125</v>
      </c>
      <c r="F279" s="7">
        <v>500</v>
      </c>
      <c r="G279" s="7" t="s">
        <v>20</v>
      </c>
      <c r="H279" s="8" t="s">
        <v>88</v>
      </c>
      <c r="I279" s="3" t="s">
        <v>6</v>
      </c>
      <c r="J279" s="1">
        <v>0.35416666666666669</v>
      </c>
      <c r="K279" s="1">
        <v>0.5</v>
      </c>
      <c r="L279">
        <v>0.18165999999999999</v>
      </c>
      <c r="M279">
        <v>0.57999999999999996</v>
      </c>
      <c r="N279" s="7">
        <v>20.55</v>
      </c>
      <c r="O279" s="3">
        <f t="shared" ref="O279:O286" si="20">23.65503*30</f>
        <v>709.65089999999998</v>
      </c>
      <c r="P279" s="18"/>
      <c r="Q279" s="18"/>
      <c r="R279" s="18"/>
      <c r="S279" s="18"/>
      <c r="T279" s="18"/>
      <c r="U279" s="18"/>
      <c r="V279" s="18"/>
      <c r="W279" s="18"/>
    </row>
    <row r="280" spans="1:24" x14ac:dyDescent="0.2">
      <c r="A280">
        <f t="shared" si="18"/>
        <v>279</v>
      </c>
      <c r="B280" s="13">
        <v>43831</v>
      </c>
      <c r="C280" s="7"/>
      <c r="D280" s="28" t="s">
        <v>9</v>
      </c>
      <c r="E280" s="7" t="s">
        <v>125</v>
      </c>
      <c r="F280" s="7">
        <v>500</v>
      </c>
      <c r="G280" s="7" t="s">
        <v>20</v>
      </c>
      <c r="H280" s="8" t="s">
        <v>88</v>
      </c>
      <c r="I280" s="3" t="s">
        <v>6</v>
      </c>
      <c r="J280" s="1">
        <v>0.75</v>
      </c>
      <c r="K280" s="1">
        <v>0.89583333333333337</v>
      </c>
      <c r="L280">
        <v>0.18165999999999999</v>
      </c>
      <c r="M280">
        <v>0.57999999999999996</v>
      </c>
      <c r="N280" s="7">
        <v>20.55</v>
      </c>
      <c r="O280" s="3">
        <f t="shared" si="20"/>
        <v>709.65089999999998</v>
      </c>
      <c r="P280" s="18"/>
      <c r="Q280" s="18"/>
      <c r="R280" s="18"/>
      <c r="S280" s="18"/>
      <c r="T280" s="18"/>
      <c r="U280" s="18"/>
      <c r="V280" s="18"/>
      <c r="W280" s="18"/>
    </row>
    <row r="281" spans="1:24" x14ac:dyDescent="0.2">
      <c r="A281">
        <f t="shared" si="18"/>
        <v>280</v>
      </c>
      <c r="B281" s="13">
        <v>43831</v>
      </c>
      <c r="C281" s="7"/>
      <c r="D281" s="28" t="s">
        <v>9</v>
      </c>
      <c r="E281" s="7" t="s">
        <v>125</v>
      </c>
      <c r="F281" s="7">
        <v>500</v>
      </c>
      <c r="G281" s="7" t="s">
        <v>20</v>
      </c>
      <c r="H281" s="8" t="s">
        <v>85</v>
      </c>
      <c r="I281" s="3" t="s">
        <v>6</v>
      </c>
      <c r="J281" s="1">
        <v>0.89583333333333337</v>
      </c>
      <c r="K281" s="1">
        <v>0.35416666666666669</v>
      </c>
      <c r="L281">
        <v>9.7110000000000002E-2</v>
      </c>
      <c r="M281" s="26">
        <v>0</v>
      </c>
      <c r="N281" s="7">
        <v>20.55</v>
      </c>
      <c r="O281" s="3">
        <f t="shared" si="20"/>
        <v>709.65089999999998</v>
      </c>
      <c r="P281" s="18"/>
      <c r="Q281" s="18"/>
      <c r="R281" s="18"/>
      <c r="S281" s="18"/>
      <c r="T281" s="18"/>
      <c r="U281" s="18"/>
      <c r="V281" s="18"/>
      <c r="W281" s="18"/>
    </row>
    <row r="282" spans="1:24" x14ac:dyDescent="0.2">
      <c r="A282">
        <f>A280+1</f>
        <v>280</v>
      </c>
      <c r="B282" s="13">
        <v>43831</v>
      </c>
      <c r="C282" s="7"/>
      <c r="D282" s="28" t="s">
        <v>9</v>
      </c>
      <c r="E282" s="7" t="s">
        <v>126</v>
      </c>
      <c r="F282" s="7">
        <v>500</v>
      </c>
      <c r="G282" s="7" t="s">
        <v>20</v>
      </c>
      <c r="H282" s="8" t="s">
        <v>87</v>
      </c>
      <c r="I282" s="3" t="s">
        <v>6</v>
      </c>
      <c r="J282" s="1">
        <v>0.5</v>
      </c>
      <c r="K282" s="1">
        <v>0.625</v>
      </c>
      <c r="L282">
        <v>0.38624000000000003</v>
      </c>
      <c r="M282">
        <v>1.69</v>
      </c>
      <c r="N282">
        <v>20.55</v>
      </c>
      <c r="O282" s="3">
        <f>23.65503*30</f>
        <v>709.65089999999998</v>
      </c>
      <c r="P282" s="18"/>
      <c r="Q282" s="18"/>
      <c r="R282" s="18"/>
      <c r="S282" s="18"/>
      <c r="T282" s="18"/>
      <c r="U282" s="18"/>
      <c r="V282" s="18"/>
      <c r="W282" s="18"/>
    </row>
    <row r="283" spans="1:24" x14ac:dyDescent="0.2">
      <c r="A283">
        <f>A281+1</f>
        <v>281</v>
      </c>
      <c r="B283" s="13">
        <v>43831</v>
      </c>
      <c r="C283" s="7"/>
      <c r="D283" s="28" t="s">
        <v>9</v>
      </c>
      <c r="E283" s="7" t="s">
        <v>126</v>
      </c>
      <c r="F283" s="7">
        <v>500</v>
      </c>
      <c r="G283" s="7" t="s">
        <v>20</v>
      </c>
      <c r="H283" s="8" t="s">
        <v>87</v>
      </c>
      <c r="I283" s="3" t="s">
        <v>6</v>
      </c>
      <c r="J283" s="1">
        <v>0.625</v>
      </c>
      <c r="K283" s="1">
        <v>0.75</v>
      </c>
      <c r="L283">
        <v>0.38624000000000003</v>
      </c>
      <c r="M283">
        <v>1.69</v>
      </c>
      <c r="N283">
        <v>20.55</v>
      </c>
      <c r="O283" s="3">
        <f>23.65503*30</f>
        <v>709.65089999999998</v>
      </c>
      <c r="P283" s="18"/>
      <c r="Q283" s="18"/>
      <c r="R283" s="18"/>
      <c r="S283" s="18"/>
      <c r="T283" s="18"/>
      <c r="U283" s="18"/>
      <c r="V283" s="18"/>
      <c r="W283" s="18"/>
    </row>
    <row r="284" spans="1:24" x14ac:dyDescent="0.2">
      <c r="A284">
        <f t="shared" si="18"/>
        <v>282</v>
      </c>
      <c r="B284" s="13">
        <v>43831</v>
      </c>
      <c r="C284" s="7"/>
      <c r="D284" s="28" t="s">
        <v>9</v>
      </c>
      <c r="E284" s="7" t="s">
        <v>126</v>
      </c>
      <c r="F284" s="7">
        <v>500</v>
      </c>
      <c r="G284" s="7" t="s">
        <v>20</v>
      </c>
      <c r="H284" s="8" t="s">
        <v>88</v>
      </c>
      <c r="I284" s="3" t="s">
        <v>6</v>
      </c>
      <c r="J284" s="1">
        <v>0.35416666666666669</v>
      </c>
      <c r="K284" s="1">
        <v>0.5</v>
      </c>
      <c r="L284">
        <v>0.18165999999999999</v>
      </c>
      <c r="M284">
        <v>0.57999999999999996</v>
      </c>
      <c r="N284" s="7">
        <v>20.55</v>
      </c>
      <c r="O284" s="3">
        <f t="shared" si="20"/>
        <v>709.65089999999998</v>
      </c>
      <c r="P284" s="18"/>
      <c r="Q284" s="18"/>
      <c r="R284" s="18"/>
      <c r="S284" s="18"/>
      <c r="T284" s="18"/>
      <c r="U284" s="18"/>
      <c r="V284" s="18"/>
      <c r="W284" s="18"/>
    </row>
    <row r="285" spans="1:24" x14ac:dyDescent="0.2">
      <c r="A285">
        <f t="shared" si="18"/>
        <v>283</v>
      </c>
      <c r="B285" s="13">
        <v>43831</v>
      </c>
      <c r="C285" s="7"/>
      <c r="D285" s="28" t="s">
        <v>9</v>
      </c>
      <c r="E285" s="7" t="s">
        <v>126</v>
      </c>
      <c r="F285" s="7">
        <v>500</v>
      </c>
      <c r="G285" s="7" t="s">
        <v>20</v>
      </c>
      <c r="H285" s="8" t="s">
        <v>88</v>
      </c>
      <c r="I285" s="3" t="s">
        <v>6</v>
      </c>
      <c r="J285" s="1">
        <v>0.75</v>
      </c>
      <c r="K285" s="1">
        <v>0.89583333333333337</v>
      </c>
      <c r="L285">
        <v>0.18165999999999999</v>
      </c>
      <c r="M285">
        <v>0.57999999999999996</v>
      </c>
      <c r="N285" s="7">
        <v>20.55</v>
      </c>
      <c r="O285" s="3">
        <f t="shared" si="20"/>
        <v>709.65089999999998</v>
      </c>
      <c r="P285" s="18"/>
      <c r="Q285" s="18"/>
      <c r="R285" s="18"/>
      <c r="S285" s="18"/>
      <c r="T285" s="18"/>
      <c r="U285" s="18"/>
      <c r="V285" s="18"/>
      <c r="W285" s="18"/>
    </row>
    <row r="286" spans="1:24" x14ac:dyDescent="0.2">
      <c r="A286">
        <f t="shared" si="18"/>
        <v>284</v>
      </c>
      <c r="B286" s="13">
        <v>43831</v>
      </c>
      <c r="C286" s="7"/>
      <c r="D286" s="28" t="s">
        <v>9</v>
      </c>
      <c r="E286" s="7" t="s">
        <v>126</v>
      </c>
      <c r="F286" s="7">
        <v>500</v>
      </c>
      <c r="G286" s="7" t="s">
        <v>20</v>
      </c>
      <c r="H286" s="8" t="s">
        <v>85</v>
      </c>
      <c r="I286" s="3" t="s">
        <v>6</v>
      </c>
      <c r="J286" s="1">
        <v>0.89583333333333337</v>
      </c>
      <c r="K286" s="1">
        <v>0.35416666666666669</v>
      </c>
      <c r="L286">
        <v>9.7110000000000002E-2</v>
      </c>
      <c r="M286" s="26">
        <v>0</v>
      </c>
      <c r="N286" s="7">
        <v>20.55</v>
      </c>
      <c r="O286" s="3">
        <f t="shared" si="20"/>
        <v>709.65089999999998</v>
      </c>
      <c r="P286" s="18"/>
      <c r="Q286" s="18"/>
      <c r="R286" s="18"/>
      <c r="S286" s="18"/>
      <c r="T286" s="18"/>
      <c r="U286" s="18"/>
      <c r="V286" s="18"/>
      <c r="W286" s="18"/>
    </row>
    <row r="287" spans="1:24" x14ac:dyDescent="0.2">
      <c r="A287">
        <f t="shared" si="18"/>
        <v>285</v>
      </c>
      <c r="B287" s="13">
        <v>43617</v>
      </c>
      <c r="D287" s="7" t="s">
        <v>26</v>
      </c>
      <c r="E287" s="7" t="s">
        <v>127</v>
      </c>
      <c r="F287" s="7">
        <v>25</v>
      </c>
      <c r="G287" s="7" t="s">
        <v>20</v>
      </c>
      <c r="H287" s="10" t="s">
        <v>31</v>
      </c>
      <c r="I287" s="7" t="s">
        <v>11</v>
      </c>
      <c r="J287" s="1">
        <v>0</v>
      </c>
      <c r="K287" s="1">
        <v>0</v>
      </c>
      <c r="L287">
        <v>3.4070000000000003E-2</v>
      </c>
      <c r="M287">
        <v>14.89</v>
      </c>
      <c r="O287" s="29">
        <v>25.64</v>
      </c>
      <c r="R287">
        <v>-1.5180000000000001E-2</v>
      </c>
      <c r="X287" s="38" t="s">
        <v>128</v>
      </c>
    </row>
    <row r="288" spans="1:24" x14ac:dyDescent="0.2">
      <c r="A288">
        <f t="shared" si="18"/>
        <v>286</v>
      </c>
      <c r="B288" s="13">
        <v>43617</v>
      </c>
      <c r="D288" s="7" t="s">
        <v>26</v>
      </c>
      <c r="E288" s="7" t="s">
        <v>127</v>
      </c>
      <c r="F288" s="7">
        <v>25</v>
      </c>
      <c r="G288" s="7" t="s">
        <v>22</v>
      </c>
      <c r="H288" s="10" t="s">
        <v>31</v>
      </c>
      <c r="I288" s="7" t="s">
        <v>11</v>
      </c>
      <c r="J288" s="1">
        <v>0</v>
      </c>
      <c r="K288" s="1">
        <v>0</v>
      </c>
      <c r="L288">
        <v>3.4070000000000003E-2</v>
      </c>
      <c r="M288">
        <v>10.49</v>
      </c>
      <c r="O288" s="29">
        <v>25.64</v>
      </c>
      <c r="R288">
        <v>-1.5180000000000001E-2</v>
      </c>
      <c r="X288" s="38"/>
    </row>
    <row r="289" spans="1:24" x14ac:dyDescent="0.2">
      <c r="A289">
        <f t="shared" si="18"/>
        <v>287</v>
      </c>
      <c r="B289" s="13">
        <v>43617</v>
      </c>
      <c r="D289" s="7" t="s">
        <v>26</v>
      </c>
      <c r="E289" s="7" t="s">
        <v>129</v>
      </c>
      <c r="F289" s="7">
        <v>25</v>
      </c>
      <c r="G289" s="7" t="s">
        <v>20</v>
      </c>
      <c r="H289" s="10" t="s">
        <v>31</v>
      </c>
      <c r="I289" s="7" t="s">
        <v>11</v>
      </c>
      <c r="J289" s="1">
        <v>0</v>
      </c>
      <c r="K289" s="1">
        <v>0</v>
      </c>
      <c r="L289">
        <f>0.03407+0.0247</f>
        <v>5.8770000000000003E-2</v>
      </c>
      <c r="M289">
        <v>14.89</v>
      </c>
      <c r="O289" s="29">
        <v>25.64</v>
      </c>
      <c r="R289">
        <v>-1.5180000000000001E-2</v>
      </c>
      <c r="X289" s="38" t="s">
        <v>128</v>
      </c>
    </row>
    <row r="290" spans="1:24" x14ac:dyDescent="0.2">
      <c r="A290">
        <f t="shared" si="18"/>
        <v>288</v>
      </c>
      <c r="B290" s="13">
        <v>43617</v>
      </c>
      <c r="D290" s="7" t="s">
        <v>26</v>
      </c>
      <c r="E290" s="7" t="s">
        <v>129</v>
      </c>
      <c r="F290" s="7">
        <v>25</v>
      </c>
      <c r="G290" s="7" t="s">
        <v>22</v>
      </c>
      <c r="H290" s="10" t="s">
        <v>31</v>
      </c>
      <c r="I290" s="7" t="s">
        <v>11</v>
      </c>
      <c r="J290" s="1">
        <v>0</v>
      </c>
      <c r="K290" s="1">
        <v>0</v>
      </c>
      <c r="L290">
        <f>0.03407+0.0247</f>
        <v>5.8770000000000003E-2</v>
      </c>
      <c r="M290">
        <v>10.49</v>
      </c>
      <c r="O290" s="29">
        <v>25.64</v>
      </c>
      <c r="R290">
        <v>-1.5180000000000001E-2</v>
      </c>
      <c r="X290" s="38"/>
    </row>
    <row r="291" spans="1:24" x14ac:dyDescent="0.2">
      <c r="A291">
        <f t="shared" si="18"/>
        <v>289</v>
      </c>
      <c r="B291" s="27">
        <v>43983</v>
      </c>
      <c r="D291" s="7" t="s">
        <v>9</v>
      </c>
      <c r="E291" s="7" t="s">
        <v>130</v>
      </c>
      <c r="F291" s="7">
        <v>0</v>
      </c>
      <c r="G291" s="10" t="s">
        <v>31</v>
      </c>
      <c r="H291" s="10" t="s">
        <v>87</v>
      </c>
      <c r="I291" s="7" t="s">
        <v>11</v>
      </c>
      <c r="J291" s="1">
        <v>0.66666666666666663</v>
      </c>
      <c r="K291" s="1">
        <v>0.875</v>
      </c>
      <c r="L291">
        <v>0.33302999999999999</v>
      </c>
      <c r="M291">
        <v>0</v>
      </c>
      <c r="N291">
        <v>1.24</v>
      </c>
      <c r="O291" s="29">
        <v>0</v>
      </c>
      <c r="W291">
        <v>2.48</v>
      </c>
      <c r="X291" s="36" t="s">
        <v>133</v>
      </c>
    </row>
    <row r="292" spans="1:24" x14ac:dyDescent="0.2">
      <c r="A292">
        <f t="shared" si="18"/>
        <v>290</v>
      </c>
      <c r="B292" s="27">
        <v>43983</v>
      </c>
      <c r="D292" s="7" t="s">
        <v>9</v>
      </c>
      <c r="E292" s="7" t="s">
        <v>130</v>
      </c>
      <c r="F292" s="7">
        <v>0</v>
      </c>
      <c r="G292" s="10" t="s">
        <v>31</v>
      </c>
      <c r="H292" s="10" t="s">
        <v>85</v>
      </c>
      <c r="I292" s="7" t="s">
        <v>11</v>
      </c>
      <c r="J292" s="1">
        <v>0.875</v>
      </c>
      <c r="K292" s="1">
        <v>0.375</v>
      </c>
      <c r="L292">
        <v>0.14102000000000001</v>
      </c>
      <c r="M292">
        <v>0</v>
      </c>
      <c r="N292">
        <v>1.24</v>
      </c>
      <c r="O292" s="29">
        <v>0</v>
      </c>
      <c r="W292">
        <v>2.48</v>
      </c>
      <c r="X292" s="36"/>
    </row>
    <row r="293" spans="1:24" x14ac:dyDescent="0.2">
      <c r="A293">
        <f t="shared" si="18"/>
        <v>291</v>
      </c>
      <c r="B293" s="27">
        <v>43983</v>
      </c>
      <c r="D293" s="7" t="s">
        <v>9</v>
      </c>
      <c r="E293" s="7" t="s">
        <v>130</v>
      </c>
      <c r="F293" s="7">
        <v>0</v>
      </c>
      <c r="G293" s="10" t="s">
        <v>31</v>
      </c>
      <c r="H293" s="10" t="s">
        <v>131</v>
      </c>
      <c r="I293" s="7" t="s">
        <v>11</v>
      </c>
      <c r="J293" s="1">
        <v>0.375</v>
      </c>
      <c r="K293" s="1">
        <v>0.66666666666666663</v>
      </c>
      <c r="L293">
        <v>0.11436</v>
      </c>
      <c r="M293">
        <v>0</v>
      </c>
      <c r="N293">
        <v>1.24</v>
      </c>
      <c r="O293" s="29">
        <v>0</v>
      </c>
      <c r="W293">
        <v>2.48</v>
      </c>
      <c r="X293" s="36"/>
    </row>
    <row r="294" spans="1:24" x14ac:dyDescent="0.2">
      <c r="A294">
        <f t="shared" si="18"/>
        <v>292</v>
      </c>
      <c r="B294" s="27">
        <v>43983</v>
      </c>
      <c r="D294" s="7" t="s">
        <v>9</v>
      </c>
      <c r="E294" s="7" t="s">
        <v>134</v>
      </c>
      <c r="F294" s="7">
        <v>100</v>
      </c>
      <c r="G294" s="10" t="s">
        <v>31</v>
      </c>
      <c r="H294" s="10" t="s">
        <v>87</v>
      </c>
      <c r="I294" s="7" t="s">
        <v>11</v>
      </c>
      <c r="J294" s="1">
        <v>0.66666666666666663</v>
      </c>
      <c r="K294" s="1">
        <v>0.875</v>
      </c>
      <c r="L294">
        <v>0.34844000000000003</v>
      </c>
      <c r="M294">
        <v>0</v>
      </c>
      <c r="N294">
        <v>1.91</v>
      </c>
      <c r="O294" s="29">
        <v>0</v>
      </c>
      <c r="W294">
        <v>3.82</v>
      </c>
      <c r="X294" s="36" t="s">
        <v>135</v>
      </c>
    </row>
    <row r="295" spans="1:24" x14ac:dyDescent="0.2">
      <c r="A295">
        <f t="shared" si="18"/>
        <v>293</v>
      </c>
      <c r="B295" s="27">
        <v>43983</v>
      </c>
      <c r="D295" s="7" t="s">
        <v>9</v>
      </c>
      <c r="E295" s="7" t="s">
        <v>134</v>
      </c>
      <c r="F295" s="7">
        <v>100</v>
      </c>
      <c r="G295" s="10" t="s">
        <v>31</v>
      </c>
      <c r="H295" s="10" t="s">
        <v>85</v>
      </c>
      <c r="I295" s="7" t="s">
        <v>11</v>
      </c>
      <c r="J295" s="1">
        <v>0.875</v>
      </c>
      <c r="K295" s="1">
        <v>0.375</v>
      </c>
      <c r="L295">
        <v>0.13521</v>
      </c>
      <c r="M295">
        <v>0</v>
      </c>
      <c r="N295">
        <v>1.91</v>
      </c>
      <c r="O295" s="29">
        <v>0</v>
      </c>
      <c r="W295">
        <v>3.82</v>
      </c>
      <c r="X295" s="36"/>
    </row>
    <row r="296" spans="1:24" x14ac:dyDescent="0.2">
      <c r="A296">
        <f t="shared" si="18"/>
        <v>294</v>
      </c>
      <c r="B296" s="27">
        <v>43983</v>
      </c>
      <c r="D296" s="7" t="s">
        <v>9</v>
      </c>
      <c r="E296" s="7" t="s">
        <v>134</v>
      </c>
      <c r="F296" s="7">
        <v>100</v>
      </c>
      <c r="G296" s="10" t="s">
        <v>31</v>
      </c>
      <c r="H296" s="10" t="s">
        <v>131</v>
      </c>
      <c r="I296" s="7" t="s">
        <v>11</v>
      </c>
      <c r="J296" s="1">
        <v>0.375</v>
      </c>
      <c r="K296" s="1">
        <v>0.66666666666666663</v>
      </c>
      <c r="L296">
        <v>0.11194</v>
      </c>
      <c r="M296">
        <v>0</v>
      </c>
      <c r="N296">
        <v>1.91</v>
      </c>
      <c r="O296" s="29">
        <v>0</v>
      </c>
      <c r="W296">
        <v>3.82</v>
      </c>
      <c r="X296" s="36"/>
    </row>
    <row r="297" spans="1:24" x14ac:dyDescent="0.2">
      <c r="A297">
        <f t="shared" si="18"/>
        <v>295</v>
      </c>
      <c r="B297" s="27">
        <v>43983</v>
      </c>
      <c r="D297" s="7" t="s">
        <v>9</v>
      </c>
      <c r="E297" s="7" t="s">
        <v>136</v>
      </c>
      <c r="F297" s="7">
        <v>100</v>
      </c>
      <c r="G297" s="10" t="s">
        <v>31</v>
      </c>
      <c r="H297" s="10" t="s">
        <v>87</v>
      </c>
      <c r="I297" s="7" t="s">
        <v>11</v>
      </c>
      <c r="J297" s="1">
        <v>0.66666666666666663</v>
      </c>
      <c r="K297" s="1">
        <v>0.875</v>
      </c>
      <c r="L297">
        <v>0.34079999999999999</v>
      </c>
      <c r="M297">
        <v>0</v>
      </c>
      <c r="N297">
        <v>1.72</v>
      </c>
      <c r="O297" s="29">
        <v>0</v>
      </c>
      <c r="W297">
        <v>3.44</v>
      </c>
      <c r="X297" s="36" t="s">
        <v>135</v>
      </c>
    </row>
    <row r="298" spans="1:24" x14ac:dyDescent="0.2">
      <c r="A298">
        <f t="shared" si="18"/>
        <v>296</v>
      </c>
      <c r="B298" s="27">
        <v>43983</v>
      </c>
      <c r="D298" s="7" t="s">
        <v>9</v>
      </c>
      <c r="E298" s="7" t="s">
        <v>136</v>
      </c>
      <c r="F298" s="7">
        <v>100</v>
      </c>
      <c r="G298" s="10" t="s">
        <v>31</v>
      </c>
      <c r="H298" s="10" t="s">
        <v>85</v>
      </c>
      <c r="I298" s="7" t="s">
        <v>11</v>
      </c>
      <c r="J298" s="1">
        <v>0.875</v>
      </c>
      <c r="K298" s="1">
        <v>0.375</v>
      </c>
      <c r="L298">
        <v>0.13192000000000001</v>
      </c>
      <c r="M298">
        <v>0</v>
      </c>
      <c r="N298">
        <v>1.72</v>
      </c>
      <c r="O298" s="29">
        <v>0</v>
      </c>
      <c r="W298">
        <v>3.44</v>
      </c>
      <c r="X298" s="36"/>
    </row>
    <row r="299" spans="1:24" x14ac:dyDescent="0.2">
      <c r="A299">
        <f t="shared" si="18"/>
        <v>297</v>
      </c>
      <c r="B299" s="27">
        <v>43983</v>
      </c>
      <c r="D299" s="7" t="s">
        <v>9</v>
      </c>
      <c r="E299" s="7" t="s">
        <v>136</v>
      </c>
      <c r="F299" s="7">
        <v>100</v>
      </c>
      <c r="G299" s="10" t="s">
        <v>31</v>
      </c>
      <c r="H299" s="10" t="s">
        <v>131</v>
      </c>
      <c r="I299" s="7" t="s">
        <v>11</v>
      </c>
      <c r="J299" s="1">
        <v>0.375</v>
      </c>
      <c r="K299" s="1">
        <v>0.66666666666666663</v>
      </c>
      <c r="L299">
        <v>0.10926</v>
      </c>
      <c r="M299">
        <v>0</v>
      </c>
      <c r="N299">
        <v>1.72</v>
      </c>
      <c r="O299" s="29">
        <v>0</v>
      </c>
      <c r="W299">
        <v>3.44</v>
      </c>
      <c r="X299" s="36"/>
    </row>
    <row r="300" spans="1:24" x14ac:dyDescent="0.2">
      <c r="A300">
        <f t="shared" si="18"/>
        <v>298</v>
      </c>
      <c r="B300" s="27">
        <v>41456</v>
      </c>
      <c r="D300" s="7" t="s">
        <v>137</v>
      </c>
      <c r="E300" s="7" t="s">
        <v>138</v>
      </c>
      <c r="F300" s="7">
        <v>0</v>
      </c>
      <c r="G300" s="10" t="s">
        <v>31</v>
      </c>
      <c r="H300" s="10" t="s">
        <v>31</v>
      </c>
      <c r="I300" s="7" t="s">
        <v>11</v>
      </c>
      <c r="J300" s="1">
        <v>0</v>
      </c>
      <c r="K300" s="1">
        <v>0</v>
      </c>
      <c r="L300">
        <v>0.18762999999999999</v>
      </c>
      <c r="M300">
        <v>0</v>
      </c>
      <c r="N300">
        <v>0</v>
      </c>
      <c r="O300" s="29">
        <v>14</v>
      </c>
      <c r="X300" s="38" t="s">
        <v>144</v>
      </c>
    </row>
    <row r="301" spans="1:24" x14ac:dyDescent="0.2">
      <c r="A301">
        <f t="shared" si="18"/>
        <v>299</v>
      </c>
      <c r="B301" s="27">
        <v>41456</v>
      </c>
      <c r="D301" s="7" t="s">
        <v>137</v>
      </c>
      <c r="E301" s="7" t="s">
        <v>139</v>
      </c>
      <c r="F301" s="7">
        <v>0</v>
      </c>
      <c r="G301" s="10" t="s">
        <v>31</v>
      </c>
      <c r="H301" s="10" t="s">
        <v>31</v>
      </c>
      <c r="I301" s="7" t="s">
        <v>11</v>
      </c>
      <c r="J301" s="1">
        <v>0</v>
      </c>
      <c r="K301" s="1">
        <v>0</v>
      </c>
      <c r="L301">
        <v>0.19950000000000001</v>
      </c>
      <c r="M301">
        <v>0</v>
      </c>
      <c r="N301">
        <v>0</v>
      </c>
      <c r="O301" s="29">
        <f>O300+((L300-L301)*2500)</f>
        <v>-15.675000000000047</v>
      </c>
      <c r="X301" s="38"/>
    </row>
    <row r="302" spans="1:24" x14ac:dyDescent="0.2">
      <c r="A302">
        <f t="shared" si="18"/>
        <v>300</v>
      </c>
      <c r="B302" s="27">
        <v>41456</v>
      </c>
      <c r="D302" s="7" t="s">
        <v>137</v>
      </c>
      <c r="E302" s="7" t="s">
        <v>140</v>
      </c>
      <c r="F302" s="7">
        <v>0</v>
      </c>
      <c r="G302" s="10" t="s">
        <v>31</v>
      </c>
      <c r="H302" s="10" t="s">
        <v>31</v>
      </c>
      <c r="I302" s="7" t="s">
        <v>11</v>
      </c>
      <c r="J302" s="1">
        <v>0</v>
      </c>
      <c r="K302" s="1">
        <v>0</v>
      </c>
      <c r="L302">
        <v>0.20452000000000001</v>
      </c>
      <c r="M302">
        <v>0</v>
      </c>
      <c r="N302">
        <v>0</v>
      </c>
      <c r="O302" s="29">
        <f>O301+((10000-2501)*(L301-L302))</f>
        <v>-53.319980000000022</v>
      </c>
      <c r="X302" s="38"/>
    </row>
    <row r="303" spans="1:24" x14ac:dyDescent="0.2">
      <c r="A303">
        <f t="shared" si="18"/>
        <v>301</v>
      </c>
      <c r="B303" s="27">
        <v>41456</v>
      </c>
      <c r="D303" s="7" t="s">
        <v>137</v>
      </c>
      <c r="E303" s="7" t="s">
        <v>141</v>
      </c>
      <c r="F303" s="7">
        <v>0</v>
      </c>
      <c r="G303" s="10" t="s">
        <v>31</v>
      </c>
      <c r="H303" s="10" t="s">
        <v>31</v>
      </c>
      <c r="I303" s="7" t="s">
        <v>11</v>
      </c>
      <c r="J303" s="1">
        <v>0</v>
      </c>
      <c r="K303" s="1">
        <v>0</v>
      </c>
      <c r="L303">
        <v>0.18762999999999999</v>
      </c>
      <c r="M303">
        <v>0</v>
      </c>
      <c r="N303">
        <v>0</v>
      </c>
      <c r="O303" s="29">
        <v>17.5</v>
      </c>
      <c r="X303" s="38" t="s">
        <v>144</v>
      </c>
    </row>
    <row r="304" spans="1:24" x14ac:dyDescent="0.2">
      <c r="A304">
        <f t="shared" si="18"/>
        <v>302</v>
      </c>
      <c r="B304" s="27">
        <v>41456</v>
      </c>
      <c r="D304" s="7" t="s">
        <v>137</v>
      </c>
      <c r="E304" s="7" t="s">
        <v>142</v>
      </c>
      <c r="F304" s="7">
        <v>0</v>
      </c>
      <c r="G304" s="10" t="s">
        <v>31</v>
      </c>
      <c r="H304" s="10" t="s">
        <v>31</v>
      </c>
      <c r="I304" s="7" t="s">
        <v>11</v>
      </c>
      <c r="J304" s="1">
        <v>0</v>
      </c>
      <c r="K304" s="1">
        <v>0</v>
      </c>
      <c r="L304">
        <v>0.19950000000000001</v>
      </c>
      <c r="M304">
        <v>0</v>
      </c>
      <c r="N304">
        <v>0</v>
      </c>
      <c r="O304" s="29">
        <f>O303+((L303-L304)*2500)</f>
        <v>-12.175000000000047</v>
      </c>
      <c r="X304" s="38"/>
    </row>
    <row r="305" spans="1:24" x14ac:dyDescent="0.2">
      <c r="A305">
        <f t="shared" si="18"/>
        <v>303</v>
      </c>
      <c r="B305" s="27">
        <v>41456</v>
      </c>
      <c r="D305" s="7" t="s">
        <v>137</v>
      </c>
      <c r="E305" s="7" t="s">
        <v>143</v>
      </c>
      <c r="F305" s="7">
        <v>0</v>
      </c>
      <c r="G305" s="10" t="s">
        <v>31</v>
      </c>
      <c r="H305" s="10" t="s">
        <v>31</v>
      </c>
      <c r="I305" s="7" t="s">
        <v>11</v>
      </c>
      <c r="J305" s="1">
        <v>0</v>
      </c>
      <c r="K305" s="1">
        <v>0</v>
      </c>
      <c r="L305">
        <v>0.20452000000000001</v>
      </c>
      <c r="M305">
        <v>0</v>
      </c>
      <c r="N305">
        <v>0</v>
      </c>
      <c r="O305" s="29">
        <f>O304+((10000-2501)*(L304-L305))</f>
        <v>-49.819980000000022</v>
      </c>
      <c r="X305" s="38"/>
    </row>
    <row r="306" spans="1:24" x14ac:dyDescent="0.2">
      <c r="A306">
        <f t="shared" si="18"/>
        <v>304</v>
      </c>
      <c r="B306" s="27">
        <v>41456</v>
      </c>
      <c r="D306" s="7" t="s">
        <v>137</v>
      </c>
      <c r="E306" s="7" t="s">
        <v>145</v>
      </c>
      <c r="F306" s="7">
        <v>20</v>
      </c>
      <c r="G306" s="10" t="s">
        <v>31</v>
      </c>
      <c r="H306" s="10" t="s">
        <v>31</v>
      </c>
      <c r="I306" s="7" t="s">
        <v>11</v>
      </c>
      <c r="J306" s="1">
        <v>0</v>
      </c>
      <c r="K306" s="1">
        <v>0</v>
      </c>
      <c r="L306">
        <v>0.18049999999999999</v>
      </c>
      <c r="M306">
        <v>3.75</v>
      </c>
      <c r="N306">
        <v>0</v>
      </c>
      <c r="O306" s="29">
        <f>14-(M306*20)</f>
        <v>-61</v>
      </c>
      <c r="X306" s="38" t="s">
        <v>146</v>
      </c>
    </row>
    <row r="307" spans="1:24" x14ac:dyDescent="0.2">
      <c r="A307">
        <f t="shared" si="18"/>
        <v>305</v>
      </c>
      <c r="B307" s="27">
        <v>41456</v>
      </c>
      <c r="D307" s="7" t="s">
        <v>137</v>
      </c>
      <c r="E307" s="7" t="s">
        <v>147</v>
      </c>
      <c r="F307" s="7">
        <v>20</v>
      </c>
      <c r="G307" s="10" t="s">
        <v>31</v>
      </c>
      <c r="H307" s="10" t="s">
        <v>31</v>
      </c>
      <c r="I307" s="7" t="s">
        <v>11</v>
      </c>
      <c r="J307" s="1">
        <v>0</v>
      </c>
      <c r="K307" s="1">
        <v>0</v>
      </c>
      <c r="L307">
        <v>0.18525</v>
      </c>
      <c r="M307">
        <v>3.75</v>
      </c>
      <c r="N307">
        <v>0</v>
      </c>
      <c r="O307" s="29">
        <f>O306+((L306-L307)*7500)</f>
        <v>-96.625000000000028</v>
      </c>
      <c r="X307" s="38"/>
    </row>
    <row r="308" spans="1:24" x14ac:dyDescent="0.2">
      <c r="A308">
        <f t="shared" si="18"/>
        <v>306</v>
      </c>
      <c r="B308" s="27">
        <v>41456</v>
      </c>
      <c r="D308" s="7" t="s">
        <v>137</v>
      </c>
      <c r="E308" s="7" t="s">
        <v>148</v>
      </c>
      <c r="F308" s="7">
        <v>20</v>
      </c>
      <c r="G308" s="10" t="s">
        <v>31</v>
      </c>
      <c r="H308" s="10" t="s">
        <v>31</v>
      </c>
      <c r="I308" s="7" t="s">
        <v>11</v>
      </c>
      <c r="J308" s="1">
        <v>0</v>
      </c>
      <c r="K308" s="1">
        <v>0</v>
      </c>
      <c r="L308">
        <v>0.18049999999999999</v>
      </c>
      <c r="M308">
        <v>3.75</v>
      </c>
      <c r="N308">
        <v>0</v>
      </c>
      <c r="O308" s="29">
        <f>17.5-(M308*20)</f>
        <v>-57.5</v>
      </c>
      <c r="X308" s="38" t="s">
        <v>146</v>
      </c>
    </row>
    <row r="309" spans="1:24" x14ac:dyDescent="0.2">
      <c r="A309">
        <f t="shared" si="18"/>
        <v>307</v>
      </c>
      <c r="B309" s="27">
        <v>41456</v>
      </c>
      <c r="D309" s="7" t="s">
        <v>137</v>
      </c>
      <c r="E309" s="7" t="s">
        <v>149</v>
      </c>
      <c r="F309" s="7">
        <v>20</v>
      </c>
      <c r="G309" s="10" t="s">
        <v>31</v>
      </c>
      <c r="H309" s="10" t="s">
        <v>31</v>
      </c>
      <c r="I309" s="7" t="s">
        <v>11</v>
      </c>
      <c r="J309" s="1">
        <v>0</v>
      </c>
      <c r="K309" s="1">
        <v>0</v>
      </c>
      <c r="L309">
        <v>0.18525</v>
      </c>
      <c r="M309">
        <v>3.75</v>
      </c>
      <c r="N309">
        <v>0</v>
      </c>
      <c r="O309" s="29">
        <f>O308+((L308-L309)*7500)</f>
        <v>-93.125000000000028</v>
      </c>
      <c r="X309" s="38"/>
    </row>
    <row r="310" spans="1:24" x14ac:dyDescent="0.2">
      <c r="A310">
        <f t="shared" si="18"/>
        <v>308</v>
      </c>
      <c r="B310" s="27">
        <v>43435</v>
      </c>
      <c r="D310" s="7" t="s">
        <v>155</v>
      </c>
      <c r="E310" s="7" t="s">
        <v>150</v>
      </c>
      <c r="F310" s="7" t="s">
        <v>154</v>
      </c>
      <c r="G310" s="10" t="s">
        <v>31</v>
      </c>
      <c r="H310" s="10" t="s">
        <v>31</v>
      </c>
      <c r="I310" s="7" t="s">
        <v>11</v>
      </c>
      <c r="J310" s="1">
        <v>0</v>
      </c>
      <c r="K310" s="1">
        <v>0</v>
      </c>
      <c r="L310">
        <v>0.15</v>
      </c>
      <c r="M310">
        <v>0</v>
      </c>
      <c r="N310">
        <v>0</v>
      </c>
      <c r="O310" s="29">
        <v>25</v>
      </c>
      <c r="X310" t="s">
        <v>152</v>
      </c>
    </row>
    <row r="311" spans="1:24" x14ac:dyDescent="0.2">
      <c r="A311">
        <f t="shared" si="18"/>
        <v>309</v>
      </c>
      <c r="B311" s="27">
        <v>43435</v>
      </c>
      <c r="D311" s="7" t="s">
        <v>155</v>
      </c>
      <c r="E311" s="7" t="s">
        <v>151</v>
      </c>
      <c r="F311" t="s">
        <v>154</v>
      </c>
      <c r="G311" s="10" t="s">
        <v>31</v>
      </c>
      <c r="H311" s="10" t="s">
        <v>31</v>
      </c>
      <c r="I311" s="7" t="s">
        <v>11</v>
      </c>
      <c r="J311" s="1">
        <v>0</v>
      </c>
      <c r="K311" s="1">
        <v>0</v>
      </c>
      <c r="L311">
        <v>0.13</v>
      </c>
      <c r="M311">
        <v>6</v>
      </c>
      <c r="N311">
        <v>0</v>
      </c>
      <c r="O311" s="29">
        <v>44</v>
      </c>
      <c r="X311" t="s">
        <v>153</v>
      </c>
    </row>
    <row r="312" spans="1:24" x14ac:dyDescent="0.2">
      <c r="A312">
        <f t="shared" si="18"/>
        <v>310</v>
      </c>
      <c r="B312" s="27">
        <v>43831</v>
      </c>
      <c r="D312" s="7" t="s">
        <v>156</v>
      </c>
      <c r="E312" s="7" t="s">
        <v>157</v>
      </c>
      <c r="F312">
        <v>350</v>
      </c>
      <c r="G312" s="10" t="s">
        <v>20</v>
      </c>
      <c r="H312" s="10" t="s">
        <v>31</v>
      </c>
      <c r="I312" s="7" t="s">
        <v>11</v>
      </c>
      <c r="J312" s="1">
        <v>0</v>
      </c>
      <c r="K312" s="1">
        <v>0</v>
      </c>
      <c r="L312">
        <f>0.059147-0.000983-0.001831+0.003489-0.000079+0.00126</f>
        <v>6.1002999999999995E-2</v>
      </c>
      <c r="M312">
        <v>8.31</v>
      </c>
      <c r="N312">
        <v>0</v>
      </c>
      <c r="O312" s="29">
        <v>105.74</v>
      </c>
    </row>
    <row r="313" spans="1:24" x14ac:dyDescent="0.2">
      <c r="A313">
        <f t="shared" si="18"/>
        <v>311</v>
      </c>
      <c r="B313" s="27">
        <v>43831</v>
      </c>
      <c r="D313" s="7" t="s">
        <v>156</v>
      </c>
      <c r="E313" s="7" t="s">
        <v>157</v>
      </c>
      <c r="F313">
        <v>350</v>
      </c>
      <c r="G313" s="10" t="s">
        <v>22</v>
      </c>
      <c r="H313" s="10" t="s">
        <v>31</v>
      </c>
      <c r="I313" s="7" t="s">
        <v>11</v>
      </c>
      <c r="J313" s="1">
        <v>0</v>
      </c>
      <c r="K313" s="1">
        <v>0</v>
      </c>
      <c r="L313">
        <v>0</v>
      </c>
      <c r="M313">
        <v>12.28</v>
      </c>
      <c r="N313">
        <v>0</v>
      </c>
      <c r="O313" s="29">
        <v>105.74</v>
      </c>
    </row>
    <row r="314" spans="1:24" x14ac:dyDescent="0.2">
      <c r="A314">
        <f t="shared" si="18"/>
        <v>312</v>
      </c>
      <c r="B314" s="27">
        <v>44136</v>
      </c>
      <c r="D314" s="7" t="s">
        <v>158</v>
      </c>
      <c r="E314" s="7" t="s">
        <v>159</v>
      </c>
      <c r="G314" s="10" t="s">
        <v>31</v>
      </c>
      <c r="H314" s="10" t="s">
        <v>31</v>
      </c>
      <c r="I314" s="7" t="s">
        <v>11</v>
      </c>
      <c r="J314" s="1">
        <v>0</v>
      </c>
      <c r="K314" s="1">
        <v>0</v>
      </c>
      <c r="L314">
        <v>0</v>
      </c>
      <c r="M314">
        <v>0</v>
      </c>
      <c r="N314">
        <v>0</v>
      </c>
      <c r="O314" s="2">
        <v>0</v>
      </c>
    </row>
    <row r="315" spans="1:24" x14ac:dyDescent="0.2">
      <c r="A315">
        <f t="shared" si="18"/>
        <v>313</v>
      </c>
      <c r="B315" s="27">
        <v>44136</v>
      </c>
      <c r="D315" s="7" t="s">
        <v>158</v>
      </c>
      <c r="E315" s="7" t="s">
        <v>160</v>
      </c>
      <c r="G315" s="10" t="s">
        <v>31</v>
      </c>
      <c r="H315" s="10">
        <v>1</v>
      </c>
      <c r="I315" s="7" t="s">
        <v>11</v>
      </c>
      <c r="J315" s="1">
        <v>0.75</v>
      </c>
      <c r="K315" s="1">
        <v>0.20833333333333334</v>
      </c>
      <c r="L315">
        <v>0</v>
      </c>
      <c r="M315">
        <v>0</v>
      </c>
      <c r="N315">
        <v>0</v>
      </c>
      <c r="O315" s="2">
        <v>0</v>
      </c>
    </row>
    <row r="316" spans="1:24" x14ac:dyDescent="0.2">
      <c r="A316">
        <f t="shared" si="18"/>
        <v>314</v>
      </c>
      <c r="B316" s="27">
        <v>44136</v>
      </c>
      <c r="D316" s="7" t="s">
        <v>158</v>
      </c>
      <c r="E316" s="7" t="s">
        <v>160</v>
      </c>
      <c r="G316" s="10" t="s">
        <v>31</v>
      </c>
      <c r="H316" s="10">
        <v>2</v>
      </c>
      <c r="I316" s="7" t="s">
        <v>11</v>
      </c>
      <c r="J316" s="1">
        <v>0.20833333333333334</v>
      </c>
      <c r="K316" s="1">
        <v>0.75</v>
      </c>
      <c r="L316">
        <v>0.01</v>
      </c>
      <c r="M316">
        <v>1</v>
      </c>
      <c r="N316">
        <v>0</v>
      </c>
      <c r="O316" s="2">
        <v>0</v>
      </c>
    </row>
    <row r="317" spans="1:24" x14ac:dyDescent="0.2">
      <c r="A317">
        <f t="shared" si="18"/>
        <v>315</v>
      </c>
      <c r="B317" s="27">
        <v>44075</v>
      </c>
      <c r="D317" s="7" t="s">
        <v>64</v>
      </c>
      <c r="E317" s="7" t="s">
        <v>162</v>
      </c>
      <c r="G317" s="10" t="s">
        <v>31</v>
      </c>
      <c r="H317" s="10" t="s">
        <v>31</v>
      </c>
      <c r="I317" s="7" t="s">
        <v>11</v>
      </c>
      <c r="J317" s="12">
        <v>0</v>
      </c>
      <c r="K317" s="12">
        <v>0</v>
      </c>
      <c r="L317">
        <v>6.7141000000000006E-2</v>
      </c>
      <c r="M317" s="14">
        <v>3.8932000000000002</v>
      </c>
      <c r="O317" s="30">
        <f>19.39+V317+T317+U317</f>
        <v>42.569140999999945</v>
      </c>
      <c r="T317" s="18">
        <f>3000*0.112849</f>
        <v>338.54700000000003</v>
      </c>
      <c r="U317">
        <f>6000*0.067605</f>
        <v>405.63</v>
      </c>
      <c r="V317" s="20">
        <f>(-M317*30)+(-8999*L317)</f>
        <v>-720.99785900000006</v>
      </c>
      <c r="X317" s="31" t="s">
        <v>161</v>
      </c>
    </row>
    <row r="318" spans="1:24" x14ac:dyDescent="0.2">
      <c r="A318">
        <f t="shared" si="18"/>
        <v>316</v>
      </c>
      <c r="B318" s="27">
        <v>44075</v>
      </c>
      <c r="D318" s="7" t="s">
        <v>64</v>
      </c>
      <c r="E318" s="7" t="s">
        <v>163</v>
      </c>
      <c r="G318" s="10" t="s">
        <v>31</v>
      </c>
      <c r="H318" s="10" t="s">
        <v>31</v>
      </c>
      <c r="I318" s="7" t="s">
        <v>11</v>
      </c>
      <c r="J318" s="12">
        <v>0</v>
      </c>
      <c r="K318" s="12">
        <v>0</v>
      </c>
      <c r="L318">
        <v>5.2444999999999999E-2</v>
      </c>
      <c r="M318" s="14">
        <v>3.8932000000000002</v>
      </c>
      <c r="O318" s="30">
        <f>19.39+V318+T318+U318</f>
        <v>-52.497554999999977</v>
      </c>
      <c r="T318" s="18">
        <f>3000*0.062729</f>
        <v>188.18699999999998</v>
      </c>
      <c r="U318">
        <f>6000*0.054779</f>
        <v>328.67400000000004</v>
      </c>
      <c r="V318" s="20">
        <f>(-M318*30)+(-8999*L318)</f>
        <v>-588.74855500000001</v>
      </c>
      <c r="X318" s="31" t="s">
        <v>161</v>
      </c>
    </row>
    <row r="319" spans="1:24" x14ac:dyDescent="0.2">
      <c r="A319">
        <f t="shared" si="18"/>
        <v>317</v>
      </c>
      <c r="B319" s="27">
        <v>44075</v>
      </c>
      <c r="D319" s="7" t="s">
        <v>64</v>
      </c>
      <c r="E319" s="7" t="s">
        <v>166</v>
      </c>
      <c r="G319" s="10" t="s">
        <v>31</v>
      </c>
      <c r="H319" s="10" t="s">
        <v>31</v>
      </c>
      <c r="I319" s="7" t="s">
        <v>11</v>
      </c>
      <c r="J319" s="12">
        <v>0</v>
      </c>
      <c r="K319" s="12">
        <v>0</v>
      </c>
      <c r="L319">
        <v>5.1138000000000003E-2</v>
      </c>
      <c r="M319" s="14">
        <v>3.8932000000000002</v>
      </c>
      <c r="O319" s="30">
        <f>19.39+V319+T319+U319</f>
        <v>-97.406000000000006</v>
      </c>
      <c r="T319" s="18"/>
      <c r="V319" s="20">
        <f>(-M319*30)</f>
        <v>-116.79600000000001</v>
      </c>
      <c r="X319" s="31" t="s">
        <v>161</v>
      </c>
    </row>
    <row r="320" spans="1:24" x14ac:dyDescent="0.2">
      <c r="A320">
        <f t="shared" si="18"/>
        <v>318</v>
      </c>
      <c r="B320" s="27">
        <v>44075</v>
      </c>
      <c r="D320" s="7" t="s">
        <v>64</v>
      </c>
      <c r="E320" s="7" t="s">
        <v>164</v>
      </c>
      <c r="F320">
        <v>75</v>
      </c>
      <c r="G320" s="10" t="s">
        <v>31</v>
      </c>
      <c r="H320" s="10" t="s">
        <v>31</v>
      </c>
      <c r="I320" s="7" t="s">
        <v>11</v>
      </c>
      <c r="J320" s="12">
        <v>0</v>
      </c>
      <c r="K320" s="12">
        <v>0</v>
      </c>
      <c r="L320">
        <v>6.7877999999999994E-2</v>
      </c>
      <c r="M320" s="14">
        <v>3.9420000000000002</v>
      </c>
      <c r="O320" s="30">
        <f>23.91+V320+T320+U320</f>
        <v>99.235877999999502</v>
      </c>
      <c r="T320" s="18">
        <f>3000*0.114462</f>
        <v>343.38599999999997</v>
      </c>
      <c r="U320">
        <f>87000*0.068496</f>
        <v>5959.152</v>
      </c>
      <c r="V320" s="20">
        <f>(-M320*30)+(-89999*L320)</f>
        <v>-6227.2121219999999</v>
      </c>
      <c r="X320" s="31" t="s">
        <v>161</v>
      </c>
    </row>
    <row r="321" spans="1:24" x14ac:dyDescent="0.2">
      <c r="A321">
        <f t="shared" si="18"/>
        <v>319</v>
      </c>
      <c r="B321" s="27">
        <v>44075</v>
      </c>
      <c r="D321" s="7" t="s">
        <v>64</v>
      </c>
      <c r="E321" s="7" t="s">
        <v>165</v>
      </c>
      <c r="F321">
        <v>75</v>
      </c>
      <c r="G321" s="10" t="s">
        <v>31</v>
      </c>
      <c r="H321" s="10" t="s">
        <v>31</v>
      </c>
      <c r="I321" s="7" t="s">
        <v>11</v>
      </c>
      <c r="J321" s="12">
        <v>0</v>
      </c>
      <c r="K321" s="12">
        <v>0</v>
      </c>
      <c r="L321">
        <v>5.4887999999999999E-2</v>
      </c>
      <c r="M321" s="14">
        <v>3.9420000000000002</v>
      </c>
      <c r="O321" s="30">
        <f>23.91+V321+T321+U321</f>
        <v>276.84988799999974</v>
      </c>
      <c r="T321" s="18">
        <f>3000*0.063995</f>
        <v>191.98499999999999</v>
      </c>
      <c r="U321">
        <f>87000*0.05884</f>
        <v>5119.08</v>
      </c>
      <c r="V321" s="20">
        <f>(-M321*30)+(-89999*L321)</f>
        <v>-5058.1251119999997</v>
      </c>
      <c r="X321" s="31" t="s">
        <v>161</v>
      </c>
    </row>
    <row r="322" spans="1:24" x14ac:dyDescent="0.2">
      <c r="A322">
        <f t="shared" si="18"/>
        <v>320</v>
      </c>
      <c r="B322" s="27">
        <v>44075</v>
      </c>
      <c r="D322" s="7" t="s">
        <v>64</v>
      </c>
      <c r="E322" s="7" t="s">
        <v>71</v>
      </c>
      <c r="F322">
        <v>75</v>
      </c>
      <c r="G322" s="10" t="s">
        <v>31</v>
      </c>
      <c r="H322" s="10" t="s">
        <v>31</v>
      </c>
      <c r="I322" s="7" t="s">
        <v>11</v>
      </c>
      <c r="J322" s="12">
        <v>0</v>
      </c>
      <c r="K322" s="12">
        <v>0</v>
      </c>
      <c r="L322">
        <v>5.2304000000000003E-2</v>
      </c>
      <c r="M322" s="14">
        <v>3.9420000000000002</v>
      </c>
      <c r="O322" s="30">
        <f>23.91+V322+T322+U322</f>
        <v>-94.350000000000009</v>
      </c>
      <c r="T322" s="18"/>
      <c r="V322" s="20">
        <f>(-M322*30)</f>
        <v>-118.26</v>
      </c>
      <c r="X322" s="31" t="s">
        <v>161</v>
      </c>
    </row>
    <row r="323" spans="1:24" s="7" customFormat="1" x14ac:dyDescent="0.2">
      <c r="A323">
        <f t="shared" si="18"/>
        <v>321</v>
      </c>
      <c r="B323" s="27">
        <v>44256</v>
      </c>
      <c r="D323" s="7" t="s">
        <v>9</v>
      </c>
      <c r="E323" s="7" t="s">
        <v>168</v>
      </c>
      <c r="G323" s="10" t="s">
        <v>20</v>
      </c>
      <c r="H323" s="10" t="s">
        <v>83</v>
      </c>
      <c r="I323" s="8" t="s">
        <v>6</v>
      </c>
      <c r="J323" s="12">
        <v>0.5</v>
      </c>
      <c r="K323" s="12">
        <v>0.75</v>
      </c>
      <c r="L323" s="7">
        <v>0.44243999999999994</v>
      </c>
      <c r="M323" s="14">
        <v>0</v>
      </c>
      <c r="N323" s="14"/>
      <c r="O323" s="30">
        <f>(0.20107+0.82136)*30</f>
        <v>30.672899999999998</v>
      </c>
      <c r="P323" s="19"/>
      <c r="Q323" s="19"/>
      <c r="R323" s="19"/>
      <c r="S323" s="19"/>
      <c r="T323" s="19"/>
      <c r="U323" s="19"/>
      <c r="V323" s="20"/>
      <c r="W323" s="20"/>
      <c r="X323" s="32"/>
    </row>
    <row r="324" spans="1:24" x14ac:dyDescent="0.2">
      <c r="A324">
        <f t="shared" ref="A324:A387" si="21">A323+1</f>
        <v>322</v>
      </c>
      <c r="B324" s="27">
        <v>44256</v>
      </c>
      <c r="C324" s="7"/>
      <c r="D324" s="7" t="s">
        <v>9</v>
      </c>
      <c r="E324" s="7" t="s">
        <v>167</v>
      </c>
      <c r="F324" s="7"/>
      <c r="G324" s="10" t="s">
        <v>20</v>
      </c>
      <c r="H324" s="10" t="s">
        <v>88</v>
      </c>
      <c r="I324" s="8" t="s">
        <v>6</v>
      </c>
      <c r="J324" s="12">
        <v>0.35416666666666669</v>
      </c>
      <c r="K324" s="12">
        <v>0.5</v>
      </c>
      <c r="L324" s="7">
        <v>0.30220999999999998</v>
      </c>
      <c r="M324" s="14">
        <v>0</v>
      </c>
      <c r="N324" s="14"/>
      <c r="O324" s="30">
        <f t="shared" ref="O324:O330" si="22">(0.20107+0.82136)*30</f>
        <v>30.672899999999998</v>
      </c>
      <c r="P324" s="18"/>
      <c r="Q324" s="18"/>
      <c r="R324" s="18"/>
      <c r="S324" s="18"/>
      <c r="T324" s="18"/>
      <c r="U324" s="18"/>
      <c r="V324" s="20"/>
      <c r="W324" s="20"/>
      <c r="X324" s="32"/>
    </row>
    <row r="325" spans="1:24" x14ac:dyDescent="0.2">
      <c r="A325">
        <f t="shared" si="21"/>
        <v>323</v>
      </c>
      <c r="B325" s="27">
        <v>44256</v>
      </c>
      <c r="C325" s="7"/>
      <c r="D325" s="7" t="s">
        <v>9</v>
      </c>
      <c r="E325" s="7" t="s">
        <v>167</v>
      </c>
      <c r="F325" s="7"/>
      <c r="G325" s="10" t="s">
        <v>20</v>
      </c>
      <c r="H325" s="10" t="s">
        <v>88</v>
      </c>
      <c r="I325" s="8" t="s">
        <v>6</v>
      </c>
      <c r="J325" s="12">
        <v>0.75</v>
      </c>
      <c r="K325" s="12">
        <v>0.89583333333333337</v>
      </c>
      <c r="L325" s="7">
        <v>0.30220999999999998</v>
      </c>
      <c r="M325" s="14">
        <v>0</v>
      </c>
      <c r="N325" s="14"/>
      <c r="O325" s="30">
        <f t="shared" si="22"/>
        <v>30.672899999999998</v>
      </c>
      <c r="P325" s="18"/>
      <c r="Q325" s="18"/>
      <c r="R325" s="18"/>
      <c r="S325" s="18"/>
      <c r="T325" s="18"/>
      <c r="U325" s="18"/>
      <c r="V325" s="20"/>
      <c r="W325" s="20"/>
      <c r="X325" s="32"/>
    </row>
    <row r="326" spans="1:24" x14ac:dyDescent="0.2">
      <c r="A326">
        <f t="shared" si="21"/>
        <v>324</v>
      </c>
      <c r="B326" s="27">
        <v>44256</v>
      </c>
      <c r="C326" s="7"/>
      <c r="D326" s="7" t="s">
        <v>9</v>
      </c>
      <c r="E326" s="7" t="s">
        <v>167</v>
      </c>
      <c r="F326" s="7"/>
      <c r="G326" s="10" t="s">
        <v>20</v>
      </c>
      <c r="H326" s="10" t="s">
        <v>85</v>
      </c>
      <c r="I326" s="8" t="s">
        <v>6</v>
      </c>
      <c r="J326" s="12">
        <v>0.89583333333333337</v>
      </c>
      <c r="K326" s="12">
        <v>0.35416666666666669</v>
      </c>
      <c r="L326" s="7">
        <v>0.25294999999999995</v>
      </c>
      <c r="M326" s="14">
        <v>0</v>
      </c>
      <c r="N326" s="14"/>
      <c r="O326" s="30">
        <f t="shared" si="22"/>
        <v>30.672899999999998</v>
      </c>
      <c r="P326" s="18"/>
      <c r="Q326" s="18"/>
      <c r="R326" s="18"/>
      <c r="S326" s="18"/>
      <c r="T326" s="18"/>
      <c r="U326" s="18"/>
      <c r="V326" s="20"/>
      <c r="W326" s="20"/>
      <c r="X326" s="32"/>
    </row>
    <row r="327" spans="1:24" x14ac:dyDescent="0.2">
      <c r="A327">
        <f t="shared" si="21"/>
        <v>325</v>
      </c>
      <c r="B327" s="27">
        <v>44256</v>
      </c>
      <c r="C327" s="7"/>
      <c r="D327" s="7" t="s">
        <v>9</v>
      </c>
      <c r="E327" s="7" t="s">
        <v>167</v>
      </c>
      <c r="F327" s="7"/>
      <c r="G327" s="10" t="s">
        <v>20</v>
      </c>
      <c r="H327" s="10" t="s">
        <v>85</v>
      </c>
      <c r="I327" s="8" t="s">
        <v>7</v>
      </c>
      <c r="J327" s="12">
        <v>0</v>
      </c>
      <c r="K327" s="12">
        <v>0</v>
      </c>
      <c r="L327" s="7">
        <v>0.25294999999999995</v>
      </c>
      <c r="M327" s="14">
        <v>0</v>
      </c>
      <c r="N327" s="14"/>
      <c r="O327" s="30">
        <f t="shared" si="22"/>
        <v>30.672899999999998</v>
      </c>
      <c r="P327" s="18"/>
      <c r="Q327" s="18"/>
      <c r="R327" s="18"/>
      <c r="S327" s="18"/>
      <c r="T327" s="18"/>
      <c r="U327" s="18"/>
      <c r="V327" s="20"/>
      <c r="W327" s="20"/>
      <c r="X327" s="32"/>
    </row>
    <row r="328" spans="1:24" x14ac:dyDescent="0.2">
      <c r="A328">
        <f t="shared" si="21"/>
        <v>326</v>
      </c>
      <c r="B328" s="27">
        <v>44256</v>
      </c>
      <c r="C328" s="7"/>
      <c r="D328" s="7" t="s">
        <v>9</v>
      </c>
      <c r="E328" s="7" t="s">
        <v>167</v>
      </c>
      <c r="F328" s="7"/>
      <c r="G328" s="10" t="s">
        <v>22</v>
      </c>
      <c r="H328" s="10" t="s">
        <v>88</v>
      </c>
      <c r="I328" s="8" t="s">
        <v>6</v>
      </c>
      <c r="J328" s="12">
        <v>0.35416666666666669</v>
      </c>
      <c r="K328" s="12">
        <v>0.89583333333333337</v>
      </c>
      <c r="L328" s="7">
        <v>0.24389999999999995</v>
      </c>
      <c r="M328" s="14">
        <v>0</v>
      </c>
      <c r="N328" s="14"/>
      <c r="O328" s="30">
        <f t="shared" si="22"/>
        <v>30.672899999999998</v>
      </c>
      <c r="P328" s="18"/>
      <c r="Q328" s="18"/>
      <c r="R328" s="18"/>
      <c r="S328" s="18"/>
      <c r="T328" s="18"/>
      <c r="U328" s="18"/>
      <c r="V328" s="20"/>
      <c r="W328" s="20"/>
      <c r="X328" s="32"/>
    </row>
    <row r="329" spans="1:24" x14ac:dyDescent="0.2">
      <c r="A329">
        <f t="shared" si="21"/>
        <v>327</v>
      </c>
      <c r="B329" s="27">
        <v>44256</v>
      </c>
      <c r="C329" s="7"/>
      <c r="D329" s="7" t="s">
        <v>9</v>
      </c>
      <c r="E329" s="7" t="s">
        <v>167</v>
      </c>
      <c r="F329" s="7"/>
      <c r="G329" s="10" t="s">
        <v>22</v>
      </c>
      <c r="H329" s="10" t="s">
        <v>85</v>
      </c>
      <c r="I329" s="8" t="s">
        <v>6</v>
      </c>
      <c r="J329" s="12">
        <v>0.89583333333333337</v>
      </c>
      <c r="K329" s="12">
        <v>0.35416666666666669</v>
      </c>
      <c r="L329" s="7">
        <v>0.24285999999999996</v>
      </c>
      <c r="M329" s="14">
        <v>0</v>
      </c>
      <c r="N329" s="14"/>
      <c r="O329" s="30">
        <f t="shared" si="22"/>
        <v>30.672899999999998</v>
      </c>
      <c r="P329" s="18"/>
      <c r="Q329" s="18"/>
      <c r="R329" s="18"/>
      <c r="S329" s="18"/>
      <c r="T329" s="18"/>
      <c r="U329" s="18"/>
      <c r="V329" s="20"/>
      <c r="W329" s="20"/>
      <c r="X329" s="32"/>
    </row>
    <row r="330" spans="1:24" x14ac:dyDescent="0.2">
      <c r="A330">
        <f t="shared" si="21"/>
        <v>328</v>
      </c>
      <c r="B330" s="27">
        <v>44256</v>
      </c>
      <c r="C330" s="7"/>
      <c r="D330" s="7" t="s">
        <v>9</v>
      </c>
      <c r="E330" s="7" t="s">
        <v>167</v>
      </c>
      <c r="F330" s="7"/>
      <c r="G330" s="10" t="s">
        <v>22</v>
      </c>
      <c r="H330" s="10" t="s">
        <v>85</v>
      </c>
      <c r="I330" s="8" t="s">
        <v>7</v>
      </c>
      <c r="J330" s="12">
        <v>0</v>
      </c>
      <c r="K330" s="12">
        <v>0</v>
      </c>
      <c r="L330" s="7">
        <v>0.24285999999999996</v>
      </c>
      <c r="M330" s="14">
        <v>0</v>
      </c>
      <c r="N330" s="14"/>
      <c r="O330" s="30">
        <f t="shared" si="22"/>
        <v>30.672899999999998</v>
      </c>
      <c r="P330" s="18"/>
      <c r="Q330" s="18"/>
      <c r="R330" s="18"/>
      <c r="S330" s="18"/>
      <c r="T330" s="18"/>
      <c r="U330" s="18"/>
      <c r="V330" s="20"/>
      <c r="W330" s="20"/>
      <c r="X330" s="32"/>
    </row>
    <row r="331" spans="1:24" x14ac:dyDescent="0.2">
      <c r="A331">
        <f t="shared" si="21"/>
        <v>329</v>
      </c>
      <c r="B331" s="27">
        <v>44287</v>
      </c>
      <c r="C331" s="7"/>
      <c r="D331" s="7" t="s">
        <v>120</v>
      </c>
      <c r="E331" s="7" t="s">
        <v>169</v>
      </c>
      <c r="F331" s="7"/>
      <c r="G331" s="10" t="s">
        <v>20</v>
      </c>
      <c r="H331" s="10" t="s">
        <v>31</v>
      </c>
      <c r="I331" s="8" t="s">
        <v>11</v>
      </c>
      <c r="J331" s="12">
        <v>0</v>
      </c>
      <c r="K331" s="12">
        <v>0</v>
      </c>
      <c r="L331" s="7">
        <v>0</v>
      </c>
      <c r="M331" s="14">
        <v>0</v>
      </c>
      <c r="N331" s="14"/>
      <c r="O331" s="30">
        <v>0</v>
      </c>
      <c r="P331" s="18"/>
      <c r="Q331" s="18"/>
      <c r="R331" s="18"/>
      <c r="S331" s="18"/>
      <c r="T331" s="18"/>
      <c r="U331" s="18"/>
      <c r="V331" s="20"/>
      <c r="W331" s="20"/>
      <c r="X331" s="32"/>
    </row>
    <row r="332" spans="1:24" x14ac:dyDescent="0.2">
      <c r="A332">
        <f t="shared" si="21"/>
        <v>330</v>
      </c>
      <c r="B332" s="27">
        <v>44287</v>
      </c>
      <c r="C332" s="7"/>
      <c r="D332" s="7" t="s">
        <v>120</v>
      </c>
      <c r="E332" s="7" t="s">
        <v>169</v>
      </c>
      <c r="F332" s="7"/>
      <c r="G332" s="10" t="s">
        <v>22</v>
      </c>
      <c r="H332" s="10" t="s">
        <v>31</v>
      </c>
      <c r="I332" s="8" t="s">
        <v>11</v>
      </c>
      <c r="J332" s="12">
        <v>0</v>
      </c>
      <c r="K332" s="12">
        <v>0</v>
      </c>
      <c r="L332" s="7">
        <v>0</v>
      </c>
      <c r="M332" s="14">
        <v>0</v>
      </c>
      <c r="N332" s="14"/>
      <c r="O332" s="30">
        <v>0</v>
      </c>
      <c r="P332" s="18"/>
      <c r="Q332" s="18"/>
      <c r="R332" s="18"/>
      <c r="S332" s="18"/>
      <c r="T332" s="18"/>
      <c r="U332" s="18"/>
      <c r="V332" s="20"/>
      <c r="W332" s="20"/>
      <c r="X332" s="32"/>
    </row>
    <row r="333" spans="1:24" ht="23" customHeight="1" x14ac:dyDescent="0.2">
      <c r="A333">
        <f t="shared" si="21"/>
        <v>331</v>
      </c>
      <c r="B333" s="27">
        <v>44197</v>
      </c>
      <c r="D333" s="7" t="s">
        <v>170</v>
      </c>
      <c r="E333" s="7" t="s">
        <v>171</v>
      </c>
      <c r="G333" s="10" t="s">
        <v>31</v>
      </c>
      <c r="H333" s="10" t="s">
        <v>31</v>
      </c>
      <c r="I333" s="8" t="s">
        <v>11</v>
      </c>
      <c r="J333" s="1">
        <v>0</v>
      </c>
      <c r="K333" s="1">
        <v>0</v>
      </c>
      <c r="L333" s="7">
        <v>7.1273000000000003E-2</v>
      </c>
      <c r="M333" s="14">
        <v>21.065100000000001</v>
      </c>
      <c r="O333" s="2">
        <v>7</v>
      </c>
      <c r="S333">
        <v>0</v>
      </c>
      <c r="T333">
        <v>0</v>
      </c>
      <c r="U333">
        <v>0</v>
      </c>
      <c r="V333">
        <v>0</v>
      </c>
      <c r="X333" s="25" t="s">
        <v>177</v>
      </c>
    </row>
    <row r="334" spans="1:24" x14ac:dyDescent="0.2">
      <c r="A334">
        <f t="shared" si="21"/>
        <v>332</v>
      </c>
      <c r="B334" s="27">
        <v>44197</v>
      </c>
      <c r="D334" s="7" t="s">
        <v>170</v>
      </c>
      <c r="E334" s="7" t="s">
        <v>173</v>
      </c>
      <c r="G334" s="10" t="s">
        <v>31</v>
      </c>
      <c r="H334" s="10" t="s">
        <v>31</v>
      </c>
      <c r="I334" s="8" t="s">
        <v>11</v>
      </c>
      <c r="J334" s="1">
        <v>0</v>
      </c>
      <c r="K334" s="1">
        <v>0</v>
      </c>
      <c r="L334" s="7">
        <v>7.0813000000000001E-2</v>
      </c>
      <c r="M334" s="14">
        <v>21.065100000000001</v>
      </c>
      <c r="O334" s="2">
        <f>$O$333+S334+T334+U334+V334</f>
        <v>7.9199999999999875</v>
      </c>
      <c r="S334">
        <v>0</v>
      </c>
      <c r="T334">
        <f>2000*L333</f>
        <v>142.54599999999999</v>
      </c>
      <c r="U334">
        <v>0</v>
      </c>
      <c r="V334">
        <f>-2000*L334</f>
        <v>-141.626</v>
      </c>
      <c r="X334" s="31" t="s">
        <v>177</v>
      </c>
    </row>
    <row r="335" spans="1:24" x14ac:dyDescent="0.2">
      <c r="A335">
        <f t="shared" si="21"/>
        <v>333</v>
      </c>
      <c r="B335" s="27">
        <v>44197</v>
      </c>
      <c r="D335" s="7" t="s">
        <v>170</v>
      </c>
      <c r="E335" s="7" t="s">
        <v>174</v>
      </c>
      <c r="G335" s="10" t="s">
        <v>31</v>
      </c>
      <c r="H335" s="10" t="s">
        <v>31</v>
      </c>
      <c r="I335" s="8" t="s">
        <v>11</v>
      </c>
      <c r="J335" s="1">
        <v>0</v>
      </c>
      <c r="K335" s="1">
        <v>0</v>
      </c>
      <c r="L335" s="7">
        <v>7.0252999999999996E-2</v>
      </c>
      <c r="M335" s="14">
        <v>21.065100000000001</v>
      </c>
      <c r="O335" s="2">
        <f>$O$333+S335+T335+U335+V335</f>
        <v>16.320000000000164</v>
      </c>
      <c r="S335">
        <v>0</v>
      </c>
      <c r="T335">
        <f>2000*L333</f>
        <v>142.54599999999999</v>
      </c>
      <c r="U335">
        <f>13000*L334</f>
        <v>920.56899999999996</v>
      </c>
      <c r="V335">
        <f>-(2000+13000)*L335</f>
        <v>-1053.7949999999998</v>
      </c>
      <c r="X335" s="31" t="s">
        <v>177</v>
      </c>
    </row>
    <row r="336" spans="1:24" x14ac:dyDescent="0.2">
      <c r="A336">
        <f t="shared" si="21"/>
        <v>334</v>
      </c>
      <c r="B336" s="27">
        <v>44197</v>
      </c>
      <c r="D336" s="7" t="s">
        <v>170</v>
      </c>
      <c r="E336" s="7" t="s">
        <v>172</v>
      </c>
      <c r="G336" s="10" t="s">
        <v>31</v>
      </c>
      <c r="H336" s="10" t="s">
        <v>31</v>
      </c>
      <c r="I336" s="8" t="s">
        <v>11</v>
      </c>
      <c r="J336" s="1">
        <v>0</v>
      </c>
      <c r="K336" s="1">
        <v>0</v>
      </c>
      <c r="L336" s="7">
        <v>7.1273000000000003E-2</v>
      </c>
      <c r="M336" s="14">
        <v>13.953099999999999</v>
      </c>
      <c r="O336" s="2">
        <f>$O$333+S336+T336+U336+V336</f>
        <v>42.56</v>
      </c>
      <c r="S336">
        <f>5*M333</f>
        <v>105.32550000000001</v>
      </c>
      <c r="T336">
        <v>0</v>
      </c>
      <c r="U336">
        <v>0</v>
      </c>
      <c r="V336">
        <f>-5*M336</f>
        <v>-69.765500000000003</v>
      </c>
      <c r="X336" s="31" t="s">
        <v>177</v>
      </c>
    </row>
    <row r="337" spans="1:24" x14ac:dyDescent="0.2">
      <c r="A337">
        <f t="shared" si="21"/>
        <v>335</v>
      </c>
      <c r="B337" s="27">
        <v>44197</v>
      </c>
      <c r="D337" s="7" t="s">
        <v>170</v>
      </c>
      <c r="E337" s="7" t="s">
        <v>175</v>
      </c>
      <c r="G337" s="10" t="s">
        <v>31</v>
      </c>
      <c r="H337" s="10" t="s">
        <v>31</v>
      </c>
      <c r="I337" s="8" t="s">
        <v>11</v>
      </c>
      <c r="J337" s="1">
        <v>0</v>
      </c>
      <c r="K337" s="1">
        <v>0</v>
      </c>
      <c r="L337" s="7">
        <v>7.0813000000000001E-2</v>
      </c>
      <c r="M337" s="14">
        <v>13.953099999999999</v>
      </c>
      <c r="O337" s="2">
        <f>$O$333+S337+T337+U337+V337</f>
        <v>43.47999999999999</v>
      </c>
      <c r="S337">
        <f t="shared" ref="S337:S338" si="23">5*M334</f>
        <v>105.32550000000001</v>
      </c>
      <c r="T337">
        <f>2000*L336</f>
        <v>142.54599999999999</v>
      </c>
      <c r="U337">
        <v>0</v>
      </c>
      <c r="V337">
        <f>V334+$V$336</f>
        <v>-211.39150000000001</v>
      </c>
      <c r="X337" s="31" t="s">
        <v>177</v>
      </c>
    </row>
    <row r="338" spans="1:24" x14ac:dyDescent="0.2">
      <c r="A338">
        <f t="shared" si="21"/>
        <v>336</v>
      </c>
      <c r="B338" s="27">
        <v>44197</v>
      </c>
      <c r="D338" s="7" t="s">
        <v>170</v>
      </c>
      <c r="E338" s="7" t="s">
        <v>176</v>
      </c>
      <c r="G338" s="10" t="s">
        <v>31</v>
      </c>
      <c r="H338" s="10" t="s">
        <v>31</v>
      </c>
      <c r="I338" s="8" t="s">
        <v>11</v>
      </c>
      <c r="J338" s="1">
        <v>0</v>
      </c>
      <c r="K338" s="1">
        <v>0</v>
      </c>
      <c r="L338" s="7">
        <v>7.0252999999999996E-2</v>
      </c>
      <c r="M338" s="14">
        <v>13.953099999999999</v>
      </c>
      <c r="O338" s="2">
        <f>$O$333+S338+T338+U338+V338</f>
        <v>51.880000000000109</v>
      </c>
      <c r="S338">
        <f t="shared" si="23"/>
        <v>105.32550000000001</v>
      </c>
      <c r="T338">
        <f>2000*L336</f>
        <v>142.54599999999999</v>
      </c>
      <c r="U338">
        <f>13000*L337</f>
        <v>920.56899999999996</v>
      </c>
      <c r="V338">
        <f>V335+$V$336</f>
        <v>-1123.5604999999998</v>
      </c>
      <c r="X338" s="31" t="s">
        <v>177</v>
      </c>
    </row>
    <row r="339" spans="1:24" x14ac:dyDescent="0.2">
      <c r="A339">
        <f t="shared" si="21"/>
        <v>337</v>
      </c>
      <c r="B339" s="27">
        <v>44409</v>
      </c>
      <c r="D339" t="s">
        <v>178</v>
      </c>
      <c r="E339" t="s">
        <v>179</v>
      </c>
      <c r="G339" s="11" t="s">
        <v>20</v>
      </c>
      <c r="H339" s="11" t="s">
        <v>83</v>
      </c>
      <c r="I339" t="s">
        <v>6</v>
      </c>
      <c r="J339" s="1">
        <v>0.5</v>
      </c>
      <c r="K339" s="1">
        <v>0.875</v>
      </c>
      <c r="L339">
        <v>0.114</v>
      </c>
      <c r="M339" s="9">
        <v>0</v>
      </c>
      <c r="N339">
        <v>5.63</v>
      </c>
      <c r="O339" s="33">
        <v>39.619999999999997</v>
      </c>
    </row>
    <row r="340" spans="1:24" x14ac:dyDescent="0.2">
      <c r="A340">
        <f t="shared" si="21"/>
        <v>338</v>
      </c>
      <c r="B340" s="27">
        <v>44409</v>
      </c>
      <c r="D340" t="s">
        <v>178</v>
      </c>
      <c r="E340" t="s">
        <v>179</v>
      </c>
      <c r="G340" s="11" t="s">
        <v>20</v>
      </c>
      <c r="H340" s="11" t="s">
        <v>85</v>
      </c>
      <c r="I340" t="s">
        <v>6</v>
      </c>
      <c r="J340" s="1">
        <v>0.875</v>
      </c>
      <c r="K340" s="1">
        <v>0.5</v>
      </c>
      <c r="L340">
        <v>3.8789999999999998E-2</v>
      </c>
      <c r="M340" s="9">
        <v>0</v>
      </c>
      <c r="N340">
        <v>5.63</v>
      </c>
      <c r="O340" s="33">
        <v>39.619999999999997</v>
      </c>
    </row>
    <row r="341" spans="1:24" x14ac:dyDescent="0.2">
      <c r="A341">
        <f t="shared" si="21"/>
        <v>339</v>
      </c>
      <c r="B341" s="27">
        <v>44409</v>
      </c>
      <c r="D341" t="s">
        <v>178</v>
      </c>
      <c r="E341" t="s">
        <v>179</v>
      </c>
      <c r="G341" s="11" t="s">
        <v>20</v>
      </c>
      <c r="H341" s="11" t="s">
        <v>85</v>
      </c>
      <c r="I341" t="s">
        <v>7</v>
      </c>
      <c r="J341" s="1">
        <v>0</v>
      </c>
      <c r="K341" s="1">
        <v>0</v>
      </c>
      <c r="L341">
        <v>3.8789999999999998E-2</v>
      </c>
      <c r="M341" s="9">
        <v>0</v>
      </c>
      <c r="N341">
        <v>5.63</v>
      </c>
      <c r="O341" s="33">
        <v>39.619999999999997</v>
      </c>
    </row>
    <row r="342" spans="1:24" x14ac:dyDescent="0.2">
      <c r="A342">
        <f t="shared" si="21"/>
        <v>340</v>
      </c>
      <c r="B342" s="27">
        <v>44409</v>
      </c>
      <c r="D342" t="s">
        <v>178</v>
      </c>
      <c r="E342" t="s">
        <v>179</v>
      </c>
      <c r="G342" s="11" t="s">
        <v>22</v>
      </c>
      <c r="H342" s="11" t="s">
        <v>83</v>
      </c>
      <c r="I342" t="s">
        <v>6</v>
      </c>
      <c r="J342" s="1">
        <v>0.5</v>
      </c>
      <c r="K342" s="1">
        <v>0.875</v>
      </c>
      <c r="L342">
        <v>5.9709999999999999E-2</v>
      </c>
      <c r="M342" s="9">
        <v>0</v>
      </c>
      <c r="N342">
        <v>5.63</v>
      </c>
      <c r="O342" s="33">
        <v>39.619999999999997</v>
      </c>
    </row>
    <row r="343" spans="1:24" x14ac:dyDescent="0.2">
      <c r="A343">
        <f t="shared" si="21"/>
        <v>341</v>
      </c>
      <c r="B343" s="27">
        <v>44409</v>
      </c>
      <c r="D343" t="s">
        <v>178</v>
      </c>
      <c r="E343" t="s">
        <v>179</v>
      </c>
      <c r="G343" s="11" t="s">
        <v>22</v>
      </c>
      <c r="H343" s="11" t="s">
        <v>85</v>
      </c>
      <c r="I343" t="s">
        <v>6</v>
      </c>
      <c r="J343" s="1">
        <v>0.875</v>
      </c>
      <c r="K343" s="1">
        <v>0.5</v>
      </c>
      <c r="L343">
        <v>1.04E-2</v>
      </c>
      <c r="M343" s="9">
        <v>0</v>
      </c>
      <c r="N343">
        <v>5.63</v>
      </c>
      <c r="O343" s="33">
        <v>39.619999999999997</v>
      </c>
    </row>
    <row r="344" spans="1:24" x14ac:dyDescent="0.2">
      <c r="A344">
        <f t="shared" si="21"/>
        <v>342</v>
      </c>
      <c r="B344" s="27">
        <v>44409</v>
      </c>
      <c r="D344" t="s">
        <v>178</v>
      </c>
      <c r="E344" t="s">
        <v>179</v>
      </c>
      <c r="G344" s="11" t="s">
        <v>22</v>
      </c>
      <c r="H344" s="11" t="s">
        <v>85</v>
      </c>
      <c r="I344" t="s">
        <v>7</v>
      </c>
      <c r="J344" s="1">
        <v>0</v>
      </c>
      <c r="K344" s="1">
        <v>0</v>
      </c>
      <c r="L344">
        <v>1.04E-2</v>
      </c>
      <c r="M344" s="9">
        <v>0</v>
      </c>
      <c r="N344">
        <v>5.63</v>
      </c>
      <c r="O344" s="33">
        <v>39.619999999999997</v>
      </c>
    </row>
    <row r="345" spans="1:24" x14ac:dyDescent="0.2">
      <c r="A345">
        <f t="shared" si="21"/>
        <v>343</v>
      </c>
      <c r="B345" s="27">
        <v>43748</v>
      </c>
      <c r="D345" t="s">
        <v>180</v>
      </c>
      <c r="E345" t="s">
        <v>181</v>
      </c>
      <c r="F345">
        <v>50</v>
      </c>
      <c r="G345" s="11" t="s">
        <v>31</v>
      </c>
      <c r="H345" s="11" t="s">
        <v>31</v>
      </c>
      <c r="I345" t="s">
        <v>11</v>
      </c>
      <c r="J345" s="1">
        <v>0</v>
      </c>
      <c r="K345" s="1">
        <v>0</v>
      </c>
      <c r="L345">
        <v>4.4200000000000003E-3</v>
      </c>
      <c r="M345">
        <v>23.33</v>
      </c>
      <c r="O345" s="33">
        <v>64</v>
      </c>
      <c r="T345">
        <f>0.11*200</f>
        <v>22</v>
      </c>
    </row>
    <row r="346" spans="1:24" x14ac:dyDescent="0.2">
      <c r="A346">
        <f t="shared" si="21"/>
        <v>344</v>
      </c>
      <c r="B346" s="27">
        <v>43748</v>
      </c>
      <c r="D346" t="s">
        <v>180</v>
      </c>
      <c r="E346" t="s">
        <v>182</v>
      </c>
      <c r="F346">
        <v>50</v>
      </c>
      <c r="G346" s="11" t="s">
        <v>20</v>
      </c>
      <c r="H346" s="11" t="s">
        <v>83</v>
      </c>
      <c r="I346" t="s">
        <v>6</v>
      </c>
      <c r="J346" s="1">
        <v>0.54166666666666663</v>
      </c>
      <c r="K346" s="1">
        <v>0.79166666666666663</v>
      </c>
      <c r="L346">
        <v>3.61E-2</v>
      </c>
      <c r="M346">
        <v>0</v>
      </c>
      <c r="N346">
        <v>23.33</v>
      </c>
      <c r="O346" s="33">
        <v>64</v>
      </c>
    </row>
    <row r="347" spans="1:24" x14ac:dyDescent="0.2">
      <c r="A347">
        <f t="shared" si="21"/>
        <v>345</v>
      </c>
      <c r="B347" s="27">
        <v>43748</v>
      </c>
      <c r="D347" t="s">
        <v>180</v>
      </c>
      <c r="E347" t="s">
        <v>182</v>
      </c>
      <c r="F347">
        <v>50</v>
      </c>
      <c r="G347" s="11" t="s">
        <v>20</v>
      </c>
      <c r="H347" s="11" t="s">
        <v>85</v>
      </c>
      <c r="I347" t="s">
        <v>6</v>
      </c>
      <c r="J347" s="1">
        <v>0.79166666666666663</v>
      </c>
      <c r="K347" s="1">
        <v>0.54166666666666663</v>
      </c>
      <c r="L347">
        <v>1.1650000000000001E-2</v>
      </c>
      <c r="M347" s="9">
        <v>0</v>
      </c>
      <c r="N347">
        <v>23.33</v>
      </c>
      <c r="O347" s="33">
        <v>64</v>
      </c>
    </row>
    <row r="348" spans="1:24" x14ac:dyDescent="0.2">
      <c r="A348">
        <f t="shared" si="21"/>
        <v>346</v>
      </c>
      <c r="B348" s="27">
        <v>43748</v>
      </c>
      <c r="D348" t="s">
        <v>180</v>
      </c>
      <c r="E348" t="s">
        <v>182</v>
      </c>
      <c r="F348">
        <v>50</v>
      </c>
      <c r="G348" s="11" t="s">
        <v>20</v>
      </c>
      <c r="H348" s="11" t="s">
        <v>85</v>
      </c>
      <c r="I348" t="s">
        <v>7</v>
      </c>
      <c r="J348" s="1">
        <v>0</v>
      </c>
      <c r="K348" s="1">
        <v>0</v>
      </c>
      <c r="L348">
        <v>1.1650000000000001E-2</v>
      </c>
      <c r="M348" s="9">
        <v>0</v>
      </c>
      <c r="N348">
        <v>23.33</v>
      </c>
      <c r="O348" s="33">
        <v>64</v>
      </c>
    </row>
    <row r="349" spans="1:24" x14ac:dyDescent="0.2">
      <c r="A349">
        <f t="shared" si="21"/>
        <v>347</v>
      </c>
      <c r="B349" s="27">
        <v>43748</v>
      </c>
      <c r="D349" t="s">
        <v>180</v>
      </c>
      <c r="E349" t="s">
        <v>182</v>
      </c>
      <c r="F349">
        <v>50</v>
      </c>
      <c r="G349" s="11" t="s">
        <v>22</v>
      </c>
      <c r="H349" s="11" t="s">
        <v>85</v>
      </c>
      <c r="I349" t="s">
        <v>11</v>
      </c>
      <c r="J349" s="1">
        <v>0</v>
      </c>
      <c r="K349" s="1">
        <v>0</v>
      </c>
      <c r="L349">
        <v>1.1650000000000001E-2</v>
      </c>
      <c r="M349" s="9">
        <v>0</v>
      </c>
      <c r="N349">
        <v>23.33</v>
      </c>
      <c r="O349" s="33">
        <v>64</v>
      </c>
    </row>
    <row r="350" spans="1:24" x14ac:dyDescent="0.2">
      <c r="A350">
        <f t="shared" si="21"/>
        <v>348</v>
      </c>
      <c r="B350" s="27">
        <v>43748</v>
      </c>
      <c r="D350" t="s">
        <v>180</v>
      </c>
      <c r="E350" t="s">
        <v>183</v>
      </c>
      <c r="F350">
        <v>1400</v>
      </c>
      <c r="G350" s="11" t="s">
        <v>31</v>
      </c>
      <c r="H350" s="11" t="s">
        <v>31</v>
      </c>
      <c r="I350" t="s">
        <v>11</v>
      </c>
      <c r="J350" s="1">
        <v>0</v>
      </c>
      <c r="K350" s="1">
        <v>0</v>
      </c>
      <c r="L350">
        <v>8.0999999999999996E-3</v>
      </c>
      <c r="M350">
        <v>21.24</v>
      </c>
      <c r="O350" s="33">
        <v>438</v>
      </c>
      <c r="T350">
        <f>0.158*200</f>
        <v>31.6</v>
      </c>
    </row>
    <row r="351" spans="1:24" x14ac:dyDescent="0.2">
      <c r="A351">
        <f t="shared" si="21"/>
        <v>349</v>
      </c>
      <c r="B351" s="27">
        <v>43748</v>
      </c>
      <c r="D351" t="s">
        <v>180</v>
      </c>
      <c r="E351" t="s">
        <v>184</v>
      </c>
      <c r="F351">
        <v>1400</v>
      </c>
      <c r="G351" s="11" t="s">
        <v>20</v>
      </c>
      <c r="H351" s="11" t="s">
        <v>83</v>
      </c>
      <c r="I351" t="s">
        <v>6</v>
      </c>
      <c r="J351" s="1">
        <v>0.54166666666666663</v>
      </c>
      <c r="K351" s="1">
        <v>0.79166666666666663</v>
      </c>
      <c r="L351">
        <v>1.5800000000000002E-2</v>
      </c>
      <c r="M351">
        <v>0</v>
      </c>
      <c r="N351">
        <v>21.24</v>
      </c>
      <c r="O351" s="33">
        <v>438</v>
      </c>
    </row>
    <row r="352" spans="1:24" x14ac:dyDescent="0.2">
      <c r="A352">
        <f t="shared" si="21"/>
        <v>350</v>
      </c>
      <c r="B352" s="27">
        <v>43748</v>
      </c>
      <c r="D352" t="s">
        <v>180</v>
      </c>
      <c r="E352" t="s">
        <v>184</v>
      </c>
      <c r="F352">
        <v>1400</v>
      </c>
      <c r="G352" s="11" t="s">
        <v>20</v>
      </c>
      <c r="H352" s="11" t="s">
        <v>85</v>
      </c>
      <c r="I352" t="s">
        <v>6</v>
      </c>
      <c r="J352" s="1">
        <v>0.79166666666666663</v>
      </c>
      <c r="K352" s="1">
        <v>0.54166666666666663</v>
      </c>
      <c r="L352">
        <v>8.0999999999999996E-3</v>
      </c>
      <c r="M352" s="9">
        <v>0</v>
      </c>
      <c r="N352">
        <v>21.24</v>
      </c>
      <c r="O352" s="33">
        <v>438</v>
      </c>
    </row>
    <row r="353" spans="1:23" x14ac:dyDescent="0.2">
      <c r="A353">
        <f t="shared" si="21"/>
        <v>351</v>
      </c>
      <c r="B353" s="27">
        <v>43748</v>
      </c>
      <c r="D353" t="s">
        <v>180</v>
      </c>
      <c r="E353" t="s">
        <v>184</v>
      </c>
      <c r="F353">
        <v>1400</v>
      </c>
      <c r="G353" s="11" t="s">
        <v>20</v>
      </c>
      <c r="H353" s="11" t="s">
        <v>85</v>
      </c>
      <c r="I353" t="s">
        <v>7</v>
      </c>
      <c r="J353" s="1">
        <v>0</v>
      </c>
      <c r="K353" s="1">
        <v>0</v>
      </c>
      <c r="L353">
        <v>8.0999999999999996E-3</v>
      </c>
      <c r="M353" s="9">
        <v>0</v>
      </c>
      <c r="N353">
        <v>21.24</v>
      </c>
      <c r="O353" s="33">
        <v>438</v>
      </c>
    </row>
    <row r="354" spans="1:23" x14ac:dyDescent="0.2">
      <c r="A354">
        <f t="shared" si="21"/>
        <v>352</v>
      </c>
      <c r="B354" s="27">
        <v>43748</v>
      </c>
      <c r="D354" t="s">
        <v>180</v>
      </c>
      <c r="E354" t="s">
        <v>184</v>
      </c>
      <c r="F354">
        <v>1400</v>
      </c>
      <c r="G354" s="11" t="s">
        <v>22</v>
      </c>
      <c r="H354" s="11" t="s">
        <v>85</v>
      </c>
      <c r="I354" t="s">
        <v>11</v>
      </c>
      <c r="J354" s="1">
        <v>0</v>
      </c>
      <c r="K354" s="1">
        <v>0</v>
      </c>
      <c r="L354">
        <v>8.0999999999999996E-3</v>
      </c>
      <c r="M354" s="9">
        <v>0</v>
      </c>
      <c r="N354">
        <v>21.24</v>
      </c>
      <c r="O354" s="33">
        <v>438</v>
      </c>
    </row>
    <row r="355" spans="1:23" x14ac:dyDescent="0.2">
      <c r="A355">
        <f t="shared" si="21"/>
        <v>353</v>
      </c>
      <c r="B355" s="13">
        <v>44435</v>
      </c>
      <c r="C355" s="7"/>
      <c r="D355" s="28" t="s">
        <v>4</v>
      </c>
      <c r="E355" s="7" t="s">
        <v>5</v>
      </c>
      <c r="F355" s="7">
        <v>500</v>
      </c>
      <c r="G355" s="7" t="s">
        <v>20</v>
      </c>
      <c r="H355" s="8" t="s">
        <v>83</v>
      </c>
      <c r="I355" s="6" t="s">
        <v>6</v>
      </c>
      <c r="J355" s="5">
        <v>0.66666666666666663</v>
      </c>
      <c r="K355" s="5">
        <v>0.875</v>
      </c>
      <c r="L355" s="3">
        <f>0.20004+0.29049</f>
        <v>0.49053000000000002</v>
      </c>
      <c r="M355" s="3">
        <v>0</v>
      </c>
      <c r="N355" s="3"/>
      <c r="O355" s="3">
        <v>571.5</v>
      </c>
      <c r="P355" s="17">
        <v>0.6</v>
      </c>
      <c r="Q355" s="17"/>
      <c r="R355" s="18"/>
      <c r="S355" s="18"/>
      <c r="T355" s="18"/>
      <c r="U355" s="18"/>
      <c r="V355" s="18"/>
      <c r="W355" s="18"/>
    </row>
    <row r="356" spans="1:23" x14ac:dyDescent="0.2">
      <c r="A356">
        <f t="shared" si="21"/>
        <v>354</v>
      </c>
      <c r="B356" s="13">
        <v>44435</v>
      </c>
      <c r="C356" s="7"/>
      <c r="D356" s="28" t="s">
        <v>4</v>
      </c>
      <c r="E356" s="7" t="s">
        <v>5</v>
      </c>
      <c r="F356" s="7">
        <v>500</v>
      </c>
      <c r="G356" s="7" t="s">
        <v>20</v>
      </c>
      <c r="H356" s="8" t="s">
        <v>84</v>
      </c>
      <c r="I356" s="3" t="s">
        <v>7</v>
      </c>
      <c r="J356" s="5">
        <v>0.66666666666666663</v>
      </c>
      <c r="K356" s="5">
        <v>0.875</v>
      </c>
      <c r="L356" s="3">
        <f>0.20004+0.0733</f>
        <v>0.27334000000000003</v>
      </c>
      <c r="M356" s="3">
        <v>0</v>
      </c>
      <c r="N356" s="3"/>
      <c r="O356" s="3">
        <v>571.5</v>
      </c>
      <c r="P356" s="17">
        <v>0.6</v>
      </c>
      <c r="Q356" s="17"/>
      <c r="R356" s="18"/>
      <c r="S356" s="18"/>
      <c r="T356" s="18"/>
      <c r="U356" s="18"/>
      <c r="V356" s="18"/>
      <c r="W356" s="18"/>
    </row>
    <row r="357" spans="1:23" x14ac:dyDescent="0.2">
      <c r="A357">
        <f t="shared" si="21"/>
        <v>355</v>
      </c>
      <c r="B357" s="13">
        <v>44435</v>
      </c>
      <c r="C357" s="7"/>
      <c r="D357" s="28" t="s">
        <v>4</v>
      </c>
      <c r="E357" s="7" t="s">
        <v>5</v>
      </c>
      <c r="F357" s="7">
        <v>500</v>
      </c>
      <c r="G357" s="7" t="s">
        <v>20</v>
      </c>
      <c r="H357" s="8" t="s">
        <v>85</v>
      </c>
      <c r="I357" s="3" t="s">
        <v>11</v>
      </c>
      <c r="J357" s="5">
        <v>0.875</v>
      </c>
      <c r="K357" s="5">
        <v>0.66666666666666663</v>
      </c>
      <c r="L357" s="3">
        <f>0.07134+0.0568</f>
        <v>0.12814</v>
      </c>
      <c r="M357" s="3">
        <v>0</v>
      </c>
      <c r="N357" s="3"/>
      <c r="O357" s="3">
        <v>571.5</v>
      </c>
      <c r="P357" s="17">
        <v>0.6</v>
      </c>
      <c r="Q357" s="17"/>
      <c r="R357" s="18"/>
      <c r="S357" s="18"/>
      <c r="T357" s="18"/>
      <c r="U357" s="18"/>
      <c r="V357" s="18"/>
      <c r="W357" s="18"/>
    </row>
    <row r="358" spans="1:23" x14ac:dyDescent="0.2">
      <c r="A358">
        <f t="shared" si="21"/>
        <v>356</v>
      </c>
      <c r="B358" s="13">
        <v>44435</v>
      </c>
      <c r="C358" s="7"/>
      <c r="D358" s="28" t="s">
        <v>4</v>
      </c>
      <c r="E358" s="7" t="s">
        <v>5</v>
      </c>
      <c r="F358" s="7">
        <v>500</v>
      </c>
      <c r="G358" s="7" t="s">
        <v>22</v>
      </c>
      <c r="H358" s="8" t="s">
        <v>84</v>
      </c>
      <c r="I358" s="3" t="s">
        <v>11</v>
      </c>
      <c r="J358" s="5">
        <v>0.66666666666666663</v>
      </c>
      <c r="K358" s="5">
        <v>0.875</v>
      </c>
      <c r="L358" s="3">
        <f>0.20004+0.10843</f>
        <v>0.30847000000000002</v>
      </c>
      <c r="M358" s="3">
        <v>0</v>
      </c>
      <c r="N358" s="3"/>
      <c r="O358" s="3">
        <v>571.5</v>
      </c>
      <c r="P358" s="17">
        <v>0.6</v>
      </c>
      <c r="Q358" s="17"/>
      <c r="R358" s="18"/>
      <c r="S358" s="18"/>
      <c r="T358" s="18"/>
      <c r="U358" s="18"/>
      <c r="V358" s="18"/>
      <c r="W358" s="18"/>
    </row>
    <row r="359" spans="1:23" x14ac:dyDescent="0.2">
      <c r="A359">
        <f t="shared" si="21"/>
        <v>357</v>
      </c>
      <c r="B359" s="13">
        <v>44435</v>
      </c>
      <c r="C359" s="7"/>
      <c r="D359" s="28" t="s">
        <v>4</v>
      </c>
      <c r="E359" s="7" t="s">
        <v>5</v>
      </c>
      <c r="F359" s="7">
        <v>500</v>
      </c>
      <c r="G359" s="7" t="s">
        <v>22</v>
      </c>
      <c r="H359" s="8" t="s">
        <v>85</v>
      </c>
      <c r="I359" s="3" t="s">
        <v>11</v>
      </c>
      <c r="J359" s="5">
        <v>0.875</v>
      </c>
      <c r="K359" s="5">
        <v>0.33333333333333331</v>
      </c>
      <c r="L359" s="3">
        <f>0.07134+0.06253</f>
        <v>0.13386999999999999</v>
      </c>
      <c r="M359" s="3">
        <v>0</v>
      </c>
      <c r="N359" s="3"/>
      <c r="O359" s="3">
        <v>571.5</v>
      </c>
      <c r="P359" s="17">
        <v>0.6</v>
      </c>
      <c r="Q359" s="17"/>
      <c r="R359" s="18"/>
      <c r="S359" s="18"/>
      <c r="T359" s="18"/>
      <c r="U359" s="18"/>
      <c r="V359" s="18"/>
      <c r="W359" s="18"/>
    </row>
    <row r="360" spans="1:23" x14ac:dyDescent="0.2">
      <c r="A360">
        <f t="shared" si="21"/>
        <v>358</v>
      </c>
      <c r="B360" s="13">
        <v>44435</v>
      </c>
      <c r="C360" s="7"/>
      <c r="D360" s="28" t="s">
        <v>4</v>
      </c>
      <c r="E360" s="7" t="s">
        <v>5</v>
      </c>
      <c r="F360" s="7">
        <v>500</v>
      </c>
      <c r="G360" s="7" t="s">
        <v>22</v>
      </c>
      <c r="H360" s="8" t="s">
        <v>86</v>
      </c>
      <c r="I360" s="3" t="s">
        <v>11</v>
      </c>
      <c r="J360" s="5">
        <v>0.33333333333333331</v>
      </c>
      <c r="K360" s="5">
        <v>0.66666666666666663</v>
      </c>
      <c r="L360" s="3">
        <f>0.05303+0.03296</f>
        <v>8.5990000000000011E-2</v>
      </c>
      <c r="M360" s="3">
        <v>0</v>
      </c>
      <c r="N360" s="3"/>
      <c r="O360" s="3">
        <v>571.5</v>
      </c>
      <c r="P360" s="17">
        <v>0.6</v>
      </c>
      <c r="Q360" s="17"/>
      <c r="R360" s="18"/>
      <c r="S360" s="18"/>
      <c r="T360" s="18"/>
      <c r="U360" s="18"/>
      <c r="V360" s="18"/>
      <c r="W360" s="18"/>
    </row>
    <row r="361" spans="1:23" x14ac:dyDescent="0.2">
      <c r="A361">
        <f t="shared" si="21"/>
        <v>359</v>
      </c>
      <c r="B361" s="13">
        <v>44435</v>
      </c>
      <c r="C361" s="7"/>
      <c r="D361" s="28" t="s">
        <v>4</v>
      </c>
      <c r="E361" s="7" t="s">
        <v>8</v>
      </c>
      <c r="F361" s="7">
        <v>500</v>
      </c>
      <c r="G361" s="7" t="s">
        <v>20</v>
      </c>
      <c r="H361" s="8" t="s">
        <v>83</v>
      </c>
      <c r="I361" s="6" t="s">
        <v>6</v>
      </c>
      <c r="J361" s="5">
        <v>0.66666666666666663</v>
      </c>
      <c r="K361" s="5">
        <v>0.875</v>
      </c>
      <c r="L361" s="24">
        <f>0.1784+0.27302</f>
        <v>0.45141999999999999</v>
      </c>
      <c r="M361" s="3">
        <v>0</v>
      </c>
      <c r="N361" s="3"/>
      <c r="O361" s="3">
        <v>303.91000000000003</v>
      </c>
      <c r="P361" s="17">
        <v>0.6</v>
      </c>
      <c r="Q361" s="17"/>
      <c r="R361" s="18"/>
      <c r="S361" s="18"/>
      <c r="T361" s="18"/>
      <c r="U361" s="18"/>
      <c r="V361" s="18"/>
      <c r="W361" s="18"/>
    </row>
    <row r="362" spans="1:23" x14ac:dyDescent="0.2">
      <c r="A362">
        <f t="shared" si="21"/>
        <v>360</v>
      </c>
      <c r="B362" s="13">
        <v>44435</v>
      </c>
      <c r="C362" s="7"/>
      <c r="D362" s="28" t="s">
        <v>4</v>
      </c>
      <c r="E362" s="7" t="s">
        <v>8</v>
      </c>
      <c r="F362" s="7">
        <v>500</v>
      </c>
      <c r="G362" s="7" t="s">
        <v>20</v>
      </c>
      <c r="H362" s="8" t="s">
        <v>84</v>
      </c>
      <c r="I362" s="3" t="s">
        <v>7</v>
      </c>
      <c r="J362" s="5">
        <v>0.66666666666666663</v>
      </c>
      <c r="K362" s="5">
        <v>0.875</v>
      </c>
      <c r="L362" s="24">
        <f>0.1784+0.06914</f>
        <v>0.24753999999999998</v>
      </c>
      <c r="M362" s="3">
        <v>0</v>
      </c>
      <c r="N362" s="3"/>
      <c r="O362" s="3">
        <v>303.91000000000003</v>
      </c>
      <c r="P362" s="17">
        <v>0.6</v>
      </c>
      <c r="Q362" s="17"/>
      <c r="R362" s="18"/>
      <c r="S362" s="18"/>
      <c r="T362" s="18"/>
      <c r="U362" s="18"/>
      <c r="V362" s="18"/>
      <c r="W362" s="18"/>
    </row>
    <row r="363" spans="1:23" x14ac:dyDescent="0.2">
      <c r="A363">
        <f t="shared" si="21"/>
        <v>361</v>
      </c>
      <c r="B363" s="13">
        <v>44435</v>
      </c>
      <c r="C363" s="7"/>
      <c r="D363" s="28" t="s">
        <v>4</v>
      </c>
      <c r="E363" s="7" t="s">
        <v>8</v>
      </c>
      <c r="F363" s="7">
        <v>500</v>
      </c>
      <c r="G363" s="7" t="s">
        <v>20</v>
      </c>
      <c r="H363" s="8" t="s">
        <v>85</v>
      </c>
      <c r="I363" s="3" t="s">
        <v>11</v>
      </c>
      <c r="J363" s="5">
        <v>0.875</v>
      </c>
      <c r="K363" s="5">
        <v>0.66666666666666663</v>
      </c>
      <c r="L363" s="24">
        <f>0.06479+0.05319</f>
        <v>0.11798</v>
      </c>
      <c r="M363" s="3">
        <v>0</v>
      </c>
      <c r="N363" s="3"/>
      <c r="O363" s="3">
        <v>303.91000000000003</v>
      </c>
      <c r="P363" s="17">
        <v>0.6</v>
      </c>
      <c r="Q363" s="17"/>
      <c r="R363" s="18"/>
      <c r="S363" s="18"/>
      <c r="T363" s="18"/>
      <c r="U363" s="18"/>
      <c r="V363" s="18"/>
      <c r="W363" s="18"/>
    </row>
    <row r="364" spans="1:23" x14ac:dyDescent="0.2">
      <c r="A364">
        <f t="shared" si="21"/>
        <v>362</v>
      </c>
      <c r="B364" s="13">
        <v>44435</v>
      </c>
      <c r="C364" s="7"/>
      <c r="D364" s="28" t="s">
        <v>4</v>
      </c>
      <c r="E364" s="7" t="s">
        <v>8</v>
      </c>
      <c r="F364" s="7">
        <v>500</v>
      </c>
      <c r="G364" s="7" t="s">
        <v>22</v>
      </c>
      <c r="H364" s="8" t="s">
        <v>84</v>
      </c>
      <c r="I364" s="3" t="s">
        <v>11</v>
      </c>
      <c r="J364" s="5">
        <v>0.66666666666666663</v>
      </c>
      <c r="K364" s="5">
        <v>0.875</v>
      </c>
      <c r="L364" s="24">
        <f>0.1784+0.10322</f>
        <v>0.28161999999999998</v>
      </c>
      <c r="M364" s="3">
        <v>0</v>
      </c>
      <c r="N364" s="3"/>
      <c r="O364" s="3">
        <v>303.91000000000003</v>
      </c>
      <c r="P364" s="17">
        <v>0.6</v>
      </c>
      <c r="Q364" s="17"/>
      <c r="R364" s="18"/>
      <c r="S364" s="18"/>
      <c r="T364" s="18"/>
      <c r="U364" s="18"/>
      <c r="V364" s="18"/>
      <c r="W364" s="18"/>
    </row>
    <row r="365" spans="1:23" x14ac:dyDescent="0.2">
      <c r="A365">
        <f t="shared" si="21"/>
        <v>363</v>
      </c>
      <c r="B365" s="13">
        <v>44435</v>
      </c>
      <c r="C365" s="7"/>
      <c r="D365" s="28" t="s">
        <v>4</v>
      </c>
      <c r="E365" s="7" t="s">
        <v>8</v>
      </c>
      <c r="F365" s="7">
        <v>500</v>
      </c>
      <c r="G365" s="7" t="s">
        <v>22</v>
      </c>
      <c r="H365" s="8" t="s">
        <v>85</v>
      </c>
      <c r="I365" s="3" t="s">
        <v>11</v>
      </c>
      <c r="J365" s="5">
        <v>0.875</v>
      </c>
      <c r="K365" s="5">
        <v>0.33333333333333331</v>
      </c>
      <c r="L365" s="24">
        <f>0.06479+0.05778</f>
        <v>0.12257</v>
      </c>
      <c r="M365" s="3">
        <v>0</v>
      </c>
      <c r="N365" s="3"/>
      <c r="O365" s="3">
        <v>303.91000000000003</v>
      </c>
      <c r="P365" s="17">
        <v>0.6</v>
      </c>
      <c r="Q365" s="17"/>
      <c r="R365" s="18"/>
      <c r="S365" s="18"/>
      <c r="T365" s="18"/>
      <c r="U365" s="18"/>
      <c r="V365" s="18"/>
      <c r="W365" s="18"/>
    </row>
    <row r="366" spans="1:23" x14ac:dyDescent="0.2">
      <c r="A366">
        <f t="shared" si="21"/>
        <v>364</v>
      </c>
      <c r="B366" s="13">
        <v>44435</v>
      </c>
      <c r="C366" s="7"/>
      <c r="D366" s="28" t="s">
        <v>4</v>
      </c>
      <c r="E366" s="7" t="s">
        <v>8</v>
      </c>
      <c r="F366" s="7">
        <v>500</v>
      </c>
      <c r="G366" s="7" t="s">
        <v>22</v>
      </c>
      <c r="H366" s="8" t="s">
        <v>86</v>
      </c>
      <c r="I366" s="3" t="s">
        <v>11</v>
      </c>
      <c r="J366" s="5">
        <v>0.33333333333333331</v>
      </c>
      <c r="K366" s="5">
        <v>0.66666666666666663</v>
      </c>
      <c r="L366" s="24">
        <f>0.05007+0.03119</f>
        <v>8.1259999999999999E-2</v>
      </c>
      <c r="M366" s="3">
        <v>0</v>
      </c>
      <c r="N366" s="3"/>
      <c r="O366" s="3">
        <v>303.91000000000003</v>
      </c>
      <c r="P366" s="17">
        <v>0.6</v>
      </c>
      <c r="Q366" s="17"/>
      <c r="R366" s="18"/>
      <c r="S366" s="18"/>
      <c r="T366" s="18"/>
      <c r="U366" s="18"/>
      <c r="V366" s="18"/>
      <c r="W366" s="18"/>
    </row>
    <row r="367" spans="1:23" x14ac:dyDescent="0.2">
      <c r="A367">
        <f t="shared" si="21"/>
        <v>365</v>
      </c>
      <c r="B367" s="13">
        <v>44435</v>
      </c>
      <c r="C367" s="7"/>
      <c r="D367" s="28" t="s">
        <v>4</v>
      </c>
      <c r="E367" s="7" t="s">
        <v>12</v>
      </c>
      <c r="F367" s="7">
        <v>500</v>
      </c>
      <c r="G367" s="7" t="s">
        <v>20</v>
      </c>
      <c r="H367" s="8" t="s">
        <v>83</v>
      </c>
      <c r="I367" s="6" t="s">
        <v>6</v>
      </c>
      <c r="J367" s="5">
        <v>0.66666666666666663</v>
      </c>
      <c r="K367" s="5">
        <v>0.875</v>
      </c>
      <c r="L367" s="3">
        <f>0.07214+0.24837-0.00826-0.00065</f>
        <v>0.31160000000000004</v>
      </c>
      <c r="M367" s="3">
        <v>0</v>
      </c>
      <c r="N367" s="3"/>
      <c r="O367" s="34">
        <v>2103.4</v>
      </c>
      <c r="P367" s="17">
        <v>0.54</v>
      </c>
      <c r="Q367" s="17"/>
      <c r="R367" s="18"/>
      <c r="S367" s="18"/>
      <c r="T367" s="18"/>
      <c r="U367" s="18"/>
      <c r="V367" s="18"/>
      <c r="W367" s="18"/>
    </row>
    <row r="368" spans="1:23" x14ac:dyDescent="0.2">
      <c r="A368">
        <f t="shared" si="21"/>
        <v>366</v>
      </c>
      <c r="B368" s="13">
        <v>44435</v>
      </c>
      <c r="C368" s="7"/>
      <c r="D368" s="28" t="s">
        <v>4</v>
      </c>
      <c r="E368" s="7" t="s">
        <v>12</v>
      </c>
      <c r="F368" s="7">
        <v>500</v>
      </c>
      <c r="G368" s="7" t="s">
        <v>20</v>
      </c>
      <c r="H368" s="8" t="s">
        <v>84</v>
      </c>
      <c r="I368" s="3" t="s">
        <v>7</v>
      </c>
      <c r="J368" s="5">
        <v>0.66666666666666663</v>
      </c>
      <c r="K368" s="5">
        <v>0.875</v>
      </c>
      <c r="L368" s="3">
        <f>0.07214+0.06479-0.00826-0.00065</f>
        <v>0.12801999999999999</v>
      </c>
      <c r="M368" s="3">
        <v>0</v>
      </c>
      <c r="N368" s="3"/>
      <c r="O368" s="34">
        <v>2103.4</v>
      </c>
      <c r="P368" s="17">
        <v>0.54</v>
      </c>
      <c r="Q368" s="17"/>
      <c r="R368" s="18"/>
      <c r="S368" s="18"/>
      <c r="T368" s="18"/>
      <c r="U368" s="18"/>
      <c r="V368" s="18"/>
      <c r="W368" s="18"/>
    </row>
    <row r="369" spans="1:23" x14ac:dyDescent="0.2">
      <c r="A369">
        <f t="shared" si="21"/>
        <v>367</v>
      </c>
      <c r="B369" s="13">
        <v>44435</v>
      </c>
      <c r="C369" s="7"/>
      <c r="D369" s="28" t="s">
        <v>4</v>
      </c>
      <c r="E369" s="7" t="s">
        <v>12</v>
      </c>
      <c r="F369" s="7">
        <v>500</v>
      </c>
      <c r="G369" s="7" t="s">
        <v>20</v>
      </c>
      <c r="H369" s="8" t="s">
        <v>85</v>
      </c>
      <c r="I369" s="3" t="s">
        <v>11</v>
      </c>
      <c r="J369" s="5">
        <v>0.875</v>
      </c>
      <c r="K369" s="5">
        <v>0.66666666666666663</v>
      </c>
      <c r="L369" s="3">
        <f>0.04151+0.05024-0.00826-0.00065</f>
        <v>8.2839999999999997E-2</v>
      </c>
      <c r="M369" s="3">
        <v>0</v>
      </c>
      <c r="N369" s="3"/>
      <c r="O369" s="34">
        <v>2103.4</v>
      </c>
      <c r="P369" s="17">
        <v>0.54</v>
      </c>
      <c r="Q369" s="17"/>
      <c r="R369" s="18"/>
      <c r="S369" s="18"/>
      <c r="T369" s="18"/>
      <c r="U369" s="18"/>
      <c r="V369" s="18"/>
      <c r="W369" s="18"/>
    </row>
    <row r="370" spans="1:23" x14ac:dyDescent="0.2">
      <c r="A370">
        <f t="shared" si="21"/>
        <v>368</v>
      </c>
      <c r="B370" s="13">
        <v>44435</v>
      </c>
      <c r="C370" s="7"/>
      <c r="D370" s="28" t="s">
        <v>4</v>
      </c>
      <c r="E370" s="7" t="s">
        <v>12</v>
      </c>
      <c r="F370" s="7">
        <v>500</v>
      </c>
      <c r="G370" s="7" t="s">
        <v>22</v>
      </c>
      <c r="H370" s="8" t="s">
        <v>84</v>
      </c>
      <c r="I370" s="3" t="s">
        <v>11</v>
      </c>
      <c r="J370" s="5">
        <v>0.66666666666666663</v>
      </c>
      <c r="K370" s="5">
        <v>0.875</v>
      </c>
      <c r="L370" s="3">
        <f>0.07214+0.10044-0.00826-0.00065</f>
        <v>0.16367000000000001</v>
      </c>
      <c r="M370" s="3">
        <v>0</v>
      </c>
      <c r="N370" s="3"/>
      <c r="O370" s="34">
        <v>2103.4</v>
      </c>
      <c r="P370" s="17">
        <v>0.54</v>
      </c>
      <c r="Q370" s="17"/>
      <c r="R370" s="18"/>
      <c r="S370" s="18"/>
      <c r="T370" s="18"/>
      <c r="U370" s="18"/>
      <c r="V370" s="18"/>
      <c r="W370" s="18"/>
    </row>
    <row r="371" spans="1:23" x14ac:dyDescent="0.2">
      <c r="A371">
        <f t="shared" si="21"/>
        <v>369</v>
      </c>
      <c r="B371" s="13">
        <v>44435</v>
      </c>
      <c r="C371" s="7"/>
      <c r="D371" s="28" t="s">
        <v>4</v>
      </c>
      <c r="E371" s="7" t="s">
        <v>12</v>
      </c>
      <c r="F371" s="7">
        <v>500</v>
      </c>
      <c r="G371" s="7" t="s">
        <v>22</v>
      </c>
      <c r="H371" s="8" t="s">
        <v>85</v>
      </c>
      <c r="I371" s="3" t="s">
        <v>11</v>
      </c>
      <c r="J371" s="5">
        <v>0.875</v>
      </c>
      <c r="K371" s="5">
        <v>0.33333333333333331</v>
      </c>
      <c r="L371" s="3">
        <f>0.04151+0.05398-0.00826-0.00065</f>
        <v>8.657999999999999E-2</v>
      </c>
      <c r="M371" s="3">
        <v>0</v>
      </c>
      <c r="N371" s="3"/>
      <c r="O371" s="34">
        <v>2103.4</v>
      </c>
      <c r="P371" s="17">
        <v>0.54</v>
      </c>
      <c r="Q371" s="17"/>
      <c r="R371" s="18"/>
      <c r="S371" s="18"/>
      <c r="T371" s="18"/>
      <c r="U371" s="18"/>
      <c r="V371" s="18"/>
      <c r="W371" s="18"/>
    </row>
    <row r="372" spans="1:23" x14ac:dyDescent="0.2">
      <c r="A372">
        <f t="shared" si="21"/>
        <v>370</v>
      </c>
      <c r="B372" s="13">
        <v>44435</v>
      </c>
      <c r="C372" s="7"/>
      <c r="D372" s="28" t="s">
        <v>4</v>
      </c>
      <c r="E372" s="7" t="s">
        <v>12</v>
      </c>
      <c r="F372" s="7">
        <v>500</v>
      </c>
      <c r="G372" s="7" t="s">
        <v>22</v>
      </c>
      <c r="H372" s="8" t="s">
        <v>86</v>
      </c>
      <c r="I372" s="3" t="s">
        <v>11</v>
      </c>
      <c r="J372" s="5">
        <v>0.33333333333333331</v>
      </c>
      <c r="K372" s="5">
        <v>0.66666666666666663</v>
      </c>
      <c r="L372" s="3">
        <f>0.03902+0.03021-0.00826-0.00065</f>
        <v>6.0319999999999999E-2</v>
      </c>
      <c r="M372" s="3">
        <v>0</v>
      </c>
      <c r="N372" s="3"/>
      <c r="O372" s="34">
        <v>2103.4</v>
      </c>
      <c r="P372" s="17">
        <v>0.54</v>
      </c>
      <c r="Q372" s="17"/>
      <c r="R372" s="18"/>
      <c r="S372" s="18"/>
      <c r="T372" s="18"/>
      <c r="U372" s="18"/>
      <c r="V372" s="18"/>
      <c r="W372" s="18"/>
    </row>
    <row r="373" spans="1:23" x14ac:dyDescent="0.2">
      <c r="A373">
        <f t="shared" si="21"/>
        <v>371</v>
      </c>
      <c r="B373" s="13">
        <v>44435</v>
      </c>
      <c r="C373" s="7"/>
      <c r="D373" s="28" t="s">
        <v>4</v>
      </c>
      <c r="E373" s="7" t="s">
        <v>89</v>
      </c>
      <c r="F373" s="7">
        <v>20</v>
      </c>
      <c r="G373" s="7" t="s">
        <v>20</v>
      </c>
      <c r="H373" s="8" t="s">
        <v>83</v>
      </c>
      <c r="I373" s="6" t="s">
        <v>6</v>
      </c>
      <c r="J373" s="5">
        <v>0.66666666666666663</v>
      </c>
      <c r="K373" s="5">
        <v>0.875</v>
      </c>
      <c r="L373" s="3">
        <f>0.23595+0.32013-(0.00088)-(0.00133)-(0.00296)</f>
        <v>0.55091000000000001</v>
      </c>
      <c r="M373" s="3">
        <v>0</v>
      </c>
      <c r="N373" s="3"/>
      <c r="O373" s="3">
        <v>158.71</v>
      </c>
      <c r="P373" s="17">
        <v>0.6</v>
      </c>
      <c r="Q373" s="23"/>
      <c r="R373" s="23"/>
      <c r="S373" s="18"/>
      <c r="T373" s="18"/>
      <c r="U373" s="18"/>
      <c r="V373" s="18"/>
      <c r="W373" s="18"/>
    </row>
    <row r="374" spans="1:23" x14ac:dyDescent="0.2">
      <c r="A374">
        <f t="shared" si="21"/>
        <v>372</v>
      </c>
      <c r="B374" s="13">
        <v>44435</v>
      </c>
      <c r="C374" s="7"/>
      <c r="D374" s="28" t="s">
        <v>4</v>
      </c>
      <c r="E374" s="7" t="s">
        <v>89</v>
      </c>
      <c r="F374" s="7">
        <v>20</v>
      </c>
      <c r="G374" s="7" t="s">
        <v>20</v>
      </c>
      <c r="H374" s="8" t="s">
        <v>84</v>
      </c>
      <c r="I374" s="3" t="s">
        <v>7</v>
      </c>
      <c r="J374" s="5">
        <v>0.66666666666666663</v>
      </c>
      <c r="K374" s="5">
        <v>0.875</v>
      </c>
      <c r="L374" s="3">
        <f>0.23595+0.08431-(0.00088)-(0.00133)-(0.00296)</f>
        <v>0.31508999999999998</v>
      </c>
      <c r="M374" s="3">
        <v>0</v>
      </c>
      <c r="N374" s="3"/>
      <c r="O374" s="3">
        <v>158.71</v>
      </c>
      <c r="P374" s="17">
        <v>0.6</v>
      </c>
      <c r="Q374" s="23"/>
      <c r="R374" s="23"/>
      <c r="S374" s="18"/>
      <c r="T374" s="18"/>
      <c r="U374" s="18"/>
      <c r="V374" s="18"/>
      <c r="W374" s="18"/>
    </row>
    <row r="375" spans="1:23" x14ac:dyDescent="0.2">
      <c r="A375">
        <f t="shared" si="21"/>
        <v>373</v>
      </c>
      <c r="B375" s="13">
        <v>44435</v>
      </c>
      <c r="C375" s="7"/>
      <c r="D375" s="28" t="s">
        <v>4</v>
      </c>
      <c r="E375" s="7" t="s">
        <v>89</v>
      </c>
      <c r="F375" s="7">
        <v>20</v>
      </c>
      <c r="G375" s="7" t="s">
        <v>20</v>
      </c>
      <c r="H375" s="8" t="s">
        <v>85</v>
      </c>
      <c r="I375" s="3" t="s">
        <v>11</v>
      </c>
      <c r="J375" s="5">
        <v>0.875</v>
      </c>
      <c r="K375" s="5">
        <v>0.66666666666666663</v>
      </c>
      <c r="L375" s="3">
        <f>0.08482+0.06713-(0.00088)-(0.00133)-(0.00296)</f>
        <v>0.14678000000000002</v>
      </c>
      <c r="M375" s="3">
        <v>0</v>
      </c>
      <c r="N375" s="3"/>
      <c r="O375" s="3">
        <v>158.71</v>
      </c>
      <c r="P375" s="17">
        <v>0.6</v>
      </c>
      <c r="Q375" s="23"/>
      <c r="R375" s="23"/>
      <c r="S375" s="18"/>
      <c r="T375" s="18"/>
      <c r="U375" s="18"/>
      <c r="V375" s="18"/>
      <c r="W375" s="18"/>
    </row>
    <row r="376" spans="1:23" x14ac:dyDescent="0.2">
      <c r="A376">
        <f t="shared" si="21"/>
        <v>374</v>
      </c>
      <c r="B376" s="13">
        <v>44435</v>
      </c>
      <c r="C376" s="7"/>
      <c r="D376" s="28" t="s">
        <v>4</v>
      </c>
      <c r="E376" s="7" t="s">
        <v>89</v>
      </c>
      <c r="F376" s="7">
        <v>20</v>
      </c>
      <c r="G376" s="7" t="s">
        <v>22</v>
      </c>
      <c r="H376" s="8" t="s">
        <v>84</v>
      </c>
      <c r="I376" s="3" t="s">
        <v>11</v>
      </c>
      <c r="J376" s="5">
        <v>0.66666666666666663</v>
      </c>
      <c r="K376" s="5">
        <v>0.875</v>
      </c>
      <c r="L376" s="3">
        <f>0.23595+0.12488-(0.00088)-(0.00133)-(0.00296)</f>
        <v>0.35565999999999998</v>
      </c>
      <c r="M376" s="3">
        <v>0</v>
      </c>
      <c r="N376" s="3"/>
      <c r="O376" s="3">
        <v>158.71</v>
      </c>
      <c r="P376" s="17">
        <v>0.6</v>
      </c>
      <c r="Q376" s="23"/>
      <c r="R376" s="23"/>
      <c r="S376" s="18"/>
      <c r="T376" s="18"/>
      <c r="U376" s="18"/>
      <c r="V376" s="18"/>
      <c r="W376" s="18"/>
    </row>
    <row r="377" spans="1:23" x14ac:dyDescent="0.2">
      <c r="A377">
        <f t="shared" si="21"/>
        <v>375</v>
      </c>
      <c r="B377" s="13">
        <v>44435</v>
      </c>
      <c r="C377" s="7"/>
      <c r="D377" s="28" t="s">
        <v>4</v>
      </c>
      <c r="E377" s="7" t="s">
        <v>89</v>
      </c>
      <c r="F377" s="7">
        <v>20</v>
      </c>
      <c r="G377" s="7" t="s">
        <v>22</v>
      </c>
      <c r="H377" s="8" t="s">
        <v>85</v>
      </c>
      <c r="I377" s="3" t="s">
        <v>11</v>
      </c>
      <c r="J377" s="5">
        <v>0.875</v>
      </c>
      <c r="K377" s="5">
        <v>0.33333333333333331</v>
      </c>
      <c r="L377" s="3">
        <f>0.08482+0.07684-(0.00088)-(0.00133)-(0.00296)</f>
        <v>0.15649000000000005</v>
      </c>
      <c r="M377" s="3">
        <v>0</v>
      </c>
      <c r="N377" s="3"/>
      <c r="O377" s="3">
        <v>158.71</v>
      </c>
      <c r="P377" s="17">
        <v>0.6</v>
      </c>
      <c r="Q377" s="23"/>
      <c r="R377" s="23"/>
      <c r="S377" s="18"/>
      <c r="T377" s="18"/>
      <c r="U377" s="18"/>
      <c r="V377" s="18"/>
      <c r="W377" s="18"/>
    </row>
    <row r="378" spans="1:23" x14ac:dyDescent="0.2">
      <c r="A378">
        <f t="shared" si="21"/>
        <v>376</v>
      </c>
      <c r="B378" s="13">
        <v>44435</v>
      </c>
      <c r="C378" s="7"/>
      <c r="D378" s="28" t="s">
        <v>4</v>
      </c>
      <c r="E378" s="7" t="s">
        <v>89</v>
      </c>
      <c r="F378" s="7">
        <v>20</v>
      </c>
      <c r="G378" s="7" t="s">
        <v>22</v>
      </c>
      <c r="H378" s="8" t="s">
        <v>86</v>
      </c>
      <c r="I378" s="3" t="s">
        <v>11</v>
      </c>
      <c r="J378" s="5">
        <v>0.33333333333333331</v>
      </c>
      <c r="K378" s="5">
        <v>0.66666666666666663</v>
      </c>
      <c r="L378" s="3">
        <f>0.05863+0.03873-(0.00088)-(0.00133)-(0.00296)</f>
        <v>9.2189999999999994E-2</v>
      </c>
      <c r="M378" s="3">
        <v>0</v>
      </c>
      <c r="N378" s="3"/>
      <c r="O378" s="3">
        <v>158.71</v>
      </c>
      <c r="P378" s="17">
        <v>0.6</v>
      </c>
      <c r="Q378" s="23"/>
      <c r="R378" s="23"/>
      <c r="S378" s="18"/>
      <c r="T378" s="18"/>
      <c r="U378" s="18"/>
      <c r="V378" s="18"/>
      <c r="W378" s="18"/>
    </row>
    <row r="379" spans="1:23" x14ac:dyDescent="0.2">
      <c r="A379">
        <f t="shared" si="21"/>
        <v>377</v>
      </c>
      <c r="B379" s="13">
        <v>44435</v>
      </c>
      <c r="C379" s="7"/>
      <c r="D379" s="28" t="s">
        <v>4</v>
      </c>
      <c r="E379" s="7" t="s">
        <v>90</v>
      </c>
      <c r="F379" s="7">
        <v>20</v>
      </c>
      <c r="G379" s="7" t="s">
        <v>20</v>
      </c>
      <c r="H379" s="8" t="s">
        <v>83</v>
      </c>
      <c r="I379" s="6" t="s">
        <v>6</v>
      </c>
      <c r="J379" s="5">
        <v>0.66666666666666663</v>
      </c>
      <c r="K379" s="5">
        <v>0.875</v>
      </c>
      <c r="L379" s="3">
        <f>0.23595+0.32013-(0.0308)-(0.00323)-(0.00296)</f>
        <v>0.51909000000000005</v>
      </c>
      <c r="M379" s="3">
        <v>0</v>
      </c>
      <c r="N379" s="3"/>
      <c r="O379" s="3">
        <v>158.71</v>
      </c>
      <c r="P379" s="17">
        <v>0.54</v>
      </c>
      <c r="Q379" s="23"/>
      <c r="R379" s="23"/>
      <c r="S379" s="18"/>
      <c r="T379" s="18"/>
      <c r="U379" s="18"/>
      <c r="V379" s="18"/>
      <c r="W379" s="18"/>
    </row>
    <row r="380" spans="1:23" x14ac:dyDescent="0.2">
      <c r="A380">
        <f t="shared" si="21"/>
        <v>378</v>
      </c>
      <c r="B380" s="13">
        <v>44435</v>
      </c>
      <c r="C380" s="7"/>
      <c r="D380" s="28" t="s">
        <v>4</v>
      </c>
      <c r="E380" s="7" t="s">
        <v>90</v>
      </c>
      <c r="F380" s="7">
        <v>20</v>
      </c>
      <c r="G380" s="7" t="s">
        <v>20</v>
      </c>
      <c r="H380" s="8" t="s">
        <v>84</v>
      </c>
      <c r="I380" s="3" t="s">
        <v>7</v>
      </c>
      <c r="J380" s="5">
        <v>0.66666666666666663</v>
      </c>
      <c r="K380" s="5">
        <v>0.875</v>
      </c>
      <c r="L380" s="3">
        <f>0.23595+0.08431-(0.0308)-(0.00323)-(0.00296)</f>
        <v>0.28326999999999997</v>
      </c>
      <c r="M380" s="3">
        <v>0</v>
      </c>
      <c r="N380" s="3"/>
      <c r="O380" s="3">
        <v>158.71</v>
      </c>
      <c r="P380" s="17">
        <v>0.54</v>
      </c>
      <c r="Q380" s="23"/>
      <c r="R380" s="23"/>
      <c r="S380" s="18"/>
      <c r="T380" s="18"/>
      <c r="U380" s="18"/>
      <c r="V380" s="18"/>
      <c r="W380" s="18"/>
    </row>
    <row r="381" spans="1:23" x14ac:dyDescent="0.2">
      <c r="A381">
        <f t="shared" si="21"/>
        <v>379</v>
      </c>
      <c r="B381" s="13">
        <v>44435</v>
      </c>
      <c r="C381" s="7"/>
      <c r="D381" s="28" t="s">
        <v>4</v>
      </c>
      <c r="E381" s="7" t="s">
        <v>90</v>
      </c>
      <c r="F381" s="7">
        <v>20</v>
      </c>
      <c r="G381" s="7" t="s">
        <v>20</v>
      </c>
      <c r="H381" s="8" t="s">
        <v>85</v>
      </c>
      <c r="I381" s="3" t="s">
        <v>11</v>
      </c>
      <c r="J381" s="5">
        <v>0.875</v>
      </c>
      <c r="K381" s="5">
        <v>0.66666666666666663</v>
      </c>
      <c r="L381" s="3">
        <f>0.08482+0.06713-(0.0308)-(0.00323)-(0.00296)</f>
        <v>0.11496000000000001</v>
      </c>
      <c r="M381" s="3">
        <v>0</v>
      </c>
      <c r="N381" s="3"/>
      <c r="O381" s="3">
        <v>158.71</v>
      </c>
      <c r="P381" s="17">
        <v>0.54</v>
      </c>
      <c r="Q381" s="23"/>
      <c r="R381" s="23"/>
      <c r="S381" s="18"/>
      <c r="T381" s="18"/>
      <c r="U381" s="18"/>
      <c r="V381" s="18"/>
      <c r="W381" s="18"/>
    </row>
    <row r="382" spans="1:23" x14ac:dyDescent="0.2">
      <c r="A382">
        <f t="shared" si="21"/>
        <v>380</v>
      </c>
      <c r="B382" s="13">
        <v>44435</v>
      </c>
      <c r="C382" s="7"/>
      <c r="D382" s="28" t="s">
        <v>4</v>
      </c>
      <c r="E382" s="7" t="s">
        <v>90</v>
      </c>
      <c r="F382" s="7">
        <v>20</v>
      </c>
      <c r="G382" s="7" t="s">
        <v>22</v>
      </c>
      <c r="H382" s="8" t="s">
        <v>84</v>
      </c>
      <c r="I382" s="3" t="s">
        <v>11</v>
      </c>
      <c r="J382" s="5">
        <v>0.66666666666666663</v>
      </c>
      <c r="K382" s="5">
        <v>0.875</v>
      </c>
      <c r="L382" s="3">
        <f>0.23595+0.12488-(0.0308)-(0.00323)-(0.00296)</f>
        <v>0.32383999999999996</v>
      </c>
      <c r="M382" s="3">
        <v>0</v>
      </c>
      <c r="N382" s="3"/>
      <c r="O382" s="3">
        <v>158.71</v>
      </c>
      <c r="P382" s="17">
        <v>0.54</v>
      </c>
      <c r="Q382" s="23"/>
      <c r="R382" s="23"/>
      <c r="S382" s="18"/>
      <c r="T382" s="18"/>
      <c r="U382" s="18"/>
      <c r="V382" s="18"/>
      <c r="W382" s="18"/>
    </row>
    <row r="383" spans="1:23" x14ac:dyDescent="0.2">
      <c r="A383">
        <f t="shared" si="21"/>
        <v>381</v>
      </c>
      <c r="B383" s="13">
        <v>44435</v>
      </c>
      <c r="C383" s="7"/>
      <c r="D383" s="28" t="s">
        <v>4</v>
      </c>
      <c r="E383" s="7" t="s">
        <v>90</v>
      </c>
      <c r="F383" s="7">
        <v>20</v>
      </c>
      <c r="G383" s="7" t="s">
        <v>22</v>
      </c>
      <c r="H383" s="8" t="s">
        <v>85</v>
      </c>
      <c r="I383" s="3" t="s">
        <v>11</v>
      </c>
      <c r="J383" s="5">
        <v>0.875</v>
      </c>
      <c r="K383" s="5">
        <v>0.33333333333333331</v>
      </c>
      <c r="L383" s="3">
        <f>0.08482+0.07684-(0.0308)-(0.00323)-(0.00296)</f>
        <v>0.12467000000000002</v>
      </c>
      <c r="M383" s="3">
        <v>0</v>
      </c>
      <c r="N383" s="3"/>
      <c r="O383" s="3">
        <v>158.71</v>
      </c>
      <c r="P383" s="17">
        <v>0.54</v>
      </c>
      <c r="Q383" s="23"/>
      <c r="R383" s="23"/>
      <c r="S383" s="18"/>
      <c r="T383" s="18"/>
      <c r="U383" s="18"/>
      <c r="V383" s="18"/>
      <c r="W383" s="18"/>
    </row>
    <row r="384" spans="1:23" x14ac:dyDescent="0.2">
      <c r="A384">
        <f t="shared" si="21"/>
        <v>382</v>
      </c>
      <c r="B384" s="13">
        <v>44435</v>
      </c>
      <c r="C384" s="7"/>
      <c r="D384" s="28" t="s">
        <v>4</v>
      </c>
      <c r="E384" s="7" t="s">
        <v>90</v>
      </c>
      <c r="F384" s="7">
        <v>20</v>
      </c>
      <c r="G384" s="7" t="s">
        <v>22</v>
      </c>
      <c r="H384" s="8" t="s">
        <v>86</v>
      </c>
      <c r="I384" s="3" t="s">
        <v>11</v>
      </c>
      <c r="J384" s="5">
        <v>0.33333333333333331</v>
      </c>
      <c r="K384" s="5">
        <v>0.66666666666666663</v>
      </c>
      <c r="L384" s="3">
        <f>0.05863+0.03873-(0.0308)-(0.00323)-(0.00296)</f>
        <v>6.0370000000000014E-2</v>
      </c>
      <c r="M384" s="3">
        <v>0</v>
      </c>
      <c r="N384" s="3"/>
      <c r="O384" s="3">
        <v>158.71</v>
      </c>
      <c r="P384" s="17">
        <v>0.54</v>
      </c>
      <c r="Q384" s="23"/>
      <c r="R384" s="23"/>
      <c r="S384" s="18"/>
      <c r="T384" s="18"/>
      <c r="U384" s="18"/>
      <c r="V384" s="18"/>
      <c r="W384" s="18"/>
    </row>
    <row r="385" spans="1:24" x14ac:dyDescent="0.2">
      <c r="A385">
        <f t="shared" si="21"/>
        <v>383</v>
      </c>
      <c r="B385" s="13">
        <v>44435</v>
      </c>
      <c r="C385" s="7"/>
      <c r="D385" s="28" t="s">
        <v>4</v>
      </c>
      <c r="E385" s="7" t="s">
        <v>91</v>
      </c>
      <c r="F385" s="7">
        <v>20</v>
      </c>
      <c r="G385" s="7" t="s">
        <v>20</v>
      </c>
      <c r="H385" s="8" t="s">
        <v>83</v>
      </c>
      <c r="I385" s="6" t="s">
        <v>6</v>
      </c>
      <c r="J385" s="5">
        <v>0.66666666666666663</v>
      </c>
      <c r="K385" s="5">
        <v>0.875</v>
      </c>
      <c r="L385" s="3">
        <f>0.23595+0.32013-(0.06147)-(0.00325)-(0.00296)</f>
        <v>0.4884</v>
      </c>
      <c r="M385" s="3">
        <v>0</v>
      </c>
      <c r="N385" s="3"/>
      <c r="O385" s="3">
        <v>158.71</v>
      </c>
      <c r="P385" s="17">
        <v>0.54</v>
      </c>
      <c r="Q385" s="17"/>
      <c r="R385" s="23"/>
      <c r="S385" s="18"/>
      <c r="T385" s="18"/>
      <c r="U385" s="18"/>
      <c r="V385" s="18"/>
      <c r="W385" s="18"/>
    </row>
    <row r="386" spans="1:24" x14ac:dyDescent="0.2">
      <c r="A386">
        <f t="shared" si="21"/>
        <v>384</v>
      </c>
      <c r="B386" s="13">
        <v>44435</v>
      </c>
      <c r="C386" s="7"/>
      <c r="D386" s="28" t="s">
        <v>4</v>
      </c>
      <c r="E386" s="7" t="s">
        <v>91</v>
      </c>
      <c r="F386" s="7">
        <v>20</v>
      </c>
      <c r="G386" s="7" t="s">
        <v>20</v>
      </c>
      <c r="H386" s="8" t="s">
        <v>84</v>
      </c>
      <c r="I386" s="3" t="s">
        <v>7</v>
      </c>
      <c r="J386" s="5">
        <v>0.66666666666666663</v>
      </c>
      <c r="K386" s="5">
        <v>0.875</v>
      </c>
      <c r="L386" s="3">
        <f>0.23595+0.08431-(0.06147)-(0.00325)-(0.00296)</f>
        <v>0.25257999999999997</v>
      </c>
      <c r="M386" s="3">
        <v>0</v>
      </c>
      <c r="N386" s="3"/>
      <c r="O386" s="3">
        <v>158.71</v>
      </c>
      <c r="P386" s="17">
        <v>0.54</v>
      </c>
      <c r="Q386" s="17"/>
      <c r="R386" s="23"/>
      <c r="S386" s="18"/>
      <c r="T386" s="18"/>
      <c r="U386" s="18"/>
      <c r="V386" s="18"/>
      <c r="W386" s="18"/>
    </row>
    <row r="387" spans="1:24" x14ac:dyDescent="0.2">
      <c r="A387">
        <f t="shared" si="21"/>
        <v>385</v>
      </c>
      <c r="B387" s="13">
        <v>44435</v>
      </c>
      <c r="C387" s="7"/>
      <c r="D387" s="28" t="s">
        <v>4</v>
      </c>
      <c r="E387" s="7" t="s">
        <v>91</v>
      </c>
      <c r="F387" s="7">
        <v>20</v>
      </c>
      <c r="G387" s="7" t="s">
        <v>20</v>
      </c>
      <c r="H387" s="8" t="s">
        <v>85</v>
      </c>
      <c r="I387" s="3" t="s">
        <v>11</v>
      </c>
      <c r="J387" s="5">
        <v>0.875</v>
      </c>
      <c r="K387" s="5">
        <v>0.66666666666666663</v>
      </c>
      <c r="L387" s="3">
        <f>0.08482+0.06713-(0.06147)-(0.00325)-(0.00296)</f>
        <v>8.4269999999999998E-2</v>
      </c>
      <c r="M387" s="3">
        <v>0</v>
      </c>
      <c r="N387" s="3"/>
      <c r="O387" s="3">
        <v>158.71</v>
      </c>
      <c r="P387" s="17">
        <v>0.54</v>
      </c>
      <c r="Q387" s="17"/>
      <c r="R387" s="23"/>
      <c r="S387" s="18"/>
      <c r="T387" s="18"/>
      <c r="U387" s="18"/>
      <c r="V387" s="18"/>
      <c r="W387" s="18"/>
    </row>
    <row r="388" spans="1:24" x14ac:dyDescent="0.2">
      <c r="A388">
        <f t="shared" ref="A388:A440" si="24">A387+1</f>
        <v>386</v>
      </c>
      <c r="B388" s="13">
        <v>44435</v>
      </c>
      <c r="C388" s="7"/>
      <c r="D388" s="28" t="s">
        <v>4</v>
      </c>
      <c r="E388" s="7" t="s">
        <v>91</v>
      </c>
      <c r="F388" s="7">
        <v>20</v>
      </c>
      <c r="G388" s="7" t="s">
        <v>22</v>
      </c>
      <c r="H388" s="8" t="s">
        <v>84</v>
      </c>
      <c r="I388" s="3" t="s">
        <v>11</v>
      </c>
      <c r="J388" s="5">
        <v>0.66666666666666663</v>
      </c>
      <c r="K388" s="5">
        <v>0.875</v>
      </c>
      <c r="L388" s="3">
        <f>0.23595+0.12488-(0.06147)-(0.00325)-(0.00296)</f>
        <v>0.29314999999999997</v>
      </c>
      <c r="M388" s="3">
        <v>0</v>
      </c>
      <c r="N388" s="3"/>
      <c r="O388" s="3">
        <v>158.71</v>
      </c>
      <c r="P388" s="17">
        <v>0.54</v>
      </c>
      <c r="Q388" s="17"/>
      <c r="R388" s="23"/>
      <c r="S388" s="18"/>
      <c r="T388" s="18"/>
      <c r="U388" s="18"/>
      <c r="V388" s="18"/>
      <c r="W388" s="18"/>
    </row>
    <row r="389" spans="1:24" x14ac:dyDescent="0.2">
      <c r="A389">
        <f t="shared" si="24"/>
        <v>387</v>
      </c>
      <c r="B389" s="13">
        <v>44435</v>
      </c>
      <c r="C389" s="7"/>
      <c r="D389" s="28" t="s">
        <v>4</v>
      </c>
      <c r="E389" s="7" t="s">
        <v>91</v>
      </c>
      <c r="F389" s="7">
        <v>20</v>
      </c>
      <c r="G389" s="7" t="s">
        <v>22</v>
      </c>
      <c r="H389" s="8" t="s">
        <v>85</v>
      </c>
      <c r="I389" s="3" t="s">
        <v>11</v>
      </c>
      <c r="J389" s="5">
        <v>0.875</v>
      </c>
      <c r="K389" s="5">
        <v>0.33333333333333331</v>
      </c>
      <c r="L389" s="3">
        <f>0.08482+0.07684-(0.06147)-(0.00325)-(0.00296)</f>
        <v>9.3980000000000022E-2</v>
      </c>
      <c r="M389" s="3">
        <v>0</v>
      </c>
      <c r="N389" s="3"/>
      <c r="O389" s="3">
        <v>158.71</v>
      </c>
      <c r="P389" s="17">
        <v>0.54</v>
      </c>
      <c r="Q389" s="17"/>
      <c r="R389" s="23"/>
      <c r="S389" s="18"/>
      <c r="T389" s="18"/>
      <c r="U389" s="18"/>
      <c r="V389" s="18"/>
      <c r="W389" s="18"/>
    </row>
    <row r="390" spans="1:24" x14ac:dyDescent="0.2">
      <c r="A390">
        <f t="shared" si="24"/>
        <v>388</v>
      </c>
      <c r="B390" s="13">
        <v>44435</v>
      </c>
      <c r="C390" s="7"/>
      <c r="D390" s="28" t="s">
        <v>4</v>
      </c>
      <c r="E390" s="7" t="s">
        <v>91</v>
      </c>
      <c r="F390" s="7">
        <v>20</v>
      </c>
      <c r="G390" s="7" t="s">
        <v>22</v>
      </c>
      <c r="H390" s="8" t="s">
        <v>86</v>
      </c>
      <c r="I390" s="3" t="s">
        <v>11</v>
      </c>
      <c r="J390" s="5">
        <v>0.33333333333333331</v>
      </c>
      <c r="K390" s="5">
        <v>0.66666666666666663</v>
      </c>
      <c r="L390" s="3">
        <f>0.05863+0.03873-(0.06147)-(0.00325)-(0.00296)</f>
        <v>2.9680000000000002E-2</v>
      </c>
      <c r="M390" s="3">
        <v>0</v>
      </c>
      <c r="N390" s="3"/>
      <c r="O390" s="3">
        <v>158.71</v>
      </c>
      <c r="P390" s="17">
        <v>0.54</v>
      </c>
      <c r="Q390" s="17"/>
      <c r="R390" s="23"/>
      <c r="S390" s="18"/>
      <c r="T390" s="18"/>
      <c r="U390" s="18"/>
      <c r="V390" s="18"/>
      <c r="W390" s="18"/>
    </row>
    <row r="391" spans="1:24" x14ac:dyDescent="0.2">
      <c r="A391">
        <f t="shared" si="24"/>
        <v>389</v>
      </c>
      <c r="B391" s="13">
        <v>44435</v>
      </c>
      <c r="C391" s="7"/>
      <c r="D391" s="28" t="s">
        <v>4</v>
      </c>
      <c r="E391" s="7" t="s">
        <v>92</v>
      </c>
      <c r="F391" s="7">
        <v>0</v>
      </c>
      <c r="G391" s="7" t="s">
        <v>20</v>
      </c>
      <c r="H391" s="8" t="s">
        <v>83</v>
      </c>
      <c r="I391" s="6" t="s">
        <v>6</v>
      </c>
      <c r="J391" s="5">
        <v>0.66666666666666663</v>
      </c>
      <c r="K391" s="5">
        <v>0.875</v>
      </c>
      <c r="L391" s="3">
        <f>0.23124+0.24052-0.00082-0.00135-0.00316</f>
        <v>0.46643000000000001</v>
      </c>
      <c r="M391" s="3">
        <v>0</v>
      </c>
      <c r="N391" s="3"/>
      <c r="O391" s="3">
        <f>0.457*30</f>
        <v>13.71</v>
      </c>
      <c r="P391" s="17"/>
      <c r="Q391" s="23"/>
      <c r="R391" s="23"/>
      <c r="S391" s="18"/>
      <c r="T391" s="18"/>
      <c r="U391" s="18"/>
      <c r="V391" s="18"/>
      <c r="W391" s="18"/>
      <c r="X391" s="36" t="s">
        <v>185</v>
      </c>
    </row>
    <row r="392" spans="1:24" x14ac:dyDescent="0.2">
      <c r="A392">
        <f t="shared" si="24"/>
        <v>390</v>
      </c>
      <c r="B392" s="13">
        <v>44435</v>
      </c>
      <c r="C392" s="7"/>
      <c r="D392" s="28" t="s">
        <v>4</v>
      </c>
      <c r="E392" s="7" t="s">
        <v>92</v>
      </c>
      <c r="F392" s="7">
        <v>0</v>
      </c>
      <c r="G392" s="7" t="s">
        <v>20</v>
      </c>
      <c r="H392" s="8" t="s">
        <v>84</v>
      </c>
      <c r="I392" s="3" t="s">
        <v>7</v>
      </c>
      <c r="J392" s="5">
        <v>0.66666666666666663</v>
      </c>
      <c r="K392" s="5">
        <v>0.875</v>
      </c>
      <c r="L392" s="3">
        <f>0.23124+0.12799-0.00082-0.00135-0.00316</f>
        <v>0.35389999999999999</v>
      </c>
      <c r="M392" s="3">
        <v>0</v>
      </c>
      <c r="N392" s="3"/>
      <c r="O392" s="3">
        <f t="shared" ref="O392:O408" si="25">0.457*30</f>
        <v>13.71</v>
      </c>
      <c r="P392" s="17"/>
      <c r="Q392" s="23"/>
      <c r="R392" s="23"/>
      <c r="S392" s="18"/>
      <c r="T392" s="18"/>
      <c r="U392" s="18"/>
      <c r="V392" s="18"/>
      <c r="W392" s="18"/>
      <c r="X392" s="37"/>
    </row>
    <row r="393" spans="1:24" x14ac:dyDescent="0.2">
      <c r="A393">
        <f t="shared" si="24"/>
        <v>391</v>
      </c>
      <c r="B393" s="13">
        <v>44435</v>
      </c>
      <c r="C393" s="7"/>
      <c r="D393" s="28" t="s">
        <v>4</v>
      </c>
      <c r="E393" s="7" t="s">
        <v>92</v>
      </c>
      <c r="F393" s="7">
        <v>0</v>
      </c>
      <c r="G393" s="7" t="s">
        <v>20</v>
      </c>
      <c r="H393" s="8" t="s">
        <v>85</v>
      </c>
      <c r="I393" s="3" t="s">
        <v>11</v>
      </c>
      <c r="J393" s="5">
        <v>0.875</v>
      </c>
      <c r="K393" s="5">
        <v>0.66666666666666663</v>
      </c>
      <c r="L393" s="3">
        <f>0.08411+0.09046-0.00082-0.00135-0.00316</f>
        <v>0.16924000000000003</v>
      </c>
      <c r="M393" s="3">
        <v>0</v>
      </c>
      <c r="N393" s="3"/>
      <c r="O393" s="3">
        <f t="shared" si="25"/>
        <v>13.71</v>
      </c>
      <c r="P393" s="17"/>
      <c r="Q393" s="23"/>
      <c r="R393" s="23"/>
      <c r="S393" s="18"/>
      <c r="T393" s="18"/>
      <c r="U393" s="18"/>
      <c r="V393" s="18"/>
      <c r="W393" s="18"/>
      <c r="X393" s="37"/>
    </row>
    <row r="394" spans="1:24" x14ac:dyDescent="0.2">
      <c r="A394">
        <f t="shared" si="24"/>
        <v>392</v>
      </c>
      <c r="B394" s="13">
        <v>44435</v>
      </c>
      <c r="C394" s="7"/>
      <c r="D394" s="28" t="s">
        <v>4</v>
      </c>
      <c r="E394" s="7" t="s">
        <v>92</v>
      </c>
      <c r="F394" s="7">
        <v>0</v>
      </c>
      <c r="G394" s="7" t="s">
        <v>22</v>
      </c>
      <c r="H394" s="8" t="s">
        <v>84</v>
      </c>
      <c r="I394" s="3" t="s">
        <v>11</v>
      </c>
      <c r="J394" s="5">
        <v>0.66666666666666663</v>
      </c>
      <c r="K394" s="5">
        <v>0.875</v>
      </c>
      <c r="L394" s="3">
        <f>0.23124+0.14809-0.00082-0.00135-0.00316</f>
        <v>0.374</v>
      </c>
      <c r="M394" s="3">
        <v>0</v>
      </c>
      <c r="N394" s="3"/>
      <c r="O394" s="3">
        <f t="shared" si="25"/>
        <v>13.71</v>
      </c>
      <c r="P394" s="17"/>
      <c r="Q394" s="23"/>
      <c r="R394" s="23"/>
      <c r="S394" s="18"/>
      <c r="T394" s="18"/>
      <c r="U394" s="18"/>
      <c r="V394" s="18"/>
      <c r="W394" s="18"/>
      <c r="X394" s="37"/>
    </row>
    <row r="395" spans="1:24" x14ac:dyDescent="0.2">
      <c r="A395">
        <f t="shared" si="24"/>
        <v>393</v>
      </c>
      <c r="B395" s="13">
        <v>44435</v>
      </c>
      <c r="C395" s="7"/>
      <c r="D395" s="28" t="s">
        <v>4</v>
      </c>
      <c r="E395" s="7" t="s">
        <v>92</v>
      </c>
      <c r="F395" s="7">
        <v>0</v>
      </c>
      <c r="G395" s="7" t="s">
        <v>22</v>
      </c>
      <c r="H395" s="8" t="s">
        <v>85</v>
      </c>
      <c r="I395" s="3" t="s">
        <v>11</v>
      </c>
      <c r="J395" s="5">
        <v>0.875</v>
      </c>
      <c r="K395" s="5">
        <v>0.33333333333333331</v>
      </c>
      <c r="L395" s="3">
        <f>0.08411+0.08239-0.00082-0.00135-0.00316</f>
        <v>0.16117000000000004</v>
      </c>
      <c r="M395" s="3">
        <v>0</v>
      </c>
      <c r="N395" s="3"/>
      <c r="O395" s="3">
        <f t="shared" si="25"/>
        <v>13.71</v>
      </c>
      <c r="P395" s="17"/>
      <c r="Q395" s="23"/>
      <c r="R395" s="23"/>
      <c r="S395" s="18"/>
      <c r="T395" s="18"/>
      <c r="U395" s="18"/>
      <c r="V395" s="18"/>
      <c r="W395" s="18"/>
      <c r="X395" s="37"/>
    </row>
    <row r="396" spans="1:24" x14ac:dyDescent="0.2">
      <c r="A396">
        <f t="shared" si="24"/>
        <v>394</v>
      </c>
      <c r="B396" s="13">
        <v>44435</v>
      </c>
      <c r="C396" s="7"/>
      <c r="D396" s="28" t="s">
        <v>4</v>
      </c>
      <c r="E396" s="7" t="s">
        <v>92</v>
      </c>
      <c r="F396" s="7">
        <v>0</v>
      </c>
      <c r="G396" s="7" t="s">
        <v>22</v>
      </c>
      <c r="H396" s="8" t="s">
        <v>86</v>
      </c>
      <c r="I396" s="3" t="s">
        <v>11</v>
      </c>
      <c r="J396" s="5">
        <v>0.33333333333333331</v>
      </c>
      <c r="K396" s="5">
        <v>0.66666666666666663</v>
      </c>
      <c r="L396" s="3">
        <f>0.05985+0.04559-0.00082-0.00135-0.00316</f>
        <v>0.10011</v>
      </c>
      <c r="M396" s="3">
        <v>0</v>
      </c>
      <c r="N396" s="3"/>
      <c r="O396" s="3">
        <f t="shared" si="25"/>
        <v>13.71</v>
      </c>
      <c r="P396" s="17"/>
      <c r="Q396" s="23"/>
      <c r="R396" s="23"/>
      <c r="S396" s="18"/>
      <c r="T396" s="18"/>
      <c r="U396" s="18"/>
      <c r="V396" s="18"/>
      <c r="W396" s="18"/>
      <c r="X396" s="37"/>
    </row>
    <row r="397" spans="1:24" x14ac:dyDescent="0.2">
      <c r="A397">
        <f t="shared" si="24"/>
        <v>395</v>
      </c>
      <c r="B397" s="13">
        <v>44435</v>
      </c>
      <c r="C397" s="7"/>
      <c r="D397" s="28" t="s">
        <v>4</v>
      </c>
      <c r="E397" s="7" t="s">
        <v>93</v>
      </c>
      <c r="F397" s="7">
        <v>0</v>
      </c>
      <c r="G397" s="7" t="s">
        <v>20</v>
      </c>
      <c r="H397" s="8" t="s">
        <v>83</v>
      </c>
      <c r="I397" s="6" t="s">
        <v>6</v>
      </c>
      <c r="J397" s="5">
        <v>0.66666666666666663</v>
      </c>
      <c r="K397" s="5">
        <v>0.875</v>
      </c>
      <c r="L397" s="3">
        <f>0.23124+0.24052-0.0276-0.00297-0.00316</f>
        <v>0.43803000000000003</v>
      </c>
      <c r="M397" s="3">
        <v>0</v>
      </c>
      <c r="N397" s="3"/>
      <c r="O397" s="3">
        <f t="shared" si="25"/>
        <v>13.71</v>
      </c>
      <c r="P397" s="17"/>
      <c r="Q397" s="23"/>
      <c r="R397" s="23"/>
      <c r="S397" s="18"/>
      <c r="T397" s="18"/>
      <c r="U397" s="18"/>
      <c r="V397" s="18"/>
      <c r="W397" s="18"/>
      <c r="X397" s="37"/>
    </row>
    <row r="398" spans="1:24" x14ac:dyDescent="0.2">
      <c r="A398">
        <f t="shared" si="24"/>
        <v>396</v>
      </c>
      <c r="B398" s="13">
        <v>44435</v>
      </c>
      <c r="C398" s="7"/>
      <c r="D398" s="28" t="s">
        <v>4</v>
      </c>
      <c r="E398" s="7" t="s">
        <v>93</v>
      </c>
      <c r="F398" s="7">
        <v>0</v>
      </c>
      <c r="G398" s="7" t="s">
        <v>20</v>
      </c>
      <c r="H398" s="8" t="s">
        <v>84</v>
      </c>
      <c r="I398" s="3" t="s">
        <v>7</v>
      </c>
      <c r="J398" s="5">
        <v>0.66666666666666663</v>
      </c>
      <c r="K398" s="5">
        <v>0.875</v>
      </c>
      <c r="L398" s="3">
        <f>0.23124+0.12799-0.0276-0.00297-0.00316</f>
        <v>0.32550000000000001</v>
      </c>
      <c r="M398" s="3">
        <v>0</v>
      </c>
      <c r="N398" s="3"/>
      <c r="O398" s="3">
        <f t="shared" si="25"/>
        <v>13.71</v>
      </c>
      <c r="P398" s="17"/>
      <c r="Q398" s="23"/>
      <c r="R398" s="23"/>
      <c r="S398" s="18"/>
      <c r="T398" s="18"/>
      <c r="U398" s="18"/>
      <c r="V398" s="18"/>
      <c r="W398" s="18"/>
      <c r="X398" s="37"/>
    </row>
    <row r="399" spans="1:24" x14ac:dyDescent="0.2">
      <c r="A399">
        <f t="shared" si="24"/>
        <v>397</v>
      </c>
      <c r="B399" s="13">
        <v>44435</v>
      </c>
      <c r="C399" s="7"/>
      <c r="D399" s="28" t="s">
        <v>4</v>
      </c>
      <c r="E399" s="7" t="s">
        <v>93</v>
      </c>
      <c r="F399" s="7">
        <v>0</v>
      </c>
      <c r="G399" s="7" t="s">
        <v>20</v>
      </c>
      <c r="H399" s="8" t="s">
        <v>85</v>
      </c>
      <c r="I399" s="3" t="s">
        <v>11</v>
      </c>
      <c r="J399" s="5">
        <v>0.875</v>
      </c>
      <c r="K399" s="5">
        <v>0.66666666666666663</v>
      </c>
      <c r="L399" s="3">
        <f>0.08411+0.09046-0.0276-0.00297-0.00316</f>
        <v>0.14083999999999999</v>
      </c>
      <c r="M399" s="3">
        <v>0</v>
      </c>
      <c r="N399" s="3"/>
      <c r="O399" s="3">
        <f t="shared" si="25"/>
        <v>13.71</v>
      </c>
      <c r="P399" s="17"/>
      <c r="Q399" s="23"/>
      <c r="R399" s="23"/>
      <c r="S399" s="18"/>
      <c r="T399" s="18"/>
      <c r="U399" s="18"/>
      <c r="V399" s="18"/>
      <c r="W399" s="18"/>
      <c r="X399" s="37"/>
    </row>
    <row r="400" spans="1:24" x14ac:dyDescent="0.2">
      <c r="A400">
        <f t="shared" si="24"/>
        <v>398</v>
      </c>
      <c r="B400" s="13">
        <v>44435</v>
      </c>
      <c r="C400" s="7"/>
      <c r="D400" s="28" t="s">
        <v>4</v>
      </c>
      <c r="E400" s="7" t="s">
        <v>93</v>
      </c>
      <c r="F400" s="7">
        <v>0</v>
      </c>
      <c r="G400" s="7" t="s">
        <v>22</v>
      </c>
      <c r="H400" s="8" t="s">
        <v>84</v>
      </c>
      <c r="I400" s="3" t="s">
        <v>11</v>
      </c>
      <c r="J400" s="5">
        <v>0.66666666666666663</v>
      </c>
      <c r="K400" s="5">
        <v>0.875</v>
      </c>
      <c r="L400" s="3">
        <f>0.23124+0.14809-0.0276-0.00297-0.00316</f>
        <v>0.34560000000000002</v>
      </c>
      <c r="M400" s="3">
        <v>0</v>
      </c>
      <c r="N400" s="3"/>
      <c r="O400" s="3">
        <f t="shared" si="25"/>
        <v>13.71</v>
      </c>
      <c r="P400" s="17"/>
      <c r="Q400" s="23"/>
      <c r="R400" s="23"/>
      <c r="S400" s="18"/>
      <c r="T400" s="18"/>
      <c r="U400" s="18"/>
      <c r="V400" s="18"/>
      <c r="W400" s="18"/>
      <c r="X400" s="37"/>
    </row>
    <row r="401" spans="1:24" x14ac:dyDescent="0.2">
      <c r="A401">
        <f t="shared" si="24"/>
        <v>399</v>
      </c>
      <c r="B401" s="13">
        <v>44435</v>
      </c>
      <c r="C401" s="7"/>
      <c r="D401" s="28" t="s">
        <v>4</v>
      </c>
      <c r="E401" s="7" t="s">
        <v>93</v>
      </c>
      <c r="F401" s="7">
        <v>0</v>
      </c>
      <c r="G401" s="7" t="s">
        <v>22</v>
      </c>
      <c r="H401" s="8" t="s">
        <v>85</v>
      </c>
      <c r="I401" s="3" t="s">
        <v>11</v>
      </c>
      <c r="J401" s="5">
        <v>0.875</v>
      </c>
      <c r="K401" s="5">
        <v>0.33333333333333331</v>
      </c>
      <c r="L401" s="3">
        <f>0.08411+0.08239-0.0276-0.00297-0.00316</f>
        <v>0.13277000000000003</v>
      </c>
      <c r="M401" s="3">
        <v>0</v>
      </c>
      <c r="N401" s="3"/>
      <c r="O401" s="3">
        <f t="shared" si="25"/>
        <v>13.71</v>
      </c>
      <c r="P401" s="17"/>
      <c r="Q401" s="23"/>
      <c r="R401" s="23"/>
      <c r="S401" s="18"/>
      <c r="T401" s="18"/>
      <c r="U401" s="18"/>
      <c r="V401" s="18"/>
      <c r="W401" s="18"/>
      <c r="X401" s="37"/>
    </row>
    <row r="402" spans="1:24" x14ac:dyDescent="0.2">
      <c r="A402">
        <f t="shared" si="24"/>
        <v>400</v>
      </c>
      <c r="B402" s="13">
        <v>44435</v>
      </c>
      <c r="C402" s="7"/>
      <c r="D402" s="28" t="s">
        <v>4</v>
      </c>
      <c r="E402" s="7" t="s">
        <v>93</v>
      </c>
      <c r="F402" s="7">
        <v>0</v>
      </c>
      <c r="G402" s="7" t="s">
        <v>22</v>
      </c>
      <c r="H402" s="8" t="s">
        <v>86</v>
      </c>
      <c r="I402" s="3" t="s">
        <v>11</v>
      </c>
      <c r="J402" s="5">
        <v>0.33333333333333331</v>
      </c>
      <c r="K402" s="5">
        <v>0.66666666666666663</v>
      </c>
      <c r="L402" s="3">
        <f>0.05985+0.04559-0.0276-0.00297-0.00316</f>
        <v>7.171000000000001E-2</v>
      </c>
      <c r="M402" s="3">
        <v>0</v>
      </c>
      <c r="N402" s="3"/>
      <c r="O402" s="3">
        <f t="shared" si="25"/>
        <v>13.71</v>
      </c>
      <c r="P402" s="17"/>
      <c r="Q402" s="23"/>
      <c r="R402" s="23"/>
      <c r="S402" s="18"/>
      <c r="T402" s="18"/>
      <c r="U402" s="18"/>
      <c r="V402" s="18"/>
      <c r="W402" s="18"/>
      <c r="X402" s="37"/>
    </row>
    <row r="403" spans="1:24" x14ac:dyDescent="0.2">
      <c r="A403">
        <f t="shared" si="24"/>
        <v>401</v>
      </c>
      <c r="B403" s="13">
        <v>44435</v>
      </c>
      <c r="C403" s="7"/>
      <c r="D403" s="28" t="s">
        <v>4</v>
      </c>
      <c r="E403" s="7" t="s">
        <v>94</v>
      </c>
      <c r="F403" s="7">
        <v>0</v>
      </c>
      <c r="G403" s="7" t="s">
        <v>20</v>
      </c>
      <c r="H403" s="8" t="s">
        <v>83</v>
      </c>
      <c r="I403" s="6" t="s">
        <v>6</v>
      </c>
      <c r="J403" s="5">
        <v>0.66666666666666663</v>
      </c>
      <c r="K403" s="5">
        <v>0.875</v>
      </c>
      <c r="L403" s="3">
        <f>0.23124+0.24052-0.05989-0.003-0.00316</f>
        <v>0.40571000000000002</v>
      </c>
      <c r="M403" s="3">
        <v>0</v>
      </c>
      <c r="N403" s="3"/>
      <c r="O403" s="3">
        <f t="shared" si="25"/>
        <v>13.71</v>
      </c>
      <c r="P403" s="17"/>
      <c r="Q403" s="17"/>
      <c r="R403" s="23"/>
      <c r="S403" s="18"/>
      <c r="T403" s="18"/>
      <c r="U403" s="18"/>
      <c r="V403" s="18"/>
      <c r="W403" s="18"/>
      <c r="X403" s="37"/>
    </row>
    <row r="404" spans="1:24" x14ac:dyDescent="0.2">
      <c r="A404">
        <f t="shared" si="24"/>
        <v>402</v>
      </c>
      <c r="B404" s="13">
        <v>44435</v>
      </c>
      <c r="C404" s="7"/>
      <c r="D404" s="28" t="s">
        <v>4</v>
      </c>
      <c r="E404" s="7" t="s">
        <v>94</v>
      </c>
      <c r="F404" s="7">
        <v>0</v>
      </c>
      <c r="G404" s="7" t="s">
        <v>20</v>
      </c>
      <c r="H404" s="8" t="s">
        <v>84</v>
      </c>
      <c r="I404" s="3" t="s">
        <v>7</v>
      </c>
      <c r="J404" s="5">
        <v>0.66666666666666663</v>
      </c>
      <c r="K404" s="5">
        <v>0.875</v>
      </c>
      <c r="L404" s="3">
        <f>0.23124+0.12799-0.05989-0.003-0.00316</f>
        <v>0.29318</v>
      </c>
      <c r="M404" s="3">
        <v>0</v>
      </c>
      <c r="N404" s="3"/>
      <c r="O404" s="3">
        <f t="shared" si="25"/>
        <v>13.71</v>
      </c>
      <c r="P404" s="17"/>
      <c r="Q404" s="17"/>
      <c r="R404" s="23"/>
      <c r="S404" s="18"/>
      <c r="T404" s="18"/>
      <c r="U404" s="18"/>
      <c r="V404" s="18"/>
      <c r="W404" s="18"/>
      <c r="X404" s="37"/>
    </row>
    <row r="405" spans="1:24" x14ac:dyDescent="0.2">
      <c r="A405">
        <f t="shared" si="24"/>
        <v>403</v>
      </c>
      <c r="B405" s="13">
        <v>44435</v>
      </c>
      <c r="C405" s="7"/>
      <c r="D405" s="28" t="s">
        <v>4</v>
      </c>
      <c r="E405" s="7" t="s">
        <v>94</v>
      </c>
      <c r="F405" s="7">
        <v>0</v>
      </c>
      <c r="G405" s="7" t="s">
        <v>20</v>
      </c>
      <c r="H405" s="8" t="s">
        <v>85</v>
      </c>
      <c r="I405" s="3" t="s">
        <v>11</v>
      </c>
      <c r="J405" s="5">
        <v>0.875</v>
      </c>
      <c r="K405" s="5">
        <v>0.66666666666666663</v>
      </c>
      <c r="L405" s="3">
        <f>0.08411+0.09046-0.05989-0.003-0.00316</f>
        <v>0.10852000000000001</v>
      </c>
      <c r="M405" s="3">
        <v>0</v>
      </c>
      <c r="N405" s="3"/>
      <c r="O405" s="3">
        <f t="shared" si="25"/>
        <v>13.71</v>
      </c>
      <c r="P405" s="17"/>
      <c r="Q405" s="17"/>
      <c r="R405" s="23"/>
      <c r="S405" s="18"/>
      <c r="T405" s="18"/>
      <c r="U405" s="18"/>
      <c r="V405" s="18"/>
      <c r="W405" s="18"/>
      <c r="X405" s="37"/>
    </row>
    <row r="406" spans="1:24" x14ac:dyDescent="0.2">
      <c r="A406">
        <f t="shared" si="24"/>
        <v>404</v>
      </c>
      <c r="B406" s="13">
        <v>44435</v>
      </c>
      <c r="C406" s="7"/>
      <c r="D406" s="28" t="s">
        <v>4</v>
      </c>
      <c r="E406" s="7" t="s">
        <v>94</v>
      </c>
      <c r="F406" s="7">
        <v>0</v>
      </c>
      <c r="G406" s="7" t="s">
        <v>22</v>
      </c>
      <c r="H406" s="8" t="s">
        <v>84</v>
      </c>
      <c r="I406" s="3" t="s">
        <v>11</v>
      </c>
      <c r="J406" s="5">
        <v>0.66666666666666663</v>
      </c>
      <c r="K406" s="5">
        <v>0.875</v>
      </c>
      <c r="L406" s="3">
        <f>0.23124+0.14809-0.05989-0.003-0.00316</f>
        <v>0.31328</v>
      </c>
      <c r="M406" s="3">
        <v>0</v>
      </c>
      <c r="N406" s="3"/>
      <c r="O406" s="3">
        <f t="shared" si="25"/>
        <v>13.71</v>
      </c>
      <c r="P406" s="17"/>
      <c r="Q406" s="17"/>
      <c r="R406" s="23"/>
      <c r="S406" s="18"/>
      <c r="T406" s="18"/>
      <c r="U406" s="18"/>
      <c r="V406" s="18"/>
      <c r="W406" s="18"/>
      <c r="X406" s="37"/>
    </row>
    <row r="407" spans="1:24" x14ac:dyDescent="0.2">
      <c r="A407">
        <f t="shared" si="24"/>
        <v>405</v>
      </c>
      <c r="B407" s="13">
        <v>44435</v>
      </c>
      <c r="C407" s="7"/>
      <c r="D407" s="28" t="s">
        <v>4</v>
      </c>
      <c r="E407" s="7" t="s">
        <v>94</v>
      </c>
      <c r="F407" s="7">
        <v>0</v>
      </c>
      <c r="G407" s="7" t="s">
        <v>22</v>
      </c>
      <c r="H407" s="8" t="s">
        <v>85</v>
      </c>
      <c r="I407" s="3" t="s">
        <v>11</v>
      </c>
      <c r="J407" s="5">
        <v>0.875</v>
      </c>
      <c r="K407" s="5">
        <v>0.33333333333333331</v>
      </c>
      <c r="L407" s="3">
        <f>0.08411+0.08239-0.05989-0.003-0.00316</f>
        <v>0.10045000000000001</v>
      </c>
      <c r="M407" s="3">
        <v>0</v>
      </c>
      <c r="N407" s="3"/>
      <c r="O407" s="3">
        <f t="shared" si="25"/>
        <v>13.71</v>
      </c>
      <c r="P407" s="17"/>
      <c r="Q407" s="17"/>
      <c r="R407" s="23"/>
      <c r="S407" s="18"/>
      <c r="T407" s="18"/>
      <c r="U407" s="18"/>
      <c r="V407" s="18"/>
      <c r="W407" s="18"/>
      <c r="X407" s="37"/>
    </row>
    <row r="408" spans="1:24" x14ac:dyDescent="0.2">
      <c r="A408">
        <f t="shared" si="24"/>
        <v>406</v>
      </c>
      <c r="B408" s="13">
        <v>44435</v>
      </c>
      <c r="C408" s="7"/>
      <c r="D408" s="28" t="s">
        <v>4</v>
      </c>
      <c r="E408" s="7" t="s">
        <v>94</v>
      </c>
      <c r="F408" s="7">
        <v>0</v>
      </c>
      <c r="G408" s="7" t="s">
        <v>22</v>
      </c>
      <c r="H408" s="8" t="s">
        <v>86</v>
      </c>
      <c r="I408" s="3" t="s">
        <v>11</v>
      </c>
      <c r="J408" s="5">
        <v>0.33333333333333331</v>
      </c>
      <c r="K408" s="5">
        <v>0.66666666666666663</v>
      </c>
      <c r="L408" s="3">
        <f>0.05985+0.04559-0.05989-0.003-0.00316</f>
        <v>3.9390000000000001E-2</v>
      </c>
      <c r="M408" s="3">
        <v>0</v>
      </c>
      <c r="N408" s="3"/>
      <c r="O408" s="3">
        <f t="shared" si="25"/>
        <v>13.71</v>
      </c>
      <c r="P408" s="17"/>
      <c r="Q408" s="17"/>
      <c r="R408" s="23"/>
      <c r="S408" s="18"/>
      <c r="T408" s="18"/>
      <c r="U408" s="18"/>
      <c r="V408" s="18"/>
      <c r="W408" s="18"/>
      <c r="X408" s="37"/>
    </row>
    <row r="409" spans="1:24" ht="18" customHeight="1" x14ac:dyDescent="0.2">
      <c r="A409">
        <f>A408+1</f>
        <v>407</v>
      </c>
      <c r="B409" s="13">
        <v>44435</v>
      </c>
      <c r="C409" s="7"/>
      <c r="D409" s="28" t="s">
        <v>186</v>
      </c>
      <c r="E409" s="7" t="s">
        <v>89</v>
      </c>
      <c r="F409" s="7">
        <v>20</v>
      </c>
      <c r="G409" s="7" t="s">
        <v>20</v>
      </c>
      <c r="H409" s="8" t="s">
        <v>83</v>
      </c>
      <c r="I409" s="6" t="s">
        <v>6</v>
      </c>
      <c r="J409" s="5">
        <v>0.66666666666666663</v>
      </c>
      <c r="K409" s="5">
        <v>0.875</v>
      </c>
      <c r="L409" s="3">
        <f>0.23595-(0.00088)-(0.00296)+0.35807</f>
        <v>0.59018000000000004</v>
      </c>
      <c r="M409" s="3">
        <v>0</v>
      </c>
      <c r="N409" s="3"/>
      <c r="O409" s="3">
        <v>158.71</v>
      </c>
      <c r="P409" s="17">
        <v>0.6</v>
      </c>
      <c r="Q409" s="23"/>
      <c r="R409" s="23"/>
      <c r="S409" s="18"/>
      <c r="T409" s="18"/>
      <c r="U409" s="18"/>
      <c r="V409" s="18"/>
      <c r="W409" s="18"/>
    </row>
    <row r="410" spans="1:24" x14ac:dyDescent="0.2">
      <c r="A410">
        <f t="shared" si="24"/>
        <v>408</v>
      </c>
      <c r="B410" s="13">
        <v>44435</v>
      </c>
      <c r="C410" s="7"/>
      <c r="D410" s="28" t="s">
        <v>186</v>
      </c>
      <c r="E410" s="7" t="s">
        <v>89</v>
      </c>
      <c r="F410" s="7">
        <v>20</v>
      </c>
      <c r="G410" s="7" t="s">
        <v>20</v>
      </c>
      <c r="H410" s="8" t="s">
        <v>84</v>
      </c>
      <c r="I410" s="3" t="s">
        <v>7</v>
      </c>
      <c r="J410" s="5">
        <v>0.66666666666666663</v>
      </c>
      <c r="K410" s="5">
        <v>0.875</v>
      </c>
      <c r="L410" s="3">
        <f>0.23595-(0.00088)-(0.00296)+0.08088</f>
        <v>0.31298999999999999</v>
      </c>
      <c r="M410" s="3">
        <v>0</v>
      </c>
      <c r="N410" s="3"/>
      <c r="O410" s="3">
        <v>158.71</v>
      </c>
      <c r="P410" s="17">
        <v>0.6</v>
      </c>
      <c r="Q410" s="23"/>
      <c r="R410" s="23"/>
      <c r="S410" s="18"/>
      <c r="T410" s="18"/>
      <c r="U410" s="18"/>
      <c r="V410" s="18"/>
      <c r="W410" s="18"/>
    </row>
    <row r="411" spans="1:24" x14ac:dyDescent="0.2">
      <c r="A411">
        <f t="shared" si="24"/>
        <v>409</v>
      </c>
      <c r="B411" s="13">
        <v>44435</v>
      </c>
      <c r="C411" s="7"/>
      <c r="D411" s="28" t="s">
        <v>186</v>
      </c>
      <c r="E411" s="7" t="s">
        <v>89</v>
      </c>
      <c r="F411" s="7">
        <v>20</v>
      </c>
      <c r="G411" s="7" t="s">
        <v>20</v>
      </c>
      <c r="H411" s="8" t="s">
        <v>85</v>
      </c>
      <c r="I411" s="3" t="s">
        <v>11</v>
      </c>
      <c r="J411" s="5">
        <v>0.875</v>
      </c>
      <c r="K411" s="5">
        <v>0.66666666666666663</v>
      </c>
      <c r="L411" s="3">
        <f>0.08482-(0.00088)-(0.00296)+0.06068</f>
        <v>0.14166000000000001</v>
      </c>
      <c r="M411" s="3">
        <v>0</v>
      </c>
      <c r="N411" s="3"/>
      <c r="O411" s="3">
        <v>158.71</v>
      </c>
      <c r="P411" s="17">
        <v>0.6</v>
      </c>
      <c r="Q411" s="23"/>
      <c r="R411" s="23"/>
      <c r="S411" s="18"/>
      <c r="T411" s="18"/>
      <c r="U411" s="18"/>
      <c r="V411" s="18"/>
      <c r="W411" s="18"/>
    </row>
    <row r="412" spans="1:24" x14ac:dyDescent="0.2">
      <c r="A412">
        <f t="shared" si="24"/>
        <v>410</v>
      </c>
      <c r="B412" s="13">
        <v>44435</v>
      </c>
      <c r="C412" s="7"/>
      <c r="D412" s="28" t="s">
        <v>186</v>
      </c>
      <c r="E412" s="7" t="s">
        <v>89</v>
      </c>
      <c r="F412" s="7">
        <v>20</v>
      </c>
      <c r="G412" s="7" t="s">
        <v>22</v>
      </c>
      <c r="H412" s="8" t="s">
        <v>84</v>
      </c>
      <c r="I412" s="3" t="s">
        <v>11</v>
      </c>
      <c r="J412" s="5">
        <v>0.66666666666666663</v>
      </c>
      <c r="K412" s="5">
        <v>0.875</v>
      </c>
      <c r="L412" s="3">
        <f>0.23595-(0.00088)-(0.00296)+0.12856</f>
        <v>0.36067000000000005</v>
      </c>
      <c r="M412" s="3">
        <v>0</v>
      </c>
      <c r="N412" s="3"/>
      <c r="O412" s="3">
        <v>158.71</v>
      </c>
      <c r="P412" s="17">
        <v>0.6</v>
      </c>
      <c r="Q412" s="23"/>
      <c r="R412" s="23"/>
      <c r="S412" s="18"/>
      <c r="T412" s="18"/>
      <c r="U412" s="18"/>
      <c r="V412" s="18"/>
      <c r="W412" s="18"/>
    </row>
    <row r="413" spans="1:24" x14ac:dyDescent="0.2">
      <c r="A413">
        <f t="shared" si="24"/>
        <v>411</v>
      </c>
      <c r="B413" s="13">
        <v>44435</v>
      </c>
      <c r="C413" s="7"/>
      <c r="D413" s="28" t="s">
        <v>186</v>
      </c>
      <c r="E413" s="7" t="s">
        <v>89</v>
      </c>
      <c r="F413" s="7">
        <v>20</v>
      </c>
      <c r="G413" s="7" t="s">
        <v>22</v>
      </c>
      <c r="H413" s="8" t="s">
        <v>85</v>
      </c>
      <c r="I413" s="3" t="s">
        <v>11</v>
      </c>
      <c r="J413" s="5">
        <v>0.875</v>
      </c>
      <c r="K413" s="5">
        <v>0.33333333333333331</v>
      </c>
      <c r="L413" s="3">
        <f>0.08482-(0.00088)-(0.00296)+0.07209</f>
        <v>0.15306999999999998</v>
      </c>
      <c r="M413" s="3">
        <v>0</v>
      </c>
      <c r="N413" s="3"/>
      <c r="O413" s="3">
        <v>158.71</v>
      </c>
      <c r="P413" s="17">
        <v>0.6</v>
      </c>
      <c r="Q413" s="23"/>
      <c r="R413" s="23"/>
      <c r="S413" s="18"/>
      <c r="T413" s="18"/>
      <c r="U413" s="18"/>
      <c r="V413" s="18"/>
      <c r="W413" s="18"/>
    </row>
    <row r="414" spans="1:24" x14ac:dyDescent="0.2">
      <c r="A414">
        <f t="shared" si="24"/>
        <v>412</v>
      </c>
      <c r="B414" s="13">
        <v>44435</v>
      </c>
      <c r="C414" s="7"/>
      <c r="D414" s="28" t="s">
        <v>186</v>
      </c>
      <c r="E414" s="7" t="s">
        <v>89</v>
      </c>
      <c r="F414" s="7">
        <v>20</v>
      </c>
      <c r="G414" s="7" t="s">
        <v>22</v>
      </c>
      <c r="H414" s="8" t="s">
        <v>86</v>
      </c>
      <c r="I414" s="3" t="s">
        <v>11</v>
      </c>
      <c r="J414" s="5">
        <v>0.33333333333333331</v>
      </c>
      <c r="K414" s="5">
        <v>0.66666666666666663</v>
      </c>
      <c r="L414" s="3">
        <f>0.05863-(0.00088)-(0.00296)+0.02728</f>
        <v>8.2070000000000004E-2</v>
      </c>
      <c r="M414" s="3">
        <v>0</v>
      </c>
      <c r="N414" s="3"/>
      <c r="O414" s="3">
        <v>158.71</v>
      </c>
      <c r="P414" s="17">
        <v>0.6</v>
      </c>
      <c r="Q414" s="23"/>
      <c r="R414" s="23"/>
      <c r="S414" s="18"/>
      <c r="T414" s="18"/>
      <c r="U414" s="18"/>
      <c r="V414" s="18"/>
      <c r="W414" s="18"/>
    </row>
    <row r="415" spans="1:24" x14ac:dyDescent="0.2">
      <c r="A415">
        <f t="shared" si="24"/>
        <v>413</v>
      </c>
      <c r="B415" s="27">
        <v>44562</v>
      </c>
      <c r="D415" t="s">
        <v>187</v>
      </c>
      <c r="E415" t="s">
        <v>188</v>
      </c>
      <c r="G415" s="11" t="s">
        <v>20</v>
      </c>
      <c r="H415" s="11" t="s">
        <v>87</v>
      </c>
      <c r="I415" t="s">
        <v>11</v>
      </c>
      <c r="J415" s="1">
        <v>0.66666666666666663</v>
      </c>
      <c r="K415" s="1">
        <v>0.875</v>
      </c>
      <c r="L415">
        <v>0.19</v>
      </c>
      <c r="M415" s="9">
        <v>0</v>
      </c>
      <c r="O415" s="2">
        <v>0</v>
      </c>
    </row>
    <row r="416" spans="1:24" x14ac:dyDescent="0.2">
      <c r="A416">
        <f t="shared" si="24"/>
        <v>414</v>
      </c>
      <c r="B416" s="27">
        <v>44562</v>
      </c>
      <c r="D416" t="s">
        <v>187</v>
      </c>
      <c r="E416" t="s">
        <v>188</v>
      </c>
      <c r="G416" s="11" t="s">
        <v>22</v>
      </c>
      <c r="H416" s="11" t="s">
        <v>87</v>
      </c>
      <c r="I416" t="s">
        <v>11</v>
      </c>
      <c r="J416" s="1">
        <v>0.66666666666666663</v>
      </c>
      <c r="K416" s="1">
        <v>0.875</v>
      </c>
      <c r="L416">
        <v>0.18</v>
      </c>
      <c r="M416" s="9">
        <v>0</v>
      </c>
      <c r="O416" s="2">
        <v>0</v>
      </c>
      <c r="P416" s="2"/>
    </row>
    <row r="417" spans="1:15" x14ac:dyDescent="0.2">
      <c r="A417">
        <f t="shared" si="24"/>
        <v>415</v>
      </c>
      <c r="B417" s="27">
        <v>44562</v>
      </c>
      <c r="D417" t="s">
        <v>187</v>
      </c>
      <c r="E417" t="s">
        <v>188</v>
      </c>
      <c r="G417" s="11" t="s">
        <v>20</v>
      </c>
      <c r="H417" s="11" t="s">
        <v>85</v>
      </c>
      <c r="I417" t="s">
        <v>6</v>
      </c>
      <c r="J417" s="1">
        <v>0.25</v>
      </c>
      <c r="K417" s="1">
        <v>0.66666666666666663</v>
      </c>
      <c r="L417">
        <v>0.12</v>
      </c>
      <c r="M417" s="9">
        <v>0</v>
      </c>
      <c r="O417" s="2">
        <v>0</v>
      </c>
    </row>
    <row r="418" spans="1:15" x14ac:dyDescent="0.2">
      <c r="A418">
        <f t="shared" si="24"/>
        <v>416</v>
      </c>
      <c r="B418" s="27">
        <v>44562</v>
      </c>
      <c r="D418" t="s">
        <v>187</v>
      </c>
      <c r="E418" t="s">
        <v>188</v>
      </c>
      <c r="G418" s="11" t="s">
        <v>20</v>
      </c>
      <c r="H418" s="11" t="s">
        <v>85</v>
      </c>
      <c r="I418" t="s">
        <v>11</v>
      </c>
      <c r="J418" s="1">
        <v>0.875</v>
      </c>
      <c r="K418" s="1">
        <v>1</v>
      </c>
      <c r="L418">
        <v>0.12</v>
      </c>
      <c r="M418" s="9">
        <v>0</v>
      </c>
      <c r="O418" s="2">
        <v>0</v>
      </c>
    </row>
    <row r="419" spans="1:15" x14ac:dyDescent="0.2">
      <c r="A419">
        <f t="shared" si="24"/>
        <v>417</v>
      </c>
      <c r="B419" s="27">
        <v>44562</v>
      </c>
      <c r="D419" t="s">
        <v>187</v>
      </c>
      <c r="E419" t="s">
        <v>188</v>
      </c>
      <c r="G419" s="11" t="s">
        <v>20</v>
      </c>
      <c r="H419" s="11" t="s">
        <v>85</v>
      </c>
      <c r="I419" t="s">
        <v>7</v>
      </c>
      <c r="J419" s="1">
        <v>0.58333333333333337</v>
      </c>
      <c r="K419" s="1">
        <v>0.66666666666666663</v>
      </c>
      <c r="L419">
        <v>0.12</v>
      </c>
      <c r="M419" s="9">
        <v>0</v>
      </c>
      <c r="O419" s="2">
        <v>0</v>
      </c>
    </row>
    <row r="420" spans="1:15" x14ac:dyDescent="0.2">
      <c r="A420">
        <f t="shared" si="24"/>
        <v>418</v>
      </c>
      <c r="B420" s="27">
        <v>44562</v>
      </c>
      <c r="D420" t="s">
        <v>187</v>
      </c>
      <c r="E420" t="s">
        <v>188</v>
      </c>
      <c r="G420" s="11" t="s">
        <v>22</v>
      </c>
      <c r="H420" s="11" t="s">
        <v>85</v>
      </c>
      <c r="I420" t="s">
        <v>6</v>
      </c>
      <c r="J420" s="1">
        <v>0.25</v>
      </c>
      <c r="K420" s="1">
        <v>0.66666666666666663</v>
      </c>
      <c r="L420">
        <v>0.11</v>
      </c>
      <c r="M420" s="9">
        <v>0</v>
      </c>
      <c r="O420" s="2">
        <v>0</v>
      </c>
    </row>
    <row r="421" spans="1:15" x14ac:dyDescent="0.2">
      <c r="A421">
        <f t="shared" si="24"/>
        <v>419</v>
      </c>
      <c r="B421" s="27">
        <v>44562</v>
      </c>
      <c r="D421" t="s">
        <v>187</v>
      </c>
      <c r="E421" t="s">
        <v>188</v>
      </c>
      <c r="G421" s="11" t="s">
        <v>22</v>
      </c>
      <c r="H421" s="11" t="s">
        <v>85</v>
      </c>
      <c r="I421" t="s">
        <v>11</v>
      </c>
      <c r="J421" s="1">
        <v>0.875</v>
      </c>
      <c r="K421" s="1">
        <v>0</v>
      </c>
      <c r="L421">
        <v>0.11</v>
      </c>
      <c r="M421" s="9">
        <v>0</v>
      </c>
      <c r="O421" s="2">
        <v>0</v>
      </c>
    </row>
    <row r="422" spans="1:15" x14ac:dyDescent="0.2">
      <c r="A422">
        <f t="shared" si="24"/>
        <v>420</v>
      </c>
      <c r="B422" s="27">
        <v>44562</v>
      </c>
      <c r="D422" t="s">
        <v>187</v>
      </c>
      <c r="E422" t="s">
        <v>188</v>
      </c>
      <c r="G422" s="11" t="s">
        <v>22</v>
      </c>
      <c r="H422" s="11" t="s">
        <v>85</v>
      </c>
      <c r="I422" t="s">
        <v>7</v>
      </c>
      <c r="J422" s="1">
        <v>0.58333333333333337</v>
      </c>
      <c r="K422" s="1">
        <v>0.66666666666666663</v>
      </c>
      <c r="L422">
        <v>0.11</v>
      </c>
      <c r="M422" s="9">
        <v>0</v>
      </c>
      <c r="O422" s="2">
        <v>0</v>
      </c>
    </row>
    <row r="423" spans="1:15" x14ac:dyDescent="0.2">
      <c r="A423">
        <f t="shared" si="24"/>
        <v>421</v>
      </c>
      <c r="B423" s="27">
        <v>44562</v>
      </c>
      <c r="D423" t="s">
        <v>187</v>
      </c>
      <c r="E423" t="s">
        <v>188</v>
      </c>
      <c r="G423" s="11" t="s">
        <v>20</v>
      </c>
      <c r="H423" s="11" t="s">
        <v>131</v>
      </c>
      <c r="I423" t="s">
        <v>6</v>
      </c>
      <c r="J423" s="1">
        <v>0</v>
      </c>
      <c r="K423" s="1">
        <v>0.25</v>
      </c>
      <c r="L423">
        <v>0.1</v>
      </c>
      <c r="M423" s="9">
        <v>0</v>
      </c>
      <c r="O423" s="2">
        <v>0</v>
      </c>
    </row>
    <row r="424" spans="1:15" x14ac:dyDescent="0.2">
      <c r="A424">
        <f t="shared" si="24"/>
        <v>422</v>
      </c>
      <c r="B424" s="27">
        <v>44562</v>
      </c>
      <c r="D424" t="s">
        <v>187</v>
      </c>
      <c r="E424" t="s">
        <v>188</v>
      </c>
      <c r="G424" s="11" t="s">
        <v>20</v>
      </c>
      <c r="H424" s="11" t="s">
        <v>131</v>
      </c>
      <c r="I424" t="s">
        <v>7</v>
      </c>
      <c r="J424" s="1">
        <v>0</v>
      </c>
      <c r="K424" s="1">
        <v>0.58333333333333337</v>
      </c>
      <c r="L424">
        <v>0.1</v>
      </c>
      <c r="M424" s="9">
        <v>0</v>
      </c>
      <c r="O424" s="2">
        <v>0</v>
      </c>
    </row>
    <row r="425" spans="1:15" x14ac:dyDescent="0.2">
      <c r="A425">
        <f t="shared" si="24"/>
        <v>423</v>
      </c>
      <c r="B425" s="27">
        <v>44562</v>
      </c>
      <c r="D425" t="s">
        <v>187</v>
      </c>
      <c r="E425" t="s">
        <v>188</v>
      </c>
      <c r="G425" s="11" t="s">
        <v>22</v>
      </c>
      <c r="H425" s="11" t="s">
        <v>131</v>
      </c>
      <c r="I425" t="s">
        <v>6</v>
      </c>
      <c r="J425" s="1">
        <v>0</v>
      </c>
      <c r="K425" s="1">
        <v>0.25</v>
      </c>
      <c r="L425">
        <v>0.1</v>
      </c>
      <c r="M425" s="9">
        <v>0</v>
      </c>
      <c r="O425" s="2">
        <v>0</v>
      </c>
    </row>
    <row r="426" spans="1:15" x14ac:dyDescent="0.2">
      <c r="A426">
        <f t="shared" si="24"/>
        <v>424</v>
      </c>
      <c r="B426" s="27">
        <v>44562</v>
      </c>
      <c r="D426" t="s">
        <v>187</v>
      </c>
      <c r="E426" t="s">
        <v>188</v>
      </c>
      <c r="G426" s="11" t="s">
        <v>189</v>
      </c>
      <c r="H426" s="11" t="s">
        <v>131</v>
      </c>
      <c r="I426" t="s">
        <v>7</v>
      </c>
      <c r="J426" s="1">
        <v>0</v>
      </c>
      <c r="K426" s="1">
        <v>0.58333333333333337</v>
      </c>
      <c r="L426">
        <v>0.1</v>
      </c>
      <c r="M426" s="9">
        <v>0</v>
      </c>
      <c r="O426" s="2">
        <v>0</v>
      </c>
    </row>
    <row r="427" spans="1:15" x14ac:dyDescent="0.2">
      <c r="A427">
        <f t="shared" si="24"/>
        <v>425</v>
      </c>
      <c r="B427" s="27">
        <v>44562</v>
      </c>
      <c r="D427" t="s">
        <v>187</v>
      </c>
      <c r="E427" t="s">
        <v>188</v>
      </c>
      <c r="G427" s="11" t="s">
        <v>190</v>
      </c>
      <c r="H427" s="11" t="s">
        <v>87</v>
      </c>
      <c r="I427" t="s">
        <v>11</v>
      </c>
      <c r="J427" s="1">
        <v>0.66666666666666663</v>
      </c>
      <c r="K427" s="1">
        <v>0.875</v>
      </c>
      <c r="L427">
        <v>0.18</v>
      </c>
      <c r="M427" s="9">
        <v>0</v>
      </c>
      <c r="O427" s="2">
        <v>0</v>
      </c>
    </row>
    <row r="428" spans="1:15" x14ac:dyDescent="0.2">
      <c r="A428">
        <f t="shared" si="24"/>
        <v>426</v>
      </c>
      <c r="B428" s="27">
        <v>44562</v>
      </c>
      <c r="D428" t="s">
        <v>187</v>
      </c>
      <c r="E428" t="s">
        <v>188</v>
      </c>
      <c r="G428" s="11" t="s">
        <v>190</v>
      </c>
      <c r="H428" s="11" t="s">
        <v>85</v>
      </c>
      <c r="I428" t="s">
        <v>6</v>
      </c>
      <c r="J428" s="1">
        <v>0.25</v>
      </c>
      <c r="K428" s="1">
        <v>0.41666666666666669</v>
      </c>
      <c r="L428">
        <v>0.11</v>
      </c>
      <c r="M428" s="9">
        <v>0</v>
      </c>
      <c r="O428" s="2">
        <v>0</v>
      </c>
    </row>
    <row r="429" spans="1:15" x14ac:dyDescent="0.2">
      <c r="A429">
        <f t="shared" si="24"/>
        <v>427</v>
      </c>
      <c r="B429" s="27">
        <v>44562</v>
      </c>
      <c r="D429" t="s">
        <v>187</v>
      </c>
      <c r="E429" t="s">
        <v>188</v>
      </c>
      <c r="G429" s="11" t="s">
        <v>190</v>
      </c>
      <c r="H429" s="11" t="s">
        <v>85</v>
      </c>
      <c r="I429" t="s">
        <v>6</v>
      </c>
      <c r="J429" s="1">
        <v>0.58333333333333337</v>
      </c>
      <c r="K429" s="1">
        <v>0.66666666666666663</v>
      </c>
      <c r="L429">
        <v>0.11</v>
      </c>
      <c r="M429" s="9">
        <v>0</v>
      </c>
      <c r="O429" s="2">
        <v>0</v>
      </c>
    </row>
    <row r="430" spans="1:15" x14ac:dyDescent="0.2">
      <c r="A430">
        <f t="shared" si="24"/>
        <v>428</v>
      </c>
      <c r="B430" s="27">
        <v>44562</v>
      </c>
      <c r="D430" t="s">
        <v>187</v>
      </c>
      <c r="E430" t="s">
        <v>188</v>
      </c>
      <c r="G430" s="11" t="s">
        <v>190</v>
      </c>
      <c r="H430" s="11" t="s">
        <v>85</v>
      </c>
      <c r="I430" t="s">
        <v>11</v>
      </c>
      <c r="J430" s="1">
        <v>0.875</v>
      </c>
      <c r="K430" s="1">
        <v>0</v>
      </c>
      <c r="L430">
        <v>0.11</v>
      </c>
      <c r="M430" s="9">
        <v>0</v>
      </c>
      <c r="O430" s="2">
        <v>0</v>
      </c>
    </row>
    <row r="431" spans="1:15" x14ac:dyDescent="0.2">
      <c r="A431">
        <f t="shared" si="24"/>
        <v>429</v>
      </c>
      <c r="B431" s="27">
        <v>44562</v>
      </c>
      <c r="D431" t="s">
        <v>187</v>
      </c>
      <c r="E431" t="s">
        <v>188</v>
      </c>
      <c r="G431" s="11" t="s">
        <v>190</v>
      </c>
      <c r="H431" s="11" t="s">
        <v>85</v>
      </c>
      <c r="I431" t="s">
        <v>7</v>
      </c>
      <c r="J431" s="1">
        <v>0.58333333333333337</v>
      </c>
      <c r="K431" s="1">
        <v>0.66666666666666663</v>
      </c>
      <c r="L431">
        <v>0.11</v>
      </c>
      <c r="M431" s="9">
        <v>0</v>
      </c>
      <c r="O431" s="2">
        <v>0</v>
      </c>
    </row>
    <row r="432" spans="1:15" x14ac:dyDescent="0.2">
      <c r="A432">
        <f t="shared" si="24"/>
        <v>430</v>
      </c>
      <c r="B432" s="27">
        <v>44562</v>
      </c>
      <c r="D432" t="s">
        <v>187</v>
      </c>
      <c r="E432" t="s">
        <v>188</v>
      </c>
      <c r="G432" s="11" t="s">
        <v>190</v>
      </c>
      <c r="H432" s="11" t="s">
        <v>131</v>
      </c>
      <c r="I432" t="s">
        <v>6</v>
      </c>
      <c r="J432" s="1">
        <v>0</v>
      </c>
      <c r="K432" s="1">
        <v>0.25</v>
      </c>
      <c r="L432">
        <v>0.1</v>
      </c>
      <c r="M432" s="9">
        <v>0</v>
      </c>
      <c r="O432" s="2">
        <v>0</v>
      </c>
    </row>
    <row r="433" spans="1:15" x14ac:dyDescent="0.2">
      <c r="A433">
        <f t="shared" si="24"/>
        <v>431</v>
      </c>
      <c r="B433" s="27">
        <v>44562</v>
      </c>
      <c r="D433" t="s">
        <v>187</v>
      </c>
      <c r="E433" t="s">
        <v>188</v>
      </c>
      <c r="G433" s="11" t="s">
        <v>190</v>
      </c>
      <c r="H433" s="11" t="s">
        <v>131</v>
      </c>
      <c r="I433" t="s">
        <v>7</v>
      </c>
      <c r="J433" s="1">
        <v>0</v>
      </c>
      <c r="K433" s="1">
        <v>0.58333333333333337</v>
      </c>
      <c r="L433">
        <v>0.1</v>
      </c>
      <c r="M433" s="9">
        <v>0</v>
      </c>
      <c r="O433" s="2">
        <v>0</v>
      </c>
    </row>
    <row r="434" spans="1:15" x14ac:dyDescent="0.2">
      <c r="A434">
        <f t="shared" si="24"/>
        <v>432</v>
      </c>
      <c r="B434" s="27">
        <v>44562</v>
      </c>
      <c r="D434" t="s">
        <v>187</v>
      </c>
      <c r="E434" t="s">
        <v>188</v>
      </c>
      <c r="G434" s="11" t="s">
        <v>190</v>
      </c>
      <c r="H434" s="11" t="s">
        <v>131</v>
      </c>
      <c r="I434" t="s">
        <v>6</v>
      </c>
      <c r="J434" s="1">
        <v>0.41666666666666669</v>
      </c>
      <c r="K434" s="1">
        <v>0.58333333333333337</v>
      </c>
      <c r="L434">
        <v>0.1</v>
      </c>
      <c r="M434" s="9">
        <v>0</v>
      </c>
      <c r="O434" s="2">
        <v>0</v>
      </c>
    </row>
    <row r="435" spans="1:15" x14ac:dyDescent="0.2">
      <c r="A435">
        <f>A434+1</f>
        <v>433</v>
      </c>
      <c r="B435" s="27">
        <v>43614</v>
      </c>
      <c r="D435" t="s">
        <v>192</v>
      </c>
      <c r="E435" t="s">
        <v>195</v>
      </c>
      <c r="F435">
        <v>100</v>
      </c>
      <c r="G435" s="11" t="s">
        <v>20</v>
      </c>
      <c r="H435" s="11" t="s">
        <v>193</v>
      </c>
      <c r="I435" t="s">
        <v>6</v>
      </c>
      <c r="J435" s="1">
        <v>0.41666666666666669</v>
      </c>
      <c r="K435" s="1">
        <v>0.91666666666666663</v>
      </c>
      <c r="L435" s="35">
        <f>(4.91+1.14)/100</f>
        <v>6.0499999999999998E-2</v>
      </c>
      <c r="M435" s="9">
        <v>5.4</v>
      </c>
      <c r="O435" s="2">
        <f>94.51+21.08</f>
        <v>115.59</v>
      </c>
    </row>
    <row r="436" spans="1:15" x14ac:dyDescent="0.2">
      <c r="A436">
        <f t="shared" si="24"/>
        <v>434</v>
      </c>
      <c r="B436" s="27">
        <v>43614</v>
      </c>
      <c r="D436" t="s">
        <v>192</v>
      </c>
      <c r="E436" t="s">
        <v>195</v>
      </c>
      <c r="F436">
        <v>100</v>
      </c>
      <c r="G436" s="11" t="s">
        <v>20</v>
      </c>
      <c r="H436" s="11" t="s">
        <v>85</v>
      </c>
      <c r="I436" t="s">
        <v>6</v>
      </c>
      <c r="J436" s="1">
        <v>0.91666666666666663</v>
      </c>
      <c r="K436" s="1">
        <v>0.41666666666666669</v>
      </c>
      <c r="L436">
        <f>(4.91-0.65)/100</f>
        <v>4.2599999999999999E-2</v>
      </c>
      <c r="M436" s="9">
        <v>5.4</v>
      </c>
      <c r="O436" s="2">
        <f t="shared" ref="O436:O440" si="26">94.51+21.08</f>
        <v>115.59</v>
      </c>
    </row>
    <row r="437" spans="1:15" x14ac:dyDescent="0.2">
      <c r="A437">
        <f t="shared" si="24"/>
        <v>435</v>
      </c>
      <c r="B437" s="27">
        <v>43614</v>
      </c>
      <c r="D437" t="s">
        <v>192</v>
      </c>
      <c r="E437" t="s">
        <v>195</v>
      </c>
      <c r="F437">
        <v>100</v>
      </c>
      <c r="G437" s="11" t="s">
        <v>20</v>
      </c>
      <c r="H437" s="11" t="s">
        <v>85</v>
      </c>
      <c r="I437" t="s">
        <v>7</v>
      </c>
      <c r="J437" s="1">
        <v>0</v>
      </c>
      <c r="K437" s="1">
        <v>0</v>
      </c>
      <c r="L437">
        <f>(4.91-0.65)/100</f>
        <v>4.2599999999999999E-2</v>
      </c>
      <c r="M437" s="9">
        <v>5.4</v>
      </c>
      <c r="O437" s="2">
        <f t="shared" si="26"/>
        <v>115.59</v>
      </c>
    </row>
    <row r="438" spans="1:15" x14ac:dyDescent="0.2">
      <c r="A438">
        <f t="shared" si="24"/>
        <v>436</v>
      </c>
      <c r="B438" s="27">
        <v>43614</v>
      </c>
      <c r="D438" t="s">
        <v>192</v>
      </c>
      <c r="E438" t="s">
        <v>195</v>
      </c>
      <c r="F438">
        <v>100</v>
      </c>
      <c r="G438" s="11" t="s">
        <v>22</v>
      </c>
      <c r="H438" s="11" t="s">
        <v>193</v>
      </c>
      <c r="I438" t="s">
        <v>6</v>
      </c>
      <c r="J438" s="1">
        <v>0.41666666666666669</v>
      </c>
      <c r="K438" s="1">
        <v>0.91666666666666663</v>
      </c>
      <c r="L438">
        <f>(3.56+0.35)/100</f>
        <v>3.9100000000000003E-2</v>
      </c>
      <c r="M438" s="9">
        <v>2</v>
      </c>
      <c r="O438" s="2">
        <f t="shared" si="26"/>
        <v>115.59</v>
      </c>
    </row>
    <row r="439" spans="1:15" x14ac:dyDescent="0.2">
      <c r="A439">
        <f t="shared" si="24"/>
        <v>437</v>
      </c>
      <c r="B439" s="27">
        <v>43614</v>
      </c>
      <c r="D439" t="s">
        <v>192</v>
      </c>
      <c r="E439" t="s">
        <v>195</v>
      </c>
      <c r="F439">
        <v>100</v>
      </c>
      <c r="G439" s="11" t="s">
        <v>22</v>
      </c>
      <c r="H439" s="11" t="s">
        <v>85</v>
      </c>
      <c r="I439" t="s">
        <v>6</v>
      </c>
      <c r="J439" s="1">
        <v>0.91666666666666663</v>
      </c>
      <c r="K439" s="1">
        <v>0.41666666666666669</v>
      </c>
      <c r="L439">
        <f>(3.56-0.19)/100</f>
        <v>3.3700000000000001E-2</v>
      </c>
      <c r="M439" s="9">
        <v>2</v>
      </c>
      <c r="O439" s="2">
        <f t="shared" si="26"/>
        <v>115.59</v>
      </c>
    </row>
    <row r="440" spans="1:15" x14ac:dyDescent="0.2">
      <c r="A440">
        <f t="shared" si="24"/>
        <v>438</v>
      </c>
      <c r="B440" s="27">
        <v>43614</v>
      </c>
      <c r="D440" t="s">
        <v>192</v>
      </c>
      <c r="E440" t="s">
        <v>195</v>
      </c>
      <c r="F440">
        <v>100</v>
      </c>
      <c r="G440" s="11" t="s">
        <v>22</v>
      </c>
      <c r="H440" s="11" t="s">
        <v>85</v>
      </c>
      <c r="I440" t="s">
        <v>7</v>
      </c>
      <c r="J440" s="1">
        <v>0</v>
      </c>
      <c r="K440" s="1">
        <v>0</v>
      </c>
      <c r="L440">
        <f>(3.56-0.19)/100</f>
        <v>3.3700000000000001E-2</v>
      </c>
      <c r="M440" s="9">
        <v>2</v>
      </c>
      <c r="O440" s="2">
        <f t="shared" si="26"/>
        <v>115.59</v>
      </c>
    </row>
    <row r="441" spans="1:15" x14ac:dyDescent="0.2">
      <c r="A441">
        <v>439</v>
      </c>
      <c r="B441" s="27">
        <v>44197</v>
      </c>
      <c r="D441" t="s">
        <v>196</v>
      </c>
      <c r="E441" t="s">
        <v>197</v>
      </c>
      <c r="G441" s="11" t="s">
        <v>31</v>
      </c>
      <c r="H441" s="11" t="s">
        <v>31</v>
      </c>
      <c r="I441" t="s">
        <v>11</v>
      </c>
      <c r="J441" s="1">
        <v>0</v>
      </c>
      <c r="K441" s="1">
        <v>0</v>
      </c>
      <c r="L441" s="40">
        <v>9.8461000000000007E-2</v>
      </c>
      <c r="M441" s="9">
        <v>13.442</v>
      </c>
    </row>
  </sheetData>
  <autoFilter ref="A1:X414" xr:uid="{60B97545-9F32-7D4D-BAA7-5D561C3FD985}"/>
  <mergeCells count="20">
    <mergeCell ref="X287:X288"/>
    <mergeCell ref="X263:X272"/>
    <mergeCell ref="X211:X217"/>
    <mergeCell ref="X218:X224"/>
    <mergeCell ref="X225:X231"/>
    <mergeCell ref="X178:X184"/>
    <mergeCell ref="X38:X55"/>
    <mergeCell ref="X115:X126"/>
    <mergeCell ref="X154:X157"/>
    <mergeCell ref="X170:X174"/>
    <mergeCell ref="X165:X169"/>
    <mergeCell ref="X391:X408"/>
    <mergeCell ref="X289:X290"/>
    <mergeCell ref="X300:X302"/>
    <mergeCell ref="X303:X305"/>
    <mergeCell ref="X306:X307"/>
    <mergeCell ref="X308:X309"/>
    <mergeCell ref="X291:X293"/>
    <mergeCell ref="X294:X296"/>
    <mergeCell ref="X297:X299"/>
  </mergeCells>
  <phoneticPr fontId="6" type="noConversion"/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31F75-52DF-FF4A-B099-91CA82CBA899}">
  <sheetPr>
    <tabColor theme="9" tint="0.59999389629810485"/>
  </sheetPr>
  <dimension ref="A1:C12"/>
  <sheetViews>
    <sheetView workbookViewId="0">
      <selection activeCell="C13" sqref="C13"/>
    </sheetView>
  </sheetViews>
  <sheetFormatPr baseColWidth="10" defaultRowHeight="16" x14ac:dyDescent="0.2"/>
  <cols>
    <col min="1" max="1" width="14.83203125" bestFit="1" customWidth="1"/>
    <col min="2" max="2" width="12.6640625" bestFit="1" customWidth="1"/>
    <col min="3" max="3" width="11.33203125" bestFit="1" customWidth="1"/>
  </cols>
  <sheetData>
    <row r="1" spans="1:3" x14ac:dyDescent="0.2">
      <c r="A1" t="s">
        <v>1</v>
      </c>
      <c r="B1" t="s">
        <v>44</v>
      </c>
      <c r="C1" t="s">
        <v>51</v>
      </c>
    </row>
    <row r="2" spans="1:3" x14ac:dyDescent="0.2">
      <c r="A2" t="s">
        <v>4</v>
      </c>
      <c r="B2" t="s">
        <v>45</v>
      </c>
      <c r="C2" t="s">
        <v>46</v>
      </c>
    </row>
    <row r="3" spans="1:3" x14ac:dyDescent="0.2">
      <c r="A3" t="s">
        <v>9</v>
      </c>
      <c r="B3" t="s">
        <v>47</v>
      </c>
      <c r="C3" t="s">
        <v>46</v>
      </c>
    </row>
    <row r="4" spans="1:3" x14ac:dyDescent="0.2">
      <c r="A4" t="s">
        <v>48</v>
      </c>
      <c r="B4" t="s">
        <v>47</v>
      </c>
      <c r="C4" t="s">
        <v>49</v>
      </c>
    </row>
    <row r="5" spans="1:3" x14ac:dyDescent="0.2">
      <c r="A5" t="s">
        <v>50</v>
      </c>
      <c r="B5" t="s">
        <v>45</v>
      </c>
      <c r="C5" t="s">
        <v>46</v>
      </c>
    </row>
    <row r="6" spans="1:3" x14ac:dyDescent="0.2">
      <c r="A6" t="s">
        <v>30</v>
      </c>
      <c r="B6" s="11" t="s">
        <v>31</v>
      </c>
      <c r="C6" s="11" t="s">
        <v>31</v>
      </c>
    </row>
    <row r="7" spans="1:3" x14ac:dyDescent="0.2">
      <c r="A7" t="s">
        <v>52</v>
      </c>
      <c r="B7" t="s">
        <v>45</v>
      </c>
      <c r="C7" t="s">
        <v>46</v>
      </c>
    </row>
    <row r="8" spans="1:3" x14ac:dyDescent="0.2">
      <c r="A8" t="s">
        <v>59</v>
      </c>
      <c r="B8" t="s">
        <v>47</v>
      </c>
      <c r="C8" t="s">
        <v>49</v>
      </c>
    </row>
    <row r="9" spans="1:3" x14ac:dyDescent="0.2">
      <c r="A9" t="s">
        <v>64</v>
      </c>
      <c r="B9" t="s">
        <v>47</v>
      </c>
      <c r="C9" t="s">
        <v>46</v>
      </c>
    </row>
    <row r="10" spans="1:3" x14ac:dyDescent="0.2">
      <c r="A10" t="s">
        <v>108</v>
      </c>
      <c r="B10" t="s">
        <v>45</v>
      </c>
      <c r="C10" t="s">
        <v>46</v>
      </c>
    </row>
    <row r="11" spans="1:3" x14ac:dyDescent="0.2">
      <c r="A11" t="s">
        <v>187</v>
      </c>
      <c r="B11" t="s">
        <v>45</v>
      </c>
      <c r="C11" t="s">
        <v>191</v>
      </c>
    </row>
    <row r="12" spans="1:3" x14ac:dyDescent="0.2">
      <c r="A12" t="s">
        <v>192</v>
      </c>
      <c r="B12" t="s">
        <v>45</v>
      </c>
      <c r="C12" t="s">
        <v>194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369F4791DBEB489778BF7C1629E673" ma:contentTypeVersion="13" ma:contentTypeDescription="Create a new document." ma:contentTypeScope="" ma:versionID="1f5a72b23e0d1eda39b1ab2630823477">
  <xsd:schema xmlns:xsd="http://www.w3.org/2001/XMLSchema" xmlns:xs="http://www.w3.org/2001/XMLSchema" xmlns:p="http://schemas.microsoft.com/office/2006/metadata/properties" xmlns:ns2="d4a232e4-a64c-46dc-a654-0c52fcb4ac84" xmlns:ns3="3203f819-bfc1-45c8-a575-c9d9471ba6f7" targetNamespace="http://schemas.microsoft.com/office/2006/metadata/properties" ma:root="true" ma:fieldsID="c086d478461d25c4894a194352d11bf7" ns2:_="" ns3:_="">
    <xsd:import namespace="d4a232e4-a64c-46dc-a654-0c52fcb4ac84"/>
    <xsd:import namespace="3203f819-bfc1-45c8-a575-c9d9471ba6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a232e4-a64c-46dc-a654-0c52fcb4ac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03f819-bfc1-45c8-a575-c9d9471ba6f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BC6C3D-55CA-42B3-A01E-E773135AB24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697D471-EC1E-4C36-AD04-BD1E132A432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C19AE95-26E6-41D2-8BE4-723E7CF153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a232e4-a64c-46dc-a654-0c52fcb4ac84"/>
    <ds:schemaRef ds:uri="3203f819-bfc1-45c8-a575-c9d9471ba6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Rate Dictionary</vt:lpstr>
      <vt:lpstr>Seasons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2019-12-12T19:01:49Z</dcterms:created>
  <dcterms:modified xsi:type="dcterms:W3CDTF">2021-10-06T20:56:10Z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0x01010014369F4791DBEB489778BF7C1629E673</vt:lpwstr>
  </property>
</Properties>
</file>